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Виктор\Desktop\Сметы с 01.01.2026 по 30.04.2026\Сметы с 01.01.2026 по 30.04.2026\"/>
    </mc:Choice>
  </mc:AlternateContent>
  <xr:revisionPtr revIDLastSave="0" documentId="13_ncr:1_{BE6DABD4-2E4F-43C7-8B95-5A2FA8BE461B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Смета СН-2012 по гл. 1-5" sheetId="7" r:id="rId1"/>
    <sheet name="Акт КС-2 СН-2012 по гл. 1-" sheetId="8" r:id="rId2"/>
    <sheet name="Source" sheetId="1" r:id="rId3"/>
    <sheet name="SourceObSm" sheetId="2" r:id="rId4"/>
    <sheet name="SmtRes" sheetId="3" r:id="rId5"/>
    <sheet name="EtalonRes" sheetId="4" r:id="rId6"/>
    <sheet name="SrcPoprs" sheetId="5" r:id="rId7"/>
    <sheet name="SrcKA" sheetId="6" r:id="rId8"/>
  </sheets>
  <definedNames>
    <definedName name="_xlnm.Print_Titles" localSheetId="1">'Акт КС-2 СН-2012 по гл. 1-'!$36:$36</definedName>
    <definedName name="_xlnm.Print_Titles" localSheetId="0">'Смета СН-2012 по гл. 1-5'!$30:$30</definedName>
    <definedName name="_xlnm.Print_Area" localSheetId="1">'Акт КС-2 СН-2012 по гл. 1-'!$A$1:$L$1200</definedName>
    <definedName name="_xlnm.Print_Area" localSheetId="0">'Смета СН-2012 по гл. 1-5'!$A$1:$K$1201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92" i="7" l="1"/>
  <c r="J1193" i="7"/>
  <c r="J1191" i="7"/>
  <c r="I1184" i="8"/>
  <c r="H1184" i="8"/>
  <c r="F1184" i="8"/>
  <c r="F1183" i="8"/>
  <c r="F1182" i="8"/>
  <c r="J1181" i="8"/>
  <c r="I1181" i="8"/>
  <c r="H1181" i="8"/>
  <c r="G1181" i="8"/>
  <c r="J1180" i="8"/>
  <c r="I1180" i="8"/>
  <c r="H1180" i="8"/>
  <c r="G1180" i="8"/>
  <c r="E1178" i="8"/>
  <c r="D1178" i="8"/>
  <c r="C1178" i="8"/>
  <c r="I1176" i="8"/>
  <c r="H1176" i="8"/>
  <c r="F1176" i="8"/>
  <c r="F1175" i="8"/>
  <c r="F1174" i="8"/>
  <c r="J1173" i="8"/>
  <c r="I1173" i="8"/>
  <c r="H1173" i="8"/>
  <c r="G1173" i="8"/>
  <c r="J1172" i="8"/>
  <c r="I1172" i="8"/>
  <c r="H1172" i="8"/>
  <c r="G1172" i="8"/>
  <c r="E1170" i="8"/>
  <c r="D1170" i="8"/>
  <c r="C1170" i="8"/>
  <c r="I1168" i="8"/>
  <c r="H1168" i="8"/>
  <c r="F1168" i="8"/>
  <c r="F1167" i="8"/>
  <c r="F1166" i="8"/>
  <c r="J1165" i="8"/>
  <c r="I1165" i="8"/>
  <c r="H1165" i="8"/>
  <c r="G1165" i="8"/>
  <c r="J1164" i="8"/>
  <c r="I1164" i="8"/>
  <c r="H1164" i="8"/>
  <c r="G1164" i="8"/>
  <c r="E1162" i="8"/>
  <c r="D1162" i="8"/>
  <c r="C1162" i="8"/>
  <c r="I1160" i="8"/>
  <c r="H1160" i="8"/>
  <c r="F1160" i="8"/>
  <c r="F1159" i="8"/>
  <c r="F1158" i="8"/>
  <c r="J1157" i="8"/>
  <c r="I1157" i="8"/>
  <c r="H1157" i="8"/>
  <c r="G1157" i="8"/>
  <c r="J1156" i="8"/>
  <c r="I1156" i="8"/>
  <c r="H1156" i="8"/>
  <c r="G1156" i="8"/>
  <c r="E1154" i="8"/>
  <c r="D1154" i="8"/>
  <c r="C1154" i="8"/>
  <c r="I1152" i="8"/>
  <c r="H1152" i="8"/>
  <c r="F1152" i="8"/>
  <c r="F1151" i="8"/>
  <c r="F1150" i="8"/>
  <c r="F1149" i="8"/>
  <c r="J1148" i="8"/>
  <c r="I1148" i="8"/>
  <c r="H1148" i="8"/>
  <c r="G1148" i="8"/>
  <c r="J1147" i="8"/>
  <c r="I1147" i="8"/>
  <c r="H1147" i="8"/>
  <c r="G1147" i="8"/>
  <c r="J1146" i="8"/>
  <c r="I1146" i="8"/>
  <c r="H1146" i="8"/>
  <c r="G1146" i="8"/>
  <c r="J1145" i="8"/>
  <c r="I1145" i="8"/>
  <c r="H1145" i="8"/>
  <c r="G1145" i="8"/>
  <c r="E1143" i="8"/>
  <c r="D1143" i="8"/>
  <c r="C1143" i="8"/>
  <c r="I1141" i="8"/>
  <c r="H1141" i="8"/>
  <c r="F1141" i="8"/>
  <c r="F1140" i="8"/>
  <c r="F1139" i="8"/>
  <c r="J1138" i="8"/>
  <c r="I1138" i="8"/>
  <c r="H1138" i="8"/>
  <c r="G1138" i="8"/>
  <c r="J1137" i="8"/>
  <c r="I1137" i="8"/>
  <c r="H1137" i="8"/>
  <c r="G1137" i="8"/>
  <c r="E1135" i="8"/>
  <c r="D1135" i="8"/>
  <c r="C1135" i="8"/>
  <c r="I1133" i="8"/>
  <c r="H1133" i="8"/>
  <c r="F1133" i="8"/>
  <c r="F1132" i="8"/>
  <c r="F1131" i="8"/>
  <c r="J1130" i="8"/>
  <c r="I1130" i="8"/>
  <c r="H1130" i="8"/>
  <c r="G1130" i="8"/>
  <c r="J1129" i="8"/>
  <c r="I1129" i="8"/>
  <c r="H1129" i="8"/>
  <c r="G1129" i="8"/>
  <c r="E1127" i="8"/>
  <c r="D1127" i="8"/>
  <c r="C1127" i="8"/>
  <c r="I1125" i="8"/>
  <c r="H1125" i="8"/>
  <c r="F1125" i="8"/>
  <c r="F1124" i="8"/>
  <c r="F1123" i="8"/>
  <c r="J1122" i="8"/>
  <c r="I1122" i="8"/>
  <c r="H1122" i="8"/>
  <c r="G1122" i="8"/>
  <c r="J1121" i="8"/>
  <c r="I1121" i="8"/>
  <c r="H1121" i="8"/>
  <c r="G1121" i="8"/>
  <c r="E1119" i="8"/>
  <c r="D1119" i="8"/>
  <c r="C1119" i="8"/>
  <c r="C1118" i="8"/>
  <c r="A1116" i="8"/>
  <c r="I1110" i="8"/>
  <c r="H1110" i="8"/>
  <c r="F1110" i="8"/>
  <c r="F1109" i="8"/>
  <c r="F1108" i="8"/>
  <c r="J1107" i="8"/>
  <c r="I1107" i="8"/>
  <c r="H1107" i="8"/>
  <c r="G1107" i="8"/>
  <c r="J1106" i="8"/>
  <c r="I1106" i="8"/>
  <c r="H1106" i="8"/>
  <c r="G1106" i="8"/>
  <c r="E1104" i="8"/>
  <c r="D1104" i="8"/>
  <c r="C1104" i="8"/>
  <c r="I1102" i="8"/>
  <c r="H1102" i="8"/>
  <c r="F1102" i="8"/>
  <c r="F1101" i="8"/>
  <c r="F1100" i="8"/>
  <c r="J1099" i="8"/>
  <c r="I1099" i="8"/>
  <c r="H1099" i="8"/>
  <c r="G1099" i="8"/>
  <c r="J1098" i="8"/>
  <c r="I1098" i="8"/>
  <c r="H1098" i="8"/>
  <c r="G1098" i="8"/>
  <c r="E1096" i="8"/>
  <c r="D1096" i="8"/>
  <c r="C1096" i="8"/>
  <c r="I1094" i="8"/>
  <c r="H1094" i="8"/>
  <c r="F1094" i="8"/>
  <c r="F1093" i="8"/>
  <c r="F1092" i="8"/>
  <c r="J1091" i="8"/>
  <c r="I1091" i="8"/>
  <c r="H1091" i="8"/>
  <c r="G1091" i="8"/>
  <c r="J1090" i="8"/>
  <c r="I1090" i="8"/>
  <c r="H1090" i="8"/>
  <c r="G1090" i="8"/>
  <c r="E1088" i="8"/>
  <c r="D1088" i="8"/>
  <c r="C1088" i="8"/>
  <c r="I1086" i="8"/>
  <c r="H1086" i="8"/>
  <c r="F1086" i="8"/>
  <c r="F1085" i="8"/>
  <c r="F1084" i="8"/>
  <c r="J1083" i="8"/>
  <c r="I1083" i="8"/>
  <c r="H1083" i="8"/>
  <c r="G1083" i="8"/>
  <c r="J1082" i="8"/>
  <c r="I1082" i="8"/>
  <c r="H1082" i="8"/>
  <c r="G1082" i="8"/>
  <c r="E1080" i="8"/>
  <c r="D1080" i="8"/>
  <c r="C1080" i="8"/>
  <c r="I1078" i="8"/>
  <c r="H1078" i="8"/>
  <c r="F1078" i="8"/>
  <c r="F1077" i="8"/>
  <c r="F1076" i="8"/>
  <c r="J1075" i="8"/>
  <c r="I1075" i="8"/>
  <c r="H1075" i="8"/>
  <c r="G1075" i="8"/>
  <c r="E1073" i="8"/>
  <c r="D1073" i="8"/>
  <c r="C1073" i="8"/>
  <c r="I1071" i="8"/>
  <c r="H1071" i="8"/>
  <c r="F1071" i="8"/>
  <c r="F1070" i="8"/>
  <c r="F1069" i="8"/>
  <c r="J1068" i="8"/>
  <c r="I1068" i="8"/>
  <c r="H1068" i="8"/>
  <c r="G1068" i="8"/>
  <c r="J1067" i="8"/>
  <c r="I1067" i="8"/>
  <c r="H1067" i="8"/>
  <c r="G1067" i="8"/>
  <c r="E1065" i="8"/>
  <c r="D1065" i="8"/>
  <c r="C1065" i="8"/>
  <c r="I1063" i="8"/>
  <c r="H1063" i="8"/>
  <c r="F1063" i="8"/>
  <c r="F1062" i="8"/>
  <c r="F1061" i="8"/>
  <c r="J1060" i="8"/>
  <c r="I1060" i="8"/>
  <c r="H1060" i="8"/>
  <c r="G1060" i="8"/>
  <c r="J1059" i="8"/>
  <c r="I1059" i="8"/>
  <c r="H1059" i="8"/>
  <c r="G1059" i="8"/>
  <c r="E1057" i="8"/>
  <c r="D1057" i="8"/>
  <c r="C1057" i="8"/>
  <c r="C1056" i="8"/>
  <c r="A1054" i="8"/>
  <c r="I1048" i="8"/>
  <c r="H1048" i="8"/>
  <c r="F1048" i="8"/>
  <c r="F1047" i="8"/>
  <c r="F1046" i="8"/>
  <c r="J1045" i="8"/>
  <c r="I1045" i="8"/>
  <c r="H1045" i="8"/>
  <c r="G1045" i="8"/>
  <c r="J1044" i="8"/>
  <c r="I1044" i="8"/>
  <c r="H1044" i="8"/>
  <c r="G1044" i="8"/>
  <c r="E1042" i="8"/>
  <c r="D1042" i="8"/>
  <c r="C1042" i="8"/>
  <c r="C1041" i="8"/>
  <c r="A1039" i="8"/>
  <c r="I1033" i="8"/>
  <c r="H1033" i="8"/>
  <c r="F1033" i="8"/>
  <c r="F1032" i="8"/>
  <c r="F1031" i="8"/>
  <c r="J1030" i="8"/>
  <c r="I1030" i="8"/>
  <c r="H1030" i="8"/>
  <c r="G1030" i="8"/>
  <c r="J1029" i="8"/>
  <c r="I1029" i="8"/>
  <c r="H1029" i="8"/>
  <c r="G1029" i="8"/>
  <c r="E1027" i="8"/>
  <c r="D1027" i="8"/>
  <c r="C1027" i="8"/>
  <c r="I1025" i="8"/>
  <c r="H1025" i="8"/>
  <c r="F1025" i="8"/>
  <c r="F1024" i="8"/>
  <c r="F1023" i="8"/>
  <c r="J1022" i="8"/>
  <c r="I1022" i="8"/>
  <c r="H1022" i="8"/>
  <c r="G1022" i="8"/>
  <c r="J1021" i="8"/>
  <c r="I1021" i="8"/>
  <c r="H1021" i="8"/>
  <c r="G1021" i="8"/>
  <c r="E1019" i="8"/>
  <c r="D1019" i="8"/>
  <c r="C1019" i="8"/>
  <c r="I1017" i="8"/>
  <c r="H1017" i="8"/>
  <c r="F1017" i="8"/>
  <c r="F1016" i="8"/>
  <c r="F1015" i="8"/>
  <c r="J1014" i="8"/>
  <c r="I1014" i="8"/>
  <c r="H1014" i="8"/>
  <c r="G1014" i="8"/>
  <c r="J1013" i="8"/>
  <c r="I1013" i="8"/>
  <c r="H1013" i="8"/>
  <c r="G1013" i="8"/>
  <c r="E1011" i="8"/>
  <c r="D1011" i="8"/>
  <c r="C1011" i="8"/>
  <c r="I1009" i="8"/>
  <c r="H1009" i="8"/>
  <c r="F1009" i="8"/>
  <c r="F1008" i="8"/>
  <c r="F1007" i="8"/>
  <c r="J1006" i="8"/>
  <c r="I1006" i="8"/>
  <c r="H1006" i="8"/>
  <c r="G1006" i="8"/>
  <c r="E1004" i="8"/>
  <c r="D1004" i="8"/>
  <c r="C1004" i="8"/>
  <c r="AC1003" i="8"/>
  <c r="C1003" i="8"/>
  <c r="A1001" i="8"/>
  <c r="I995" i="8"/>
  <c r="H995" i="8"/>
  <c r="F995" i="8"/>
  <c r="F994" i="8"/>
  <c r="F993" i="8"/>
  <c r="J992" i="8"/>
  <c r="I992" i="8"/>
  <c r="H992" i="8"/>
  <c r="G992" i="8"/>
  <c r="J991" i="8"/>
  <c r="I991" i="8"/>
  <c r="H991" i="8"/>
  <c r="G991" i="8"/>
  <c r="F990" i="8"/>
  <c r="E990" i="8"/>
  <c r="I988" i="8"/>
  <c r="H988" i="8"/>
  <c r="F988" i="8"/>
  <c r="F987" i="8"/>
  <c r="F986" i="8"/>
  <c r="J985" i="8"/>
  <c r="I985" i="8"/>
  <c r="H985" i="8"/>
  <c r="G985" i="8"/>
  <c r="J984" i="8"/>
  <c r="I984" i="8"/>
  <c r="H984" i="8"/>
  <c r="G984" i="8"/>
  <c r="E982" i="8"/>
  <c r="I980" i="8"/>
  <c r="H980" i="8"/>
  <c r="F980" i="8"/>
  <c r="F979" i="8"/>
  <c r="F978" i="8"/>
  <c r="J977" i="8"/>
  <c r="I977" i="8"/>
  <c r="H977" i="8"/>
  <c r="G977" i="8"/>
  <c r="J976" i="8"/>
  <c r="I976" i="8"/>
  <c r="H976" i="8"/>
  <c r="G976" i="8"/>
  <c r="E974" i="8"/>
  <c r="I972" i="8"/>
  <c r="H972" i="8"/>
  <c r="F972" i="8"/>
  <c r="F971" i="8"/>
  <c r="F970" i="8"/>
  <c r="J969" i="8"/>
  <c r="I969" i="8"/>
  <c r="H969" i="8"/>
  <c r="G969" i="8"/>
  <c r="J968" i="8"/>
  <c r="I968" i="8"/>
  <c r="H968" i="8"/>
  <c r="G968" i="8"/>
  <c r="E966" i="8"/>
  <c r="I964" i="8"/>
  <c r="H964" i="8"/>
  <c r="F964" i="8"/>
  <c r="F963" i="8"/>
  <c r="F962" i="8"/>
  <c r="J961" i="8"/>
  <c r="I961" i="8"/>
  <c r="H961" i="8"/>
  <c r="G961" i="8"/>
  <c r="J960" i="8"/>
  <c r="I960" i="8"/>
  <c r="H960" i="8"/>
  <c r="G960" i="8"/>
  <c r="E958" i="8"/>
  <c r="I956" i="8"/>
  <c r="H956" i="8"/>
  <c r="F956" i="8"/>
  <c r="F955" i="8"/>
  <c r="F954" i="8"/>
  <c r="J953" i="8"/>
  <c r="I953" i="8"/>
  <c r="H953" i="8"/>
  <c r="G953" i="8"/>
  <c r="J952" i="8"/>
  <c r="I952" i="8"/>
  <c r="H952" i="8"/>
  <c r="G952" i="8"/>
  <c r="E950" i="8"/>
  <c r="I948" i="8"/>
  <c r="H948" i="8"/>
  <c r="F948" i="8"/>
  <c r="F947" i="8"/>
  <c r="F946" i="8"/>
  <c r="J945" i="8"/>
  <c r="I945" i="8"/>
  <c r="H945" i="8"/>
  <c r="G945" i="8"/>
  <c r="J944" i="8"/>
  <c r="I944" i="8"/>
  <c r="H944" i="8"/>
  <c r="G944" i="8"/>
  <c r="E942" i="8"/>
  <c r="I940" i="8"/>
  <c r="H940" i="8"/>
  <c r="F940" i="8"/>
  <c r="F939" i="8"/>
  <c r="F938" i="8"/>
  <c r="J937" i="8"/>
  <c r="I937" i="8"/>
  <c r="H937" i="8"/>
  <c r="G937" i="8"/>
  <c r="J936" i="8"/>
  <c r="I936" i="8"/>
  <c r="H936" i="8"/>
  <c r="G936" i="8"/>
  <c r="E934" i="8"/>
  <c r="I932" i="8"/>
  <c r="H932" i="8"/>
  <c r="F932" i="8"/>
  <c r="F931" i="8"/>
  <c r="F930" i="8"/>
  <c r="J929" i="8"/>
  <c r="I929" i="8"/>
  <c r="H929" i="8"/>
  <c r="G929" i="8"/>
  <c r="J928" i="8"/>
  <c r="I928" i="8"/>
  <c r="H928" i="8"/>
  <c r="G928" i="8"/>
  <c r="E926" i="8"/>
  <c r="I924" i="8"/>
  <c r="H924" i="8"/>
  <c r="F924" i="8"/>
  <c r="F923" i="8"/>
  <c r="F922" i="8"/>
  <c r="J921" i="8"/>
  <c r="I921" i="8"/>
  <c r="H921" i="8"/>
  <c r="G921" i="8"/>
  <c r="J920" i="8"/>
  <c r="I920" i="8"/>
  <c r="H920" i="8"/>
  <c r="G920" i="8"/>
  <c r="E918" i="8"/>
  <c r="C917" i="8"/>
  <c r="A915" i="8"/>
  <c r="I909" i="8"/>
  <c r="H909" i="8"/>
  <c r="F909" i="8"/>
  <c r="F908" i="8"/>
  <c r="F907" i="8"/>
  <c r="J906" i="8"/>
  <c r="I906" i="8"/>
  <c r="H906" i="8"/>
  <c r="G906" i="8"/>
  <c r="E904" i="8"/>
  <c r="D904" i="8"/>
  <c r="C904" i="8"/>
  <c r="I902" i="8"/>
  <c r="H902" i="8"/>
  <c r="F902" i="8"/>
  <c r="F901" i="8"/>
  <c r="F900" i="8"/>
  <c r="J899" i="8"/>
  <c r="I899" i="8"/>
  <c r="H899" i="8"/>
  <c r="G899" i="8"/>
  <c r="J898" i="8"/>
  <c r="I898" i="8"/>
  <c r="H898" i="8"/>
  <c r="G898" i="8"/>
  <c r="E896" i="8"/>
  <c r="D896" i="8"/>
  <c r="C896" i="8"/>
  <c r="I894" i="8"/>
  <c r="H894" i="8"/>
  <c r="F894" i="8"/>
  <c r="F893" i="8"/>
  <c r="F892" i="8"/>
  <c r="J891" i="8"/>
  <c r="I891" i="8"/>
  <c r="H891" i="8"/>
  <c r="G891" i="8"/>
  <c r="J890" i="8"/>
  <c r="I890" i="8"/>
  <c r="H890" i="8"/>
  <c r="G890" i="8"/>
  <c r="E888" i="8"/>
  <c r="D888" i="8"/>
  <c r="C888" i="8"/>
  <c r="I886" i="8"/>
  <c r="H886" i="8"/>
  <c r="F886" i="8"/>
  <c r="F885" i="8"/>
  <c r="F884" i="8"/>
  <c r="J883" i="8"/>
  <c r="I883" i="8"/>
  <c r="H883" i="8"/>
  <c r="G883" i="8"/>
  <c r="J882" i="8"/>
  <c r="I882" i="8"/>
  <c r="H882" i="8"/>
  <c r="G882" i="8"/>
  <c r="E880" i="8"/>
  <c r="D880" i="8"/>
  <c r="C880" i="8"/>
  <c r="I878" i="8"/>
  <c r="H878" i="8"/>
  <c r="F878" i="8"/>
  <c r="F877" i="8"/>
  <c r="F876" i="8"/>
  <c r="J875" i="8"/>
  <c r="I875" i="8"/>
  <c r="H875" i="8"/>
  <c r="G875" i="8"/>
  <c r="J874" i="8"/>
  <c r="I874" i="8"/>
  <c r="H874" i="8"/>
  <c r="G874" i="8"/>
  <c r="E872" i="8"/>
  <c r="D872" i="8"/>
  <c r="C872" i="8"/>
  <c r="I870" i="8"/>
  <c r="H870" i="8"/>
  <c r="F870" i="8"/>
  <c r="F869" i="8"/>
  <c r="F868" i="8"/>
  <c r="J867" i="8"/>
  <c r="I867" i="8"/>
  <c r="H867" i="8"/>
  <c r="G867" i="8"/>
  <c r="J866" i="8"/>
  <c r="I866" i="8"/>
  <c r="H866" i="8"/>
  <c r="G866" i="8"/>
  <c r="E864" i="8"/>
  <c r="D864" i="8"/>
  <c r="C864" i="8"/>
  <c r="I862" i="8"/>
  <c r="H862" i="8"/>
  <c r="F862" i="8"/>
  <c r="F861" i="8"/>
  <c r="F860" i="8"/>
  <c r="J859" i="8"/>
  <c r="I859" i="8"/>
  <c r="H859" i="8"/>
  <c r="G859" i="8"/>
  <c r="J858" i="8"/>
  <c r="I858" i="8"/>
  <c r="H858" i="8"/>
  <c r="G858" i="8"/>
  <c r="E856" i="8"/>
  <c r="D856" i="8"/>
  <c r="C856" i="8"/>
  <c r="I854" i="8"/>
  <c r="H854" i="8"/>
  <c r="F854" i="8"/>
  <c r="F853" i="8"/>
  <c r="F852" i="8"/>
  <c r="J851" i="8"/>
  <c r="I851" i="8"/>
  <c r="H851" i="8"/>
  <c r="G851" i="8"/>
  <c r="J850" i="8"/>
  <c r="I850" i="8"/>
  <c r="H850" i="8"/>
  <c r="G850" i="8"/>
  <c r="E848" i="8"/>
  <c r="D848" i="8"/>
  <c r="C848" i="8"/>
  <c r="C847" i="8"/>
  <c r="I844" i="8"/>
  <c r="H844" i="8"/>
  <c r="F844" i="8"/>
  <c r="F843" i="8"/>
  <c r="F842" i="8"/>
  <c r="J841" i="8"/>
  <c r="I841" i="8"/>
  <c r="H841" i="8"/>
  <c r="G841" i="8"/>
  <c r="J840" i="8"/>
  <c r="I840" i="8"/>
  <c r="H840" i="8"/>
  <c r="G840" i="8"/>
  <c r="E838" i="8"/>
  <c r="D838" i="8"/>
  <c r="C838" i="8"/>
  <c r="I836" i="8"/>
  <c r="H836" i="8"/>
  <c r="F836" i="8"/>
  <c r="F835" i="8"/>
  <c r="F834" i="8"/>
  <c r="J833" i="8"/>
  <c r="I833" i="8"/>
  <c r="H833" i="8"/>
  <c r="G833" i="8"/>
  <c r="J832" i="8"/>
  <c r="I832" i="8"/>
  <c r="H832" i="8"/>
  <c r="G832" i="8"/>
  <c r="E830" i="8"/>
  <c r="D830" i="8"/>
  <c r="C830" i="8"/>
  <c r="C829" i="8"/>
  <c r="I826" i="8"/>
  <c r="H826" i="8"/>
  <c r="F826" i="8"/>
  <c r="F825" i="8"/>
  <c r="F824" i="8"/>
  <c r="J823" i="8"/>
  <c r="I823" i="8"/>
  <c r="H823" i="8"/>
  <c r="G823" i="8"/>
  <c r="J822" i="8"/>
  <c r="I822" i="8"/>
  <c r="H822" i="8"/>
  <c r="G822" i="8"/>
  <c r="E820" i="8"/>
  <c r="D820" i="8"/>
  <c r="C820" i="8"/>
  <c r="I818" i="8"/>
  <c r="H818" i="8"/>
  <c r="F818" i="8"/>
  <c r="F817" i="8"/>
  <c r="F816" i="8"/>
  <c r="J815" i="8"/>
  <c r="I815" i="8"/>
  <c r="H815" i="8"/>
  <c r="G815" i="8"/>
  <c r="J814" i="8"/>
  <c r="I814" i="8"/>
  <c r="H814" i="8"/>
  <c r="G814" i="8"/>
  <c r="F813" i="8"/>
  <c r="E813" i="8"/>
  <c r="D813" i="8"/>
  <c r="C813" i="8"/>
  <c r="I811" i="8"/>
  <c r="H811" i="8"/>
  <c r="F811" i="8"/>
  <c r="F810" i="8"/>
  <c r="F809" i="8"/>
  <c r="J808" i="8"/>
  <c r="I808" i="8"/>
  <c r="H808" i="8"/>
  <c r="G808" i="8"/>
  <c r="J807" i="8"/>
  <c r="I807" i="8"/>
  <c r="H807" i="8"/>
  <c r="G807" i="8"/>
  <c r="F806" i="8"/>
  <c r="E806" i="8"/>
  <c r="D806" i="8"/>
  <c r="C806" i="8"/>
  <c r="I804" i="8"/>
  <c r="H804" i="8"/>
  <c r="F804" i="8"/>
  <c r="F803" i="8"/>
  <c r="F802" i="8"/>
  <c r="J801" i="8"/>
  <c r="I801" i="8"/>
  <c r="H801" i="8"/>
  <c r="G801" i="8"/>
  <c r="J800" i="8"/>
  <c r="I800" i="8"/>
  <c r="H800" i="8"/>
  <c r="G800" i="8"/>
  <c r="F799" i="8"/>
  <c r="E799" i="8"/>
  <c r="D799" i="8"/>
  <c r="C799" i="8"/>
  <c r="C798" i="8"/>
  <c r="I795" i="8"/>
  <c r="H795" i="8"/>
  <c r="F795" i="8"/>
  <c r="F794" i="8"/>
  <c r="F793" i="8"/>
  <c r="J792" i="8"/>
  <c r="I792" i="8"/>
  <c r="H792" i="8"/>
  <c r="G792" i="8"/>
  <c r="J791" i="8"/>
  <c r="I791" i="8"/>
  <c r="H791" i="8"/>
  <c r="G791" i="8"/>
  <c r="E789" i="8"/>
  <c r="D789" i="8"/>
  <c r="C789" i="8"/>
  <c r="I787" i="8"/>
  <c r="H787" i="8"/>
  <c r="F787" i="8"/>
  <c r="F786" i="8"/>
  <c r="F785" i="8"/>
  <c r="J784" i="8"/>
  <c r="I784" i="8"/>
  <c r="H784" i="8"/>
  <c r="G784" i="8"/>
  <c r="J783" i="8"/>
  <c r="I783" i="8"/>
  <c r="H783" i="8"/>
  <c r="G783" i="8"/>
  <c r="E781" i="8"/>
  <c r="D781" i="8"/>
  <c r="C781" i="8"/>
  <c r="I779" i="8"/>
  <c r="H779" i="8"/>
  <c r="F779" i="8"/>
  <c r="F778" i="8"/>
  <c r="F777" i="8"/>
  <c r="J776" i="8"/>
  <c r="I776" i="8"/>
  <c r="H776" i="8"/>
  <c r="G776" i="8"/>
  <c r="J775" i="8"/>
  <c r="I775" i="8"/>
  <c r="H775" i="8"/>
  <c r="G775" i="8"/>
  <c r="E773" i="8"/>
  <c r="D773" i="8"/>
  <c r="C773" i="8"/>
  <c r="C772" i="8"/>
  <c r="A770" i="8"/>
  <c r="A768" i="8"/>
  <c r="I759" i="8"/>
  <c r="H759" i="8"/>
  <c r="F759" i="8"/>
  <c r="F758" i="8"/>
  <c r="F757" i="8"/>
  <c r="F756" i="8"/>
  <c r="J755" i="8"/>
  <c r="I755" i="8"/>
  <c r="H755" i="8"/>
  <c r="G755" i="8"/>
  <c r="J754" i="8"/>
  <c r="I754" i="8"/>
  <c r="H754" i="8"/>
  <c r="G754" i="8"/>
  <c r="J753" i="8"/>
  <c r="I753" i="8"/>
  <c r="H753" i="8"/>
  <c r="G753" i="8"/>
  <c r="J752" i="8"/>
  <c r="I752" i="8"/>
  <c r="H752" i="8"/>
  <c r="G752" i="8"/>
  <c r="E750" i="8"/>
  <c r="D750" i="8"/>
  <c r="C750" i="8"/>
  <c r="I748" i="8"/>
  <c r="H748" i="8"/>
  <c r="F748" i="8"/>
  <c r="F747" i="8"/>
  <c r="F746" i="8"/>
  <c r="F745" i="8"/>
  <c r="J744" i="8"/>
  <c r="I744" i="8"/>
  <c r="H744" i="8"/>
  <c r="G744" i="8"/>
  <c r="J743" i="8"/>
  <c r="I743" i="8"/>
  <c r="H743" i="8"/>
  <c r="G743" i="8"/>
  <c r="J742" i="8"/>
  <c r="I742" i="8"/>
  <c r="H742" i="8"/>
  <c r="G742" i="8"/>
  <c r="J741" i="8"/>
  <c r="I741" i="8"/>
  <c r="H741" i="8"/>
  <c r="G741" i="8"/>
  <c r="F740" i="8"/>
  <c r="E740" i="8"/>
  <c r="D740" i="8"/>
  <c r="C740" i="8"/>
  <c r="I738" i="8"/>
  <c r="H738" i="8"/>
  <c r="F738" i="8"/>
  <c r="F737" i="8"/>
  <c r="F736" i="8"/>
  <c r="F735" i="8"/>
  <c r="J734" i="8"/>
  <c r="I734" i="8"/>
  <c r="H734" i="8"/>
  <c r="G734" i="8"/>
  <c r="J733" i="8"/>
  <c r="I733" i="8"/>
  <c r="H733" i="8"/>
  <c r="G733" i="8"/>
  <c r="J732" i="8"/>
  <c r="I732" i="8"/>
  <c r="H732" i="8"/>
  <c r="G732" i="8"/>
  <c r="J731" i="8"/>
  <c r="I731" i="8"/>
  <c r="H731" i="8"/>
  <c r="G731" i="8"/>
  <c r="F730" i="8"/>
  <c r="E730" i="8"/>
  <c r="D730" i="8"/>
  <c r="C730" i="8"/>
  <c r="I728" i="8"/>
  <c r="H728" i="8"/>
  <c r="F728" i="8"/>
  <c r="F727" i="8"/>
  <c r="F726" i="8"/>
  <c r="F725" i="8"/>
  <c r="J724" i="8"/>
  <c r="I724" i="8"/>
  <c r="H724" i="8"/>
  <c r="G724" i="8"/>
  <c r="J723" i="8"/>
  <c r="I723" i="8"/>
  <c r="H723" i="8"/>
  <c r="G723" i="8"/>
  <c r="J722" i="8"/>
  <c r="I722" i="8"/>
  <c r="H722" i="8"/>
  <c r="G722" i="8"/>
  <c r="J721" i="8"/>
  <c r="I721" i="8"/>
  <c r="H721" i="8"/>
  <c r="G721" i="8"/>
  <c r="F720" i="8"/>
  <c r="E720" i="8"/>
  <c r="D720" i="8"/>
  <c r="C720" i="8"/>
  <c r="C719" i="8"/>
  <c r="I716" i="8"/>
  <c r="H716" i="8"/>
  <c r="F716" i="8"/>
  <c r="F715" i="8"/>
  <c r="F714" i="8"/>
  <c r="F713" i="8"/>
  <c r="J712" i="8"/>
  <c r="I712" i="8"/>
  <c r="H712" i="8"/>
  <c r="G712" i="8"/>
  <c r="J711" i="8"/>
  <c r="I711" i="8"/>
  <c r="H711" i="8"/>
  <c r="G711" i="8"/>
  <c r="J710" i="8"/>
  <c r="I710" i="8"/>
  <c r="H710" i="8"/>
  <c r="G710" i="8"/>
  <c r="J709" i="8"/>
  <c r="I709" i="8"/>
  <c r="H709" i="8"/>
  <c r="G709" i="8"/>
  <c r="E707" i="8"/>
  <c r="D707" i="8"/>
  <c r="C707" i="8"/>
  <c r="I705" i="8"/>
  <c r="H705" i="8"/>
  <c r="F705" i="8"/>
  <c r="F704" i="8"/>
  <c r="F703" i="8"/>
  <c r="F702" i="8"/>
  <c r="J701" i="8"/>
  <c r="I701" i="8"/>
  <c r="H701" i="8"/>
  <c r="G701" i="8"/>
  <c r="J700" i="8"/>
  <c r="I700" i="8"/>
  <c r="H700" i="8"/>
  <c r="G700" i="8"/>
  <c r="J699" i="8"/>
  <c r="I699" i="8"/>
  <c r="H699" i="8"/>
  <c r="G699" i="8"/>
  <c r="J698" i="8"/>
  <c r="I698" i="8"/>
  <c r="H698" i="8"/>
  <c r="G698" i="8"/>
  <c r="E696" i="8"/>
  <c r="D696" i="8"/>
  <c r="C696" i="8"/>
  <c r="C695" i="8"/>
  <c r="A693" i="8"/>
  <c r="I687" i="8"/>
  <c r="H687" i="8"/>
  <c r="F687" i="8"/>
  <c r="F686" i="8"/>
  <c r="F685" i="8"/>
  <c r="F684" i="8"/>
  <c r="J683" i="8"/>
  <c r="I683" i="8"/>
  <c r="H683" i="8"/>
  <c r="G683" i="8"/>
  <c r="J682" i="8"/>
  <c r="I682" i="8"/>
  <c r="H682" i="8"/>
  <c r="G682" i="8"/>
  <c r="J681" i="8"/>
  <c r="I681" i="8"/>
  <c r="H681" i="8"/>
  <c r="G681" i="8"/>
  <c r="J680" i="8"/>
  <c r="I680" i="8"/>
  <c r="H680" i="8"/>
  <c r="G680" i="8"/>
  <c r="F679" i="8"/>
  <c r="E679" i="8"/>
  <c r="D679" i="8"/>
  <c r="C679" i="8"/>
  <c r="I677" i="8"/>
  <c r="H677" i="8"/>
  <c r="F677" i="8"/>
  <c r="F676" i="8"/>
  <c r="F675" i="8"/>
  <c r="J674" i="8"/>
  <c r="I674" i="8"/>
  <c r="H674" i="8"/>
  <c r="G674" i="8"/>
  <c r="J673" i="8"/>
  <c r="I673" i="8"/>
  <c r="H673" i="8"/>
  <c r="G673" i="8"/>
  <c r="F672" i="8"/>
  <c r="E672" i="8"/>
  <c r="D672" i="8"/>
  <c r="C672" i="8"/>
  <c r="I670" i="8"/>
  <c r="H670" i="8"/>
  <c r="F670" i="8"/>
  <c r="F669" i="8"/>
  <c r="F668" i="8"/>
  <c r="F667" i="8"/>
  <c r="J666" i="8"/>
  <c r="I666" i="8"/>
  <c r="H666" i="8"/>
  <c r="G666" i="8"/>
  <c r="J665" i="8"/>
  <c r="I665" i="8"/>
  <c r="H665" i="8"/>
  <c r="G665" i="8"/>
  <c r="J664" i="8"/>
  <c r="I664" i="8"/>
  <c r="H664" i="8"/>
  <c r="G664" i="8"/>
  <c r="J663" i="8"/>
  <c r="I663" i="8"/>
  <c r="H663" i="8"/>
  <c r="G663" i="8"/>
  <c r="F662" i="8"/>
  <c r="E662" i="8"/>
  <c r="D662" i="8"/>
  <c r="C662" i="8"/>
  <c r="C661" i="8"/>
  <c r="I658" i="8"/>
  <c r="H658" i="8"/>
  <c r="F658" i="8"/>
  <c r="F657" i="8"/>
  <c r="F656" i="8"/>
  <c r="J655" i="8"/>
  <c r="I655" i="8"/>
  <c r="H655" i="8"/>
  <c r="G655" i="8"/>
  <c r="E653" i="8"/>
  <c r="D653" i="8"/>
  <c r="C653" i="8"/>
  <c r="I651" i="8"/>
  <c r="H651" i="8"/>
  <c r="F651" i="8"/>
  <c r="F650" i="8"/>
  <c r="F649" i="8"/>
  <c r="J648" i="8"/>
  <c r="I648" i="8"/>
  <c r="H648" i="8"/>
  <c r="G648" i="8"/>
  <c r="J647" i="8"/>
  <c r="I647" i="8"/>
  <c r="H647" i="8"/>
  <c r="G647" i="8"/>
  <c r="E645" i="8"/>
  <c r="D645" i="8"/>
  <c r="C645" i="8"/>
  <c r="I643" i="8"/>
  <c r="H643" i="8"/>
  <c r="F643" i="8"/>
  <c r="F642" i="8"/>
  <c r="F641" i="8"/>
  <c r="J640" i="8"/>
  <c r="I640" i="8"/>
  <c r="H640" i="8"/>
  <c r="G640" i="8"/>
  <c r="J639" i="8"/>
  <c r="I639" i="8"/>
  <c r="H639" i="8"/>
  <c r="G639" i="8"/>
  <c r="E637" i="8"/>
  <c r="D637" i="8"/>
  <c r="C637" i="8"/>
  <c r="I635" i="8"/>
  <c r="H635" i="8"/>
  <c r="F635" i="8"/>
  <c r="F634" i="8"/>
  <c r="F633" i="8"/>
  <c r="J632" i="8"/>
  <c r="I632" i="8"/>
  <c r="H632" i="8"/>
  <c r="G632" i="8"/>
  <c r="J631" i="8"/>
  <c r="I631" i="8"/>
  <c r="H631" i="8"/>
  <c r="G631" i="8"/>
  <c r="E629" i="8"/>
  <c r="D629" i="8"/>
  <c r="C629" i="8"/>
  <c r="I627" i="8"/>
  <c r="H627" i="8"/>
  <c r="F627" i="8"/>
  <c r="F626" i="8"/>
  <c r="F625" i="8"/>
  <c r="F624" i="8"/>
  <c r="J623" i="8"/>
  <c r="I623" i="8"/>
  <c r="H623" i="8"/>
  <c r="G623" i="8"/>
  <c r="J622" i="8"/>
  <c r="I622" i="8"/>
  <c r="H622" i="8"/>
  <c r="G622" i="8"/>
  <c r="J621" i="8"/>
  <c r="I621" i="8"/>
  <c r="H621" i="8"/>
  <c r="G621" i="8"/>
  <c r="J620" i="8"/>
  <c r="I620" i="8"/>
  <c r="H620" i="8"/>
  <c r="G620" i="8"/>
  <c r="E618" i="8"/>
  <c r="D618" i="8"/>
  <c r="C618" i="8"/>
  <c r="C617" i="8"/>
  <c r="A615" i="8"/>
  <c r="A613" i="8"/>
  <c r="C605" i="8"/>
  <c r="C603" i="8"/>
  <c r="C601" i="8"/>
  <c r="I598" i="8"/>
  <c r="H598" i="8"/>
  <c r="F598" i="8"/>
  <c r="F597" i="8"/>
  <c r="F596" i="8"/>
  <c r="J595" i="8"/>
  <c r="I595" i="8"/>
  <c r="H595" i="8"/>
  <c r="G595" i="8"/>
  <c r="J594" i="8"/>
  <c r="I594" i="8"/>
  <c r="H594" i="8"/>
  <c r="G594" i="8"/>
  <c r="E592" i="8"/>
  <c r="D592" i="8"/>
  <c r="C592" i="8"/>
  <c r="I590" i="8"/>
  <c r="H590" i="8"/>
  <c r="F590" i="8"/>
  <c r="F589" i="8"/>
  <c r="F588" i="8"/>
  <c r="J587" i="8"/>
  <c r="I587" i="8"/>
  <c r="H587" i="8"/>
  <c r="G587" i="8"/>
  <c r="E585" i="8"/>
  <c r="D585" i="8"/>
  <c r="C585" i="8"/>
  <c r="I583" i="8"/>
  <c r="H583" i="8"/>
  <c r="F583" i="8"/>
  <c r="F582" i="8"/>
  <c r="F581" i="8"/>
  <c r="J580" i="8"/>
  <c r="I580" i="8"/>
  <c r="H580" i="8"/>
  <c r="G580" i="8"/>
  <c r="J579" i="8"/>
  <c r="I579" i="8"/>
  <c r="H579" i="8"/>
  <c r="G579" i="8"/>
  <c r="J578" i="8"/>
  <c r="I578" i="8"/>
  <c r="H578" i="8"/>
  <c r="G578" i="8"/>
  <c r="F577" i="8"/>
  <c r="E577" i="8"/>
  <c r="D577" i="8"/>
  <c r="C577" i="8"/>
  <c r="I575" i="8"/>
  <c r="H575" i="8"/>
  <c r="F575" i="8"/>
  <c r="F574" i="8"/>
  <c r="F573" i="8"/>
  <c r="F572" i="8"/>
  <c r="J571" i="8"/>
  <c r="I571" i="8"/>
  <c r="H571" i="8"/>
  <c r="G571" i="8"/>
  <c r="J570" i="8"/>
  <c r="I570" i="8"/>
  <c r="H570" i="8"/>
  <c r="G570" i="8"/>
  <c r="J569" i="8"/>
  <c r="I569" i="8"/>
  <c r="H569" i="8"/>
  <c r="G569" i="8"/>
  <c r="J568" i="8"/>
  <c r="I568" i="8"/>
  <c r="H568" i="8"/>
  <c r="G568" i="8"/>
  <c r="E566" i="8"/>
  <c r="D566" i="8"/>
  <c r="C566" i="8"/>
  <c r="I564" i="8"/>
  <c r="H564" i="8"/>
  <c r="F564" i="8"/>
  <c r="F563" i="8"/>
  <c r="F562" i="8"/>
  <c r="F561" i="8"/>
  <c r="J560" i="8"/>
  <c r="I560" i="8"/>
  <c r="H560" i="8"/>
  <c r="G560" i="8"/>
  <c r="J559" i="8"/>
  <c r="I559" i="8"/>
  <c r="H559" i="8"/>
  <c r="G559" i="8"/>
  <c r="J558" i="8"/>
  <c r="I558" i="8"/>
  <c r="H558" i="8"/>
  <c r="G558" i="8"/>
  <c r="J557" i="8"/>
  <c r="I557" i="8"/>
  <c r="H557" i="8"/>
  <c r="G557" i="8"/>
  <c r="E555" i="8"/>
  <c r="D555" i="8"/>
  <c r="C555" i="8"/>
  <c r="I553" i="8"/>
  <c r="H553" i="8"/>
  <c r="F553" i="8"/>
  <c r="F552" i="8"/>
  <c r="F551" i="8"/>
  <c r="F550" i="8"/>
  <c r="J549" i="8"/>
  <c r="I549" i="8"/>
  <c r="H549" i="8"/>
  <c r="G549" i="8"/>
  <c r="J548" i="8"/>
  <c r="I548" i="8"/>
  <c r="H548" i="8"/>
  <c r="G548" i="8"/>
  <c r="J547" i="8"/>
  <c r="I547" i="8"/>
  <c r="H547" i="8"/>
  <c r="G547" i="8"/>
  <c r="J546" i="8"/>
  <c r="I546" i="8"/>
  <c r="H546" i="8"/>
  <c r="G546" i="8"/>
  <c r="E544" i="8"/>
  <c r="D544" i="8"/>
  <c r="C544" i="8"/>
  <c r="I542" i="8"/>
  <c r="H542" i="8"/>
  <c r="F542" i="8"/>
  <c r="F541" i="8"/>
  <c r="F540" i="8"/>
  <c r="J539" i="8"/>
  <c r="I539" i="8"/>
  <c r="H539" i="8"/>
  <c r="G539" i="8"/>
  <c r="J538" i="8"/>
  <c r="I538" i="8"/>
  <c r="H538" i="8"/>
  <c r="G538" i="8"/>
  <c r="J537" i="8"/>
  <c r="I537" i="8"/>
  <c r="H537" i="8"/>
  <c r="G537" i="8"/>
  <c r="E535" i="8"/>
  <c r="D535" i="8"/>
  <c r="C535" i="8"/>
  <c r="I533" i="8"/>
  <c r="H533" i="8"/>
  <c r="F533" i="8"/>
  <c r="F532" i="8"/>
  <c r="F531" i="8"/>
  <c r="F530" i="8"/>
  <c r="J529" i="8"/>
  <c r="I529" i="8"/>
  <c r="H529" i="8"/>
  <c r="G529" i="8"/>
  <c r="J528" i="8"/>
  <c r="I528" i="8"/>
  <c r="H528" i="8"/>
  <c r="G528" i="8"/>
  <c r="J527" i="8"/>
  <c r="I527" i="8"/>
  <c r="H527" i="8"/>
  <c r="G527" i="8"/>
  <c r="J526" i="8"/>
  <c r="I526" i="8"/>
  <c r="H526" i="8"/>
  <c r="G526" i="8"/>
  <c r="E524" i="8"/>
  <c r="D524" i="8"/>
  <c r="C524" i="8"/>
  <c r="I522" i="8"/>
  <c r="H522" i="8"/>
  <c r="F522" i="8"/>
  <c r="F521" i="8"/>
  <c r="F520" i="8"/>
  <c r="F519" i="8"/>
  <c r="J518" i="8"/>
  <c r="I518" i="8"/>
  <c r="H518" i="8"/>
  <c r="G518" i="8"/>
  <c r="J517" i="8"/>
  <c r="I517" i="8"/>
  <c r="H517" i="8"/>
  <c r="G517" i="8"/>
  <c r="J516" i="8"/>
  <c r="I516" i="8"/>
  <c r="H516" i="8"/>
  <c r="G516" i="8"/>
  <c r="J515" i="8"/>
  <c r="I515" i="8"/>
  <c r="H515" i="8"/>
  <c r="G515" i="8"/>
  <c r="E513" i="8"/>
  <c r="D513" i="8"/>
  <c r="C513" i="8"/>
  <c r="I511" i="8"/>
  <c r="H511" i="8"/>
  <c r="F511" i="8"/>
  <c r="F510" i="8"/>
  <c r="F509" i="8"/>
  <c r="F508" i="8"/>
  <c r="J507" i="8"/>
  <c r="I507" i="8"/>
  <c r="H507" i="8"/>
  <c r="G507" i="8"/>
  <c r="J506" i="8"/>
  <c r="I506" i="8"/>
  <c r="H506" i="8"/>
  <c r="G506" i="8"/>
  <c r="J505" i="8"/>
  <c r="I505" i="8"/>
  <c r="H505" i="8"/>
  <c r="G505" i="8"/>
  <c r="J504" i="8"/>
  <c r="I504" i="8"/>
  <c r="H504" i="8"/>
  <c r="G504" i="8"/>
  <c r="F503" i="8"/>
  <c r="E503" i="8"/>
  <c r="D503" i="8"/>
  <c r="C503" i="8"/>
  <c r="I501" i="8"/>
  <c r="H501" i="8"/>
  <c r="F501" i="8"/>
  <c r="F500" i="8"/>
  <c r="F499" i="8"/>
  <c r="F498" i="8"/>
  <c r="J497" i="8"/>
  <c r="I497" i="8"/>
  <c r="H497" i="8"/>
  <c r="G497" i="8"/>
  <c r="J496" i="8"/>
  <c r="I496" i="8"/>
  <c r="H496" i="8"/>
  <c r="G496" i="8"/>
  <c r="J495" i="8"/>
  <c r="I495" i="8"/>
  <c r="H495" i="8"/>
  <c r="G495" i="8"/>
  <c r="J494" i="8"/>
  <c r="I494" i="8"/>
  <c r="H494" i="8"/>
  <c r="G494" i="8"/>
  <c r="E492" i="8"/>
  <c r="D492" i="8"/>
  <c r="C492" i="8"/>
  <c r="C491" i="8"/>
  <c r="I488" i="8"/>
  <c r="H488" i="8"/>
  <c r="F488" i="8"/>
  <c r="F487" i="8"/>
  <c r="F486" i="8"/>
  <c r="J485" i="8"/>
  <c r="I485" i="8"/>
  <c r="H485" i="8"/>
  <c r="G485" i="8"/>
  <c r="J484" i="8"/>
  <c r="I484" i="8"/>
  <c r="H484" i="8"/>
  <c r="G484" i="8"/>
  <c r="E482" i="8"/>
  <c r="D482" i="8"/>
  <c r="C482" i="8"/>
  <c r="I480" i="8"/>
  <c r="H480" i="8"/>
  <c r="F480" i="8"/>
  <c r="F479" i="8"/>
  <c r="F478" i="8"/>
  <c r="J477" i="8"/>
  <c r="I477" i="8"/>
  <c r="H477" i="8"/>
  <c r="G477" i="8"/>
  <c r="E475" i="8"/>
  <c r="D475" i="8"/>
  <c r="C475" i="8"/>
  <c r="I473" i="8"/>
  <c r="H473" i="8"/>
  <c r="F473" i="8"/>
  <c r="F472" i="8"/>
  <c r="F471" i="8"/>
  <c r="J470" i="8"/>
  <c r="I470" i="8"/>
  <c r="H470" i="8"/>
  <c r="G470" i="8"/>
  <c r="J469" i="8"/>
  <c r="I469" i="8"/>
  <c r="H469" i="8"/>
  <c r="G469" i="8"/>
  <c r="J468" i="8"/>
  <c r="I468" i="8"/>
  <c r="H468" i="8"/>
  <c r="G468" i="8"/>
  <c r="E466" i="8"/>
  <c r="D466" i="8"/>
  <c r="C466" i="8"/>
  <c r="I464" i="8"/>
  <c r="H464" i="8"/>
  <c r="F464" i="8"/>
  <c r="F463" i="8"/>
  <c r="F462" i="8"/>
  <c r="F461" i="8"/>
  <c r="J460" i="8"/>
  <c r="I460" i="8"/>
  <c r="H460" i="8"/>
  <c r="G460" i="8"/>
  <c r="J459" i="8"/>
  <c r="I459" i="8"/>
  <c r="H459" i="8"/>
  <c r="G459" i="8"/>
  <c r="J458" i="8"/>
  <c r="I458" i="8"/>
  <c r="H458" i="8"/>
  <c r="G458" i="8"/>
  <c r="J457" i="8"/>
  <c r="I457" i="8"/>
  <c r="H457" i="8"/>
  <c r="G457" i="8"/>
  <c r="E455" i="8"/>
  <c r="D455" i="8"/>
  <c r="C455" i="8"/>
  <c r="I453" i="8"/>
  <c r="H453" i="8"/>
  <c r="F453" i="8"/>
  <c r="F452" i="8"/>
  <c r="F451" i="8"/>
  <c r="F450" i="8"/>
  <c r="J449" i="8"/>
  <c r="I449" i="8"/>
  <c r="H449" i="8"/>
  <c r="G449" i="8"/>
  <c r="J448" i="8"/>
  <c r="I448" i="8"/>
  <c r="H448" i="8"/>
  <c r="G448" i="8"/>
  <c r="J447" i="8"/>
  <c r="I447" i="8"/>
  <c r="H447" i="8"/>
  <c r="G447" i="8"/>
  <c r="J446" i="8"/>
  <c r="I446" i="8"/>
  <c r="H446" i="8"/>
  <c r="G446" i="8"/>
  <c r="E444" i="8"/>
  <c r="D444" i="8"/>
  <c r="C444" i="8"/>
  <c r="I442" i="8"/>
  <c r="H442" i="8"/>
  <c r="F442" i="8"/>
  <c r="F441" i="8"/>
  <c r="F440" i="8"/>
  <c r="F439" i="8"/>
  <c r="J438" i="8"/>
  <c r="I438" i="8"/>
  <c r="H438" i="8"/>
  <c r="G438" i="8"/>
  <c r="J437" i="8"/>
  <c r="I437" i="8"/>
  <c r="H437" i="8"/>
  <c r="G437" i="8"/>
  <c r="J436" i="8"/>
  <c r="I436" i="8"/>
  <c r="H436" i="8"/>
  <c r="G436" i="8"/>
  <c r="J435" i="8"/>
  <c r="I435" i="8"/>
  <c r="H435" i="8"/>
  <c r="G435" i="8"/>
  <c r="E433" i="8"/>
  <c r="D433" i="8"/>
  <c r="C433" i="8"/>
  <c r="I431" i="8"/>
  <c r="H431" i="8"/>
  <c r="F431" i="8"/>
  <c r="F430" i="8"/>
  <c r="F429" i="8"/>
  <c r="F428" i="8"/>
  <c r="J427" i="8"/>
  <c r="I427" i="8"/>
  <c r="H427" i="8"/>
  <c r="G427" i="8"/>
  <c r="J426" i="8"/>
  <c r="I426" i="8"/>
  <c r="H426" i="8"/>
  <c r="G426" i="8"/>
  <c r="J425" i="8"/>
  <c r="I425" i="8"/>
  <c r="H425" i="8"/>
  <c r="G425" i="8"/>
  <c r="J424" i="8"/>
  <c r="I424" i="8"/>
  <c r="H424" i="8"/>
  <c r="G424" i="8"/>
  <c r="E422" i="8"/>
  <c r="D422" i="8"/>
  <c r="C422" i="8"/>
  <c r="I420" i="8"/>
  <c r="H420" i="8"/>
  <c r="F420" i="8"/>
  <c r="F419" i="8"/>
  <c r="F418" i="8"/>
  <c r="F417" i="8"/>
  <c r="J416" i="8"/>
  <c r="I416" i="8"/>
  <c r="H416" i="8"/>
  <c r="G416" i="8"/>
  <c r="J415" i="8"/>
  <c r="I415" i="8"/>
  <c r="H415" i="8"/>
  <c r="G415" i="8"/>
  <c r="J414" i="8"/>
  <c r="I414" i="8"/>
  <c r="H414" i="8"/>
  <c r="G414" i="8"/>
  <c r="J413" i="8"/>
  <c r="I413" i="8"/>
  <c r="H413" i="8"/>
  <c r="G413" i="8"/>
  <c r="E411" i="8"/>
  <c r="D411" i="8"/>
  <c r="C411" i="8"/>
  <c r="C410" i="8"/>
  <c r="A408" i="8"/>
  <c r="I402" i="8"/>
  <c r="H402" i="8"/>
  <c r="F402" i="8"/>
  <c r="F401" i="8"/>
  <c r="F400" i="8"/>
  <c r="J399" i="8"/>
  <c r="I399" i="8"/>
  <c r="H399" i="8"/>
  <c r="G399" i="8"/>
  <c r="J398" i="8"/>
  <c r="I398" i="8"/>
  <c r="H398" i="8"/>
  <c r="G398" i="8"/>
  <c r="E396" i="8"/>
  <c r="D396" i="8"/>
  <c r="C396" i="8"/>
  <c r="I394" i="8"/>
  <c r="H394" i="8"/>
  <c r="F394" i="8"/>
  <c r="F393" i="8"/>
  <c r="F392" i="8"/>
  <c r="J391" i="8"/>
  <c r="I391" i="8"/>
  <c r="H391" i="8"/>
  <c r="G391" i="8"/>
  <c r="J390" i="8"/>
  <c r="I390" i="8"/>
  <c r="H390" i="8"/>
  <c r="G390" i="8"/>
  <c r="E388" i="8"/>
  <c r="D388" i="8"/>
  <c r="C388" i="8"/>
  <c r="I386" i="8"/>
  <c r="H386" i="8"/>
  <c r="F386" i="8"/>
  <c r="F385" i="8"/>
  <c r="F384" i="8"/>
  <c r="J383" i="8"/>
  <c r="I383" i="8"/>
  <c r="H383" i="8"/>
  <c r="G383" i="8"/>
  <c r="J382" i="8"/>
  <c r="I382" i="8"/>
  <c r="H382" i="8"/>
  <c r="G382" i="8"/>
  <c r="E380" i="8"/>
  <c r="D380" i="8"/>
  <c r="C380" i="8"/>
  <c r="I378" i="8"/>
  <c r="H378" i="8"/>
  <c r="F378" i="8"/>
  <c r="F377" i="8"/>
  <c r="F376" i="8"/>
  <c r="J375" i="8"/>
  <c r="I375" i="8"/>
  <c r="H375" i="8"/>
  <c r="G375" i="8"/>
  <c r="E373" i="8"/>
  <c r="D373" i="8"/>
  <c r="C373" i="8"/>
  <c r="I371" i="8"/>
  <c r="H371" i="8"/>
  <c r="F371" i="8"/>
  <c r="F370" i="8"/>
  <c r="F369" i="8"/>
  <c r="J368" i="8"/>
  <c r="I368" i="8"/>
  <c r="H368" i="8"/>
  <c r="G368" i="8"/>
  <c r="J367" i="8"/>
  <c r="I367" i="8"/>
  <c r="H367" i="8"/>
  <c r="G367" i="8"/>
  <c r="E365" i="8"/>
  <c r="D365" i="8"/>
  <c r="C365" i="8"/>
  <c r="C364" i="8"/>
  <c r="A362" i="8"/>
  <c r="C357" i="8"/>
  <c r="C355" i="8"/>
  <c r="C353" i="8"/>
  <c r="C351" i="8"/>
  <c r="I348" i="8"/>
  <c r="H348" i="8"/>
  <c r="F348" i="8"/>
  <c r="F347" i="8"/>
  <c r="F346" i="8"/>
  <c r="J345" i="8"/>
  <c r="I345" i="8"/>
  <c r="H345" i="8"/>
  <c r="G345" i="8"/>
  <c r="J344" i="8"/>
  <c r="I344" i="8"/>
  <c r="H344" i="8"/>
  <c r="G344" i="8"/>
  <c r="E342" i="8"/>
  <c r="D342" i="8"/>
  <c r="C342" i="8"/>
  <c r="I340" i="8"/>
  <c r="H340" i="8"/>
  <c r="F340" i="8"/>
  <c r="F339" i="8"/>
  <c r="F338" i="8"/>
  <c r="F337" i="8"/>
  <c r="J336" i="8"/>
  <c r="I336" i="8"/>
  <c r="H336" i="8"/>
  <c r="G336" i="8"/>
  <c r="J335" i="8"/>
  <c r="I335" i="8"/>
  <c r="H335" i="8"/>
  <c r="G335" i="8"/>
  <c r="J334" i="8"/>
  <c r="I334" i="8"/>
  <c r="H334" i="8"/>
  <c r="G334" i="8"/>
  <c r="E332" i="8"/>
  <c r="D332" i="8"/>
  <c r="C332" i="8"/>
  <c r="I330" i="8"/>
  <c r="H330" i="8"/>
  <c r="F330" i="8"/>
  <c r="F329" i="8"/>
  <c r="F328" i="8"/>
  <c r="F327" i="8"/>
  <c r="J326" i="8"/>
  <c r="I326" i="8"/>
  <c r="H326" i="8"/>
  <c r="G326" i="8"/>
  <c r="J325" i="8"/>
  <c r="I325" i="8"/>
  <c r="H325" i="8"/>
  <c r="G325" i="8"/>
  <c r="J324" i="8"/>
  <c r="I324" i="8"/>
  <c r="H324" i="8"/>
  <c r="G324" i="8"/>
  <c r="E322" i="8"/>
  <c r="D322" i="8"/>
  <c r="C322" i="8"/>
  <c r="I320" i="8"/>
  <c r="H320" i="8"/>
  <c r="F320" i="8"/>
  <c r="F319" i="8"/>
  <c r="F318" i="8"/>
  <c r="J317" i="8"/>
  <c r="I317" i="8"/>
  <c r="H317" i="8"/>
  <c r="G317" i="8"/>
  <c r="J316" i="8"/>
  <c r="I316" i="8"/>
  <c r="H316" i="8"/>
  <c r="G316" i="8"/>
  <c r="E314" i="8"/>
  <c r="D314" i="8"/>
  <c r="C314" i="8"/>
  <c r="I312" i="8"/>
  <c r="H312" i="8"/>
  <c r="F312" i="8"/>
  <c r="F311" i="8"/>
  <c r="F310" i="8"/>
  <c r="J309" i="8"/>
  <c r="I309" i="8"/>
  <c r="H309" i="8"/>
  <c r="G309" i="8"/>
  <c r="E307" i="8"/>
  <c r="D307" i="8"/>
  <c r="C307" i="8"/>
  <c r="I305" i="8"/>
  <c r="H305" i="8"/>
  <c r="F305" i="8"/>
  <c r="F304" i="8"/>
  <c r="F303" i="8"/>
  <c r="J302" i="8"/>
  <c r="I302" i="8"/>
  <c r="H302" i="8"/>
  <c r="G302" i="8"/>
  <c r="E300" i="8"/>
  <c r="D300" i="8"/>
  <c r="C300" i="8"/>
  <c r="I298" i="8"/>
  <c r="H298" i="8"/>
  <c r="F298" i="8"/>
  <c r="F297" i="8"/>
  <c r="F296" i="8"/>
  <c r="F295" i="8"/>
  <c r="J294" i="8"/>
  <c r="I294" i="8"/>
  <c r="H294" i="8"/>
  <c r="G294" i="8"/>
  <c r="J293" i="8"/>
  <c r="I293" i="8"/>
  <c r="H293" i="8"/>
  <c r="G293" i="8"/>
  <c r="J292" i="8"/>
  <c r="I292" i="8"/>
  <c r="H292" i="8"/>
  <c r="G292" i="8"/>
  <c r="E290" i="8"/>
  <c r="D290" i="8"/>
  <c r="C290" i="8"/>
  <c r="I288" i="8"/>
  <c r="H288" i="8"/>
  <c r="F288" i="8"/>
  <c r="F287" i="8"/>
  <c r="F286" i="8"/>
  <c r="J285" i="8"/>
  <c r="I285" i="8"/>
  <c r="G285" i="8"/>
  <c r="E285" i="8"/>
  <c r="D285" i="8"/>
  <c r="C285" i="8"/>
  <c r="J284" i="8"/>
  <c r="I284" i="8"/>
  <c r="H284" i="8"/>
  <c r="G284" i="8"/>
  <c r="J283" i="8"/>
  <c r="I283" i="8"/>
  <c r="H283" i="8"/>
  <c r="G283" i="8"/>
  <c r="E281" i="8"/>
  <c r="D281" i="8"/>
  <c r="C281" i="8"/>
  <c r="I279" i="8"/>
  <c r="H279" i="8"/>
  <c r="F279" i="8"/>
  <c r="F278" i="8"/>
  <c r="F277" i="8"/>
  <c r="J276" i="8"/>
  <c r="I276" i="8"/>
  <c r="H276" i="8"/>
  <c r="G276" i="8"/>
  <c r="E274" i="8"/>
  <c r="D274" i="8"/>
  <c r="C274" i="8"/>
  <c r="I272" i="8"/>
  <c r="H272" i="8"/>
  <c r="F272" i="8"/>
  <c r="F271" i="8"/>
  <c r="F270" i="8"/>
  <c r="J269" i="8"/>
  <c r="I269" i="8"/>
  <c r="H269" i="8"/>
  <c r="G269" i="8"/>
  <c r="E267" i="8"/>
  <c r="D267" i="8"/>
  <c r="C267" i="8"/>
  <c r="I265" i="8"/>
  <c r="H265" i="8"/>
  <c r="F265" i="8"/>
  <c r="F264" i="8"/>
  <c r="F263" i="8"/>
  <c r="J262" i="8"/>
  <c r="I262" i="8"/>
  <c r="H262" i="8"/>
  <c r="G262" i="8"/>
  <c r="J261" i="8"/>
  <c r="I261" i="8"/>
  <c r="H261" i="8"/>
  <c r="G261" i="8"/>
  <c r="E259" i="8"/>
  <c r="D259" i="8"/>
  <c r="C259" i="8"/>
  <c r="I257" i="8"/>
  <c r="H257" i="8"/>
  <c r="F257" i="8"/>
  <c r="F256" i="8"/>
  <c r="F255" i="8"/>
  <c r="F254" i="8"/>
  <c r="J253" i="8"/>
  <c r="I253" i="8"/>
  <c r="H253" i="8"/>
  <c r="G253" i="8"/>
  <c r="J252" i="8"/>
  <c r="I252" i="8"/>
  <c r="H252" i="8"/>
  <c r="G252" i="8"/>
  <c r="J251" i="8"/>
  <c r="I251" i="8"/>
  <c r="H251" i="8"/>
  <c r="G251" i="8"/>
  <c r="E249" i="8"/>
  <c r="D249" i="8"/>
  <c r="C249" i="8"/>
  <c r="I247" i="8"/>
  <c r="H247" i="8"/>
  <c r="F247" i="8"/>
  <c r="F246" i="8"/>
  <c r="F245" i="8"/>
  <c r="J244" i="8"/>
  <c r="I244" i="8"/>
  <c r="H244" i="8"/>
  <c r="G244" i="8"/>
  <c r="J243" i="8"/>
  <c r="I243" i="8"/>
  <c r="H243" i="8"/>
  <c r="G243" i="8"/>
  <c r="F242" i="8"/>
  <c r="E242" i="8"/>
  <c r="D242" i="8"/>
  <c r="C242" i="8"/>
  <c r="I240" i="8"/>
  <c r="H240" i="8"/>
  <c r="F240" i="8"/>
  <c r="F239" i="8"/>
  <c r="F238" i="8"/>
  <c r="F237" i="8"/>
  <c r="J236" i="8"/>
  <c r="I236" i="8"/>
  <c r="H236" i="8"/>
  <c r="G236" i="8"/>
  <c r="J235" i="8"/>
  <c r="I235" i="8"/>
  <c r="H235" i="8"/>
  <c r="G235" i="8"/>
  <c r="J234" i="8"/>
  <c r="I234" i="8"/>
  <c r="H234" i="8"/>
  <c r="G234" i="8"/>
  <c r="J233" i="8"/>
  <c r="I233" i="8"/>
  <c r="H233" i="8"/>
  <c r="G233" i="8"/>
  <c r="E232" i="8"/>
  <c r="D232" i="8"/>
  <c r="C232" i="8"/>
  <c r="I230" i="8"/>
  <c r="H230" i="8"/>
  <c r="F230" i="8"/>
  <c r="F229" i="8"/>
  <c r="F228" i="8"/>
  <c r="J227" i="8"/>
  <c r="I227" i="8"/>
  <c r="H227" i="8"/>
  <c r="G227" i="8"/>
  <c r="J226" i="8"/>
  <c r="I226" i="8"/>
  <c r="H226" i="8"/>
  <c r="G226" i="8"/>
  <c r="E224" i="8"/>
  <c r="D224" i="8"/>
  <c r="C224" i="8"/>
  <c r="I222" i="8"/>
  <c r="H222" i="8"/>
  <c r="F222" i="8"/>
  <c r="F221" i="8"/>
  <c r="F220" i="8"/>
  <c r="F219" i="8"/>
  <c r="J218" i="8"/>
  <c r="I218" i="8"/>
  <c r="H218" i="8"/>
  <c r="G218" i="8"/>
  <c r="J217" i="8"/>
  <c r="I217" i="8"/>
  <c r="H217" i="8"/>
  <c r="G217" i="8"/>
  <c r="J216" i="8"/>
  <c r="I216" i="8"/>
  <c r="H216" i="8"/>
  <c r="G216" i="8"/>
  <c r="E214" i="8"/>
  <c r="D214" i="8"/>
  <c r="C214" i="8"/>
  <c r="C213" i="8"/>
  <c r="C211" i="8"/>
  <c r="A209" i="8"/>
  <c r="A207" i="8"/>
  <c r="J201" i="8"/>
  <c r="C199" i="8"/>
  <c r="C197" i="8"/>
  <c r="A195" i="8"/>
  <c r="I189" i="8"/>
  <c r="H189" i="8"/>
  <c r="F189" i="8"/>
  <c r="F188" i="8"/>
  <c r="F187" i="8"/>
  <c r="J186" i="8"/>
  <c r="I186" i="8"/>
  <c r="H186" i="8"/>
  <c r="G186" i="8"/>
  <c r="J185" i="8"/>
  <c r="I185" i="8"/>
  <c r="H185" i="8"/>
  <c r="G185" i="8"/>
  <c r="E183" i="8"/>
  <c r="D183" i="8"/>
  <c r="C183" i="8"/>
  <c r="I181" i="8"/>
  <c r="H181" i="8"/>
  <c r="F181" i="8"/>
  <c r="F180" i="8"/>
  <c r="F179" i="8"/>
  <c r="J178" i="8"/>
  <c r="I178" i="8"/>
  <c r="H178" i="8"/>
  <c r="G178" i="8"/>
  <c r="E176" i="8"/>
  <c r="D176" i="8"/>
  <c r="C176" i="8"/>
  <c r="I174" i="8"/>
  <c r="H174" i="8"/>
  <c r="F174" i="8"/>
  <c r="F173" i="8"/>
  <c r="F172" i="8"/>
  <c r="F171" i="8"/>
  <c r="J170" i="8"/>
  <c r="I170" i="8"/>
  <c r="H170" i="8"/>
  <c r="G170" i="8"/>
  <c r="J169" i="8"/>
  <c r="I169" i="8"/>
  <c r="H169" i="8"/>
  <c r="G169" i="8"/>
  <c r="J168" i="8"/>
  <c r="I168" i="8"/>
  <c r="H168" i="8"/>
  <c r="G168" i="8"/>
  <c r="F167" i="8"/>
  <c r="E167" i="8"/>
  <c r="D167" i="8"/>
  <c r="C167" i="8"/>
  <c r="I165" i="8"/>
  <c r="H165" i="8"/>
  <c r="F165" i="8"/>
  <c r="F164" i="8"/>
  <c r="F163" i="8"/>
  <c r="F162" i="8"/>
  <c r="J161" i="8"/>
  <c r="I161" i="8"/>
  <c r="H161" i="8"/>
  <c r="G161" i="8"/>
  <c r="J160" i="8"/>
  <c r="I160" i="8"/>
  <c r="H160" i="8"/>
  <c r="G160" i="8"/>
  <c r="J159" i="8"/>
  <c r="I159" i="8"/>
  <c r="H159" i="8"/>
  <c r="G159" i="8"/>
  <c r="J158" i="8"/>
  <c r="I158" i="8"/>
  <c r="H158" i="8"/>
  <c r="G158" i="8"/>
  <c r="E156" i="8"/>
  <c r="D156" i="8"/>
  <c r="C156" i="8"/>
  <c r="I154" i="8"/>
  <c r="H154" i="8"/>
  <c r="F154" i="8"/>
  <c r="F153" i="8"/>
  <c r="F152" i="8"/>
  <c r="F151" i="8"/>
  <c r="J150" i="8"/>
  <c r="I150" i="8"/>
  <c r="H150" i="8"/>
  <c r="G150" i="8"/>
  <c r="J149" i="8"/>
  <c r="I149" i="8"/>
  <c r="H149" i="8"/>
  <c r="G149" i="8"/>
  <c r="J148" i="8"/>
  <c r="I148" i="8"/>
  <c r="H148" i="8"/>
  <c r="G148" i="8"/>
  <c r="J147" i="8"/>
  <c r="I147" i="8"/>
  <c r="H147" i="8"/>
  <c r="G147" i="8"/>
  <c r="E145" i="8"/>
  <c r="D145" i="8"/>
  <c r="C145" i="8"/>
  <c r="C144" i="8"/>
  <c r="I141" i="8"/>
  <c r="H141" i="8"/>
  <c r="F141" i="8"/>
  <c r="F140" i="8"/>
  <c r="F139" i="8"/>
  <c r="J138" i="8"/>
  <c r="I138" i="8"/>
  <c r="H138" i="8"/>
  <c r="G138" i="8"/>
  <c r="J137" i="8"/>
  <c r="I137" i="8"/>
  <c r="H137" i="8"/>
  <c r="G137" i="8"/>
  <c r="E135" i="8"/>
  <c r="D135" i="8"/>
  <c r="C135" i="8"/>
  <c r="I133" i="8"/>
  <c r="H133" i="8"/>
  <c r="F133" i="8"/>
  <c r="F132" i="8"/>
  <c r="F131" i="8"/>
  <c r="J130" i="8"/>
  <c r="I130" i="8"/>
  <c r="H130" i="8"/>
  <c r="G130" i="8"/>
  <c r="E128" i="8"/>
  <c r="D128" i="8"/>
  <c r="C128" i="8"/>
  <c r="I126" i="8"/>
  <c r="H126" i="8"/>
  <c r="F126" i="8"/>
  <c r="F125" i="8"/>
  <c r="F124" i="8"/>
  <c r="F123" i="8"/>
  <c r="J122" i="8"/>
  <c r="I122" i="8"/>
  <c r="H122" i="8"/>
  <c r="G122" i="8"/>
  <c r="J121" i="8"/>
  <c r="I121" i="8"/>
  <c r="H121" i="8"/>
  <c r="G121" i="8"/>
  <c r="J120" i="8"/>
  <c r="I120" i="8"/>
  <c r="H120" i="8"/>
  <c r="G120" i="8"/>
  <c r="E118" i="8"/>
  <c r="D118" i="8"/>
  <c r="C118" i="8"/>
  <c r="I116" i="8"/>
  <c r="H116" i="8"/>
  <c r="F116" i="8"/>
  <c r="F115" i="8"/>
  <c r="F114" i="8"/>
  <c r="F113" i="8"/>
  <c r="J112" i="8"/>
  <c r="I112" i="8"/>
  <c r="H112" i="8"/>
  <c r="G112" i="8"/>
  <c r="J111" i="8"/>
  <c r="I111" i="8"/>
  <c r="H111" i="8"/>
  <c r="G111" i="8"/>
  <c r="J110" i="8"/>
  <c r="I110" i="8"/>
  <c r="H110" i="8"/>
  <c r="G110" i="8"/>
  <c r="J109" i="8"/>
  <c r="I109" i="8"/>
  <c r="H109" i="8"/>
  <c r="G109" i="8"/>
  <c r="E107" i="8"/>
  <c r="D107" i="8"/>
  <c r="C107" i="8"/>
  <c r="I105" i="8"/>
  <c r="H105" i="8"/>
  <c r="F105" i="8"/>
  <c r="F104" i="8"/>
  <c r="F103" i="8"/>
  <c r="F102" i="8"/>
  <c r="J101" i="8"/>
  <c r="I101" i="8"/>
  <c r="H101" i="8"/>
  <c r="G101" i="8"/>
  <c r="J100" i="8"/>
  <c r="I100" i="8"/>
  <c r="H100" i="8"/>
  <c r="G100" i="8"/>
  <c r="J99" i="8"/>
  <c r="I99" i="8"/>
  <c r="H99" i="8"/>
  <c r="G99" i="8"/>
  <c r="J98" i="8"/>
  <c r="I98" i="8"/>
  <c r="H98" i="8"/>
  <c r="G98" i="8"/>
  <c r="E96" i="8"/>
  <c r="D96" i="8"/>
  <c r="C96" i="8"/>
  <c r="C95" i="8"/>
  <c r="A93" i="8"/>
  <c r="I87" i="8"/>
  <c r="H87" i="8"/>
  <c r="F87" i="8"/>
  <c r="F86" i="8"/>
  <c r="F85" i="8"/>
  <c r="F84" i="8"/>
  <c r="J83" i="8"/>
  <c r="I83" i="8"/>
  <c r="H83" i="8"/>
  <c r="G83" i="8"/>
  <c r="J82" i="8"/>
  <c r="I82" i="8"/>
  <c r="H82" i="8"/>
  <c r="G82" i="8"/>
  <c r="J81" i="8"/>
  <c r="I81" i="8"/>
  <c r="H81" i="8"/>
  <c r="G81" i="8"/>
  <c r="E79" i="8"/>
  <c r="D79" i="8"/>
  <c r="C79" i="8"/>
  <c r="I77" i="8"/>
  <c r="H77" i="8"/>
  <c r="F77" i="8"/>
  <c r="F76" i="8"/>
  <c r="F75" i="8"/>
  <c r="J74" i="8"/>
  <c r="I74" i="8"/>
  <c r="H74" i="8"/>
  <c r="G74" i="8"/>
  <c r="E72" i="8"/>
  <c r="D72" i="8"/>
  <c r="C72" i="8"/>
  <c r="C71" i="8"/>
  <c r="I68" i="8"/>
  <c r="H68" i="8"/>
  <c r="F68" i="8"/>
  <c r="F67" i="8"/>
  <c r="F66" i="8"/>
  <c r="J65" i="8"/>
  <c r="I65" i="8"/>
  <c r="H65" i="8"/>
  <c r="G65" i="8"/>
  <c r="J64" i="8"/>
  <c r="I64" i="8"/>
  <c r="H64" i="8"/>
  <c r="G64" i="8"/>
  <c r="E62" i="8"/>
  <c r="D62" i="8"/>
  <c r="C62" i="8"/>
  <c r="I60" i="8"/>
  <c r="H60" i="8"/>
  <c r="F60" i="8"/>
  <c r="F59" i="8"/>
  <c r="F58" i="8"/>
  <c r="J57" i="8"/>
  <c r="I57" i="8"/>
  <c r="H57" i="8"/>
  <c r="G57" i="8"/>
  <c r="E55" i="8"/>
  <c r="D55" i="8"/>
  <c r="C55" i="8"/>
  <c r="I53" i="8"/>
  <c r="H53" i="8"/>
  <c r="F53" i="8"/>
  <c r="F52" i="8"/>
  <c r="F51" i="8"/>
  <c r="F50" i="8"/>
  <c r="J49" i="8"/>
  <c r="I49" i="8"/>
  <c r="H49" i="8"/>
  <c r="G49" i="8"/>
  <c r="J48" i="8"/>
  <c r="I48" i="8"/>
  <c r="H48" i="8"/>
  <c r="G48" i="8"/>
  <c r="J47" i="8"/>
  <c r="I47" i="8"/>
  <c r="H47" i="8"/>
  <c r="G47" i="8"/>
  <c r="E45" i="8"/>
  <c r="D45" i="8"/>
  <c r="C45" i="8"/>
  <c r="C44" i="8"/>
  <c r="A42" i="8"/>
  <c r="A40" i="8"/>
  <c r="A38" i="8"/>
  <c r="J26" i="8"/>
  <c r="I26" i="8"/>
  <c r="H26" i="8"/>
  <c r="G26" i="8"/>
  <c r="J22" i="8"/>
  <c r="J21" i="8"/>
  <c r="J20" i="8"/>
  <c r="J19" i="8"/>
  <c r="J16" i="8"/>
  <c r="C17" i="8"/>
  <c r="J14" i="8"/>
  <c r="J12" i="8"/>
  <c r="C13" i="8"/>
  <c r="J10" i="8"/>
  <c r="C11" i="8"/>
  <c r="J8" i="8"/>
  <c r="C9" i="8"/>
  <c r="A1" i="8"/>
  <c r="H1199" i="7"/>
  <c r="H1196" i="7"/>
  <c r="C1199" i="7"/>
  <c r="C1196" i="7"/>
  <c r="H1178" i="7"/>
  <c r="G1178" i="7"/>
  <c r="E1178" i="7"/>
  <c r="E1177" i="7"/>
  <c r="E1176" i="7"/>
  <c r="I1175" i="7"/>
  <c r="H1175" i="7"/>
  <c r="G1175" i="7"/>
  <c r="F1175" i="7"/>
  <c r="I1174" i="7"/>
  <c r="H1174" i="7"/>
  <c r="G1174" i="7"/>
  <c r="F1174" i="7"/>
  <c r="D1172" i="7"/>
  <c r="C1172" i="7"/>
  <c r="B1172" i="7"/>
  <c r="H1170" i="7"/>
  <c r="G1170" i="7"/>
  <c r="E1170" i="7"/>
  <c r="E1169" i="7"/>
  <c r="E1168" i="7"/>
  <c r="I1167" i="7"/>
  <c r="H1167" i="7"/>
  <c r="G1167" i="7"/>
  <c r="F1167" i="7"/>
  <c r="I1166" i="7"/>
  <c r="H1166" i="7"/>
  <c r="G1166" i="7"/>
  <c r="F1166" i="7"/>
  <c r="D1164" i="7"/>
  <c r="C1164" i="7"/>
  <c r="B1164" i="7"/>
  <c r="H1162" i="7"/>
  <c r="G1162" i="7"/>
  <c r="E1162" i="7"/>
  <c r="E1161" i="7"/>
  <c r="E1160" i="7"/>
  <c r="I1159" i="7"/>
  <c r="H1159" i="7"/>
  <c r="G1159" i="7"/>
  <c r="F1159" i="7"/>
  <c r="I1158" i="7"/>
  <c r="H1158" i="7"/>
  <c r="G1158" i="7"/>
  <c r="F1158" i="7"/>
  <c r="D1156" i="7"/>
  <c r="C1156" i="7"/>
  <c r="B1156" i="7"/>
  <c r="H1154" i="7"/>
  <c r="G1154" i="7"/>
  <c r="E1154" i="7"/>
  <c r="E1153" i="7"/>
  <c r="E1152" i="7"/>
  <c r="I1151" i="7"/>
  <c r="H1151" i="7"/>
  <c r="G1151" i="7"/>
  <c r="F1151" i="7"/>
  <c r="I1150" i="7"/>
  <c r="H1150" i="7"/>
  <c r="G1150" i="7"/>
  <c r="F1150" i="7"/>
  <c r="D1148" i="7"/>
  <c r="C1148" i="7"/>
  <c r="B1148" i="7"/>
  <c r="H1146" i="7"/>
  <c r="G1146" i="7"/>
  <c r="E1146" i="7"/>
  <c r="E1145" i="7"/>
  <c r="E1144" i="7"/>
  <c r="E1143" i="7"/>
  <c r="I1142" i="7"/>
  <c r="H1142" i="7"/>
  <c r="G1142" i="7"/>
  <c r="F1142" i="7"/>
  <c r="I1141" i="7"/>
  <c r="H1141" i="7"/>
  <c r="G1141" i="7"/>
  <c r="F1141" i="7"/>
  <c r="I1140" i="7"/>
  <c r="H1140" i="7"/>
  <c r="G1140" i="7"/>
  <c r="F1140" i="7"/>
  <c r="I1139" i="7"/>
  <c r="H1139" i="7"/>
  <c r="G1139" i="7"/>
  <c r="F1139" i="7"/>
  <c r="D1137" i="7"/>
  <c r="C1137" i="7"/>
  <c r="B1137" i="7"/>
  <c r="H1135" i="7"/>
  <c r="G1135" i="7"/>
  <c r="E1135" i="7"/>
  <c r="E1134" i="7"/>
  <c r="E1133" i="7"/>
  <c r="I1132" i="7"/>
  <c r="H1132" i="7"/>
  <c r="G1132" i="7"/>
  <c r="F1132" i="7"/>
  <c r="I1131" i="7"/>
  <c r="H1131" i="7"/>
  <c r="G1131" i="7"/>
  <c r="F1131" i="7"/>
  <c r="D1129" i="7"/>
  <c r="C1129" i="7"/>
  <c r="B1129" i="7"/>
  <c r="H1127" i="7"/>
  <c r="G1127" i="7"/>
  <c r="E1127" i="7"/>
  <c r="E1126" i="7"/>
  <c r="E1125" i="7"/>
  <c r="I1124" i="7"/>
  <c r="H1124" i="7"/>
  <c r="G1124" i="7"/>
  <c r="F1124" i="7"/>
  <c r="I1123" i="7"/>
  <c r="H1123" i="7"/>
  <c r="G1123" i="7"/>
  <c r="F1123" i="7"/>
  <c r="D1121" i="7"/>
  <c r="C1121" i="7"/>
  <c r="B1121" i="7"/>
  <c r="H1119" i="7"/>
  <c r="G1119" i="7"/>
  <c r="E1119" i="7"/>
  <c r="E1118" i="7"/>
  <c r="E1117" i="7"/>
  <c r="I1116" i="7"/>
  <c r="H1116" i="7"/>
  <c r="G1116" i="7"/>
  <c r="F1116" i="7"/>
  <c r="I1115" i="7"/>
  <c r="H1115" i="7"/>
  <c r="G1115" i="7"/>
  <c r="F1115" i="7"/>
  <c r="D1113" i="7"/>
  <c r="C1113" i="7"/>
  <c r="B1113" i="7"/>
  <c r="B1112" i="7"/>
  <c r="A1110" i="7"/>
  <c r="H1104" i="7"/>
  <c r="G1104" i="7"/>
  <c r="E1104" i="7"/>
  <c r="E1103" i="7"/>
  <c r="E1102" i="7"/>
  <c r="I1101" i="7"/>
  <c r="H1101" i="7"/>
  <c r="G1101" i="7"/>
  <c r="F1101" i="7"/>
  <c r="I1100" i="7"/>
  <c r="H1100" i="7"/>
  <c r="G1100" i="7"/>
  <c r="F1100" i="7"/>
  <c r="D1098" i="7"/>
  <c r="C1098" i="7"/>
  <c r="B1098" i="7"/>
  <c r="H1096" i="7"/>
  <c r="G1096" i="7"/>
  <c r="E1096" i="7"/>
  <c r="E1095" i="7"/>
  <c r="E1094" i="7"/>
  <c r="I1093" i="7"/>
  <c r="H1093" i="7"/>
  <c r="G1093" i="7"/>
  <c r="F1093" i="7"/>
  <c r="I1092" i="7"/>
  <c r="H1092" i="7"/>
  <c r="G1092" i="7"/>
  <c r="F1092" i="7"/>
  <c r="D1090" i="7"/>
  <c r="C1090" i="7"/>
  <c r="B1090" i="7"/>
  <c r="H1088" i="7"/>
  <c r="G1088" i="7"/>
  <c r="E1088" i="7"/>
  <c r="E1087" i="7"/>
  <c r="E1086" i="7"/>
  <c r="I1085" i="7"/>
  <c r="H1085" i="7"/>
  <c r="G1085" i="7"/>
  <c r="F1085" i="7"/>
  <c r="I1084" i="7"/>
  <c r="H1084" i="7"/>
  <c r="G1084" i="7"/>
  <c r="F1084" i="7"/>
  <c r="D1082" i="7"/>
  <c r="C1082" i="7"/>
  <c r="B1082" i="7"/>
  <c r="H1080" i="7"/>
  <c r="G1080" i="7"/>
  <c r="E1080" i="7"/>
  <c r="E1079" i="7"/>
  <c r="E1078" i="7"/>
  <c r="I1077" i="7"/>
  <c r="H1077" i="7"/>
  <c r="G1077" i="7"/>
  <c r="F1077" i="7"/>
  <c r="I1076" i="7"/>
  <c r="H1076" i="7"/>
  <c r="G1076" i="7"/>
  <c r="F1076" i="7"/>
  <c r="D1074" i="7"/>
  <c r="C1074" i="7"/>
  <c r="B1074" i="7"/>
  <c r="H1072" i="7"/>
  <c r="G1072" i="7"/>
  <c r="E1072" i="7"/>
  <c r="E1071" i="7"/>
  <c r="E1070" i="7"/>
  <c r="I1069" i="7"/>
  <c r="H1069" i="7"/>
  <c r="G1069" i="7"/>
  <c r="F1069" i="7"/>
  <c r="D1067" i="7"/>
  <c r="C1067" i="7"/>
  <c r="B1067" i="7"/>
  <c r="H1065" i="7"/>
  <c r="G1065" i="7"/>
  <c r="E1065" i="7"/>
  <c r="E1064" i="7"/>
  <c r="E1063" i="7"/>
  <c r="I1062" i="7"/>
  <c r="H1062" i="7"/>
  <c r="G1062" i="7"/>
  <c r="F1062" i="7"/>
  <c r="I1061" i="7"/>
  <c r="H1061" i="7"/>
  <c r="G1061" i="7"/>
  <c r="F1061" i="7"/>
  <c r="D1059" i="7"/>
  <c r="C1059" i="7"/>
  <c r="B1059" i="7"/>
  <c r="H1057" i="7"/>
  <c r="G1057" i="7"/>
  <c r="E1057" i="7"/>
  <c r="E1056" i="7"/>
  <c r="E1055" i="7"/>
  <c r="I1054" i="7"/>
  <c r="H1054" i="7"/>
  <c r="G1054" i="7"/>
  <c r="F1054" i="7"/>
  <c r="I1053" i="7"/>
  <c r="H1053" i="7"/>
  <c r="G1053" i="7"/>
  <c r="F1053" i="7"/>
  <c r="D1051" i="7"/>
  <c r="C1051" i="7"/>
  <c r="B1051" i="7"/>
  <c r="B1050" i="7"/>
  <c r="A1048" i="7"/>
  <c r="H1042" i="7"/>
  <c r="G1042" i="7"/>
  <c r="E1042" i="7"/>
  <c r="E1041" i="7"/>
  <c r="E1040" i="7"/>
  <c r="I1039" i="7"/>
  <c r="H1039" i="7"/>
  <c r="G1039" i="7"/>
  <c r="F1039" i="7"/>
  <c r="I1038" i="7"/>
  <c r="H1038" i="7"/>
  <c r="G1038" i="7"/>
  <c r="F1038" i="7"/>
  <c r="D1036" i="7"/>
  <c r="C1036" i="7"/>
  <c r="B1036" i="7"/>
  <c r="B1035" i="7"/>
  <c r="A1033" i="7"/>
  <c r="H1027" i="7"/>
  <c r="G1027" i="7"/>
  <c r="E1027" i="7"/>
  <c r="E1026" i="7"/>
  <c r="E1025" i="7"/>
  <c r="I1024" i="7"/>
  <c r="H1024" i="7"/>
  <c r="G1024" i="7"/>
  <c r="F1024" i="7"/>
  <c r="I1023" i="7"/>
  <c r="H1023" i="7"/>
  <c r="G1023" i="7"/>
  <c r="F1023" i="7"/>
  <c r="D1021" i="7"/>
  <c r="C1021" i="7"/>
  <c r="B1021" i="7"/>
  <c r="H1019" i="7"/>
  <c r="G1019" i="7"/>
  <c r="E1019" i="7"/>
  <c r="E1018" i="7"/>
  <c r="E1017" i="7"/>
  <c r="I1016" i="7"/>
  <c r="H1016" i="7"/>
  <c r="G1016" i="7"/>
  <c r="F1016" i="7"/>
  <c r="I1015" i="7"/>
  <c r="H1015" i="7"/>
  <c r="G1015" i="7"/>
  <c r="F1015" i="7"/>
  <c r="D1013" i="7"/>
  <c r="C1013" i="7"/>
  <c r="B1013" i="7"/>
  <c r="H1011" i="7"/>
  <c r="G1011" i="7"/>
  <c r="E1011" i="7"/>
  <c r="E1010" i="7"/>
  <c r="E1009" i="7"/>
  <c r="I1008" i="7"/>
  <c r="H1008" i="7"/>
  <c r="G1008" i="7"/>
  <c r="F1008" i="7"/>
  <c r="I1007" i="7"/>
  <c r="H1007" i="7"/>
  <c r="G1007" i="7"/>
  <c r="F1007" i="7"/>
  <c r="D1005" i="7"/>
  <c r="C1005" i="7"/>
  <c r="B1005" i="7"/>
  <c r="H1003" i="7"/>
  <c r="G1003" i="7"/>
  <c r="E1003" i="7"/>
  <c r="E1002" i="7"/>
  <c r="E1001" i="7"/>
  <c r="I1000" i="7"/>
  <c r="H1000" i="7"/>
  <c r="G1000" i="7"/>
  <c r="F1000" i="7"/>
  <c r="D998" i="7"/>
  <c r="C998" i="7"/>
  <c r="B998" i="7"/>
  <c r="AC997" i="7"/>
  <c r="B997" i="7"/>
  <c r="A995" i="7"/>
  <c r="H989" i="7"/>
  <c r="G989" i="7"/>
  <c r="E989" i="7"/>
  <c r="E988" i="7"/>
  <c r="E987" i="7"/>
  <c r="I986" i="7"/>
  <c r="H986" i="7"/>
  <c r="G986" i="7"/>
  <c r="F986" i="7"/>
  <c r="I985" i="7"/>
  <c r="H985" i="7"/>
  <c r="G985" i="7"/>
  <c r="F985" i="7"/>
  <c r="E984" i="7"/>
  <c r="D984" i="7"/>
  <c r="H982" i="7"/>
  <c r="G982" i="7"/>
  <c r="E982" i="7"/>
  <c r="E981" i="7"/>
  <c r="E980" i="7"/>
  <c r="I979" i="7"/>
  <c r="H979" i="7"/>
  <c r="G979" i="7"/>
  <c r="F979" i="7"/>
  <c r="I978" i="7"/>
  <c r="H978" i="7"/>
  <c r="G978" i="7"/>
  <c r="F978" i="7"/>
  <c r="D976" i="7"/>
  <c r="H974" i="7"/>
  <c r="G974" i="7"/>
  <c r="E974" i="7"/>
  <c r="E973" i="7"/>
  <c r="E972" i="7"/>
  <c r="I971" i="7"/>
  <c r="H971" i="7"/>
  <c r="G971" i="7"/>
  <c r="F971" i="7"/>
  <c r="I970" i="7"/>
  <c r="H970" i="7"/>
  <c r="G970" i="7"/>
  <c r="F970" i="7"/>
  <c r="D968" i="7"/>
  <c r="H966" i="7"/>
  <c r="G966" i="7"/>
  <c r="E966" i="7"/>
  <c r="E965" i="7"/>
  <c r="E964" i="7"/>
  <c r="I963" i="7"/>
  <c r="H963" i="7"/>
  <c r="G963" i="7"/>
  <c r="F963" i="7"/>
  <c r="I962" i="7"/>
  <c r="H962" i="7"/>
  <c r="G962" i="7"/>
  <c r="F962" i="7"/>
  <c r="D960" i="7"/>
  <c r="H958" i="7"/>
  <c r="G958" i="7"/>
  <c r="E958" i="7"/>
  <c r="E957" i="7"/>
  <c r="E956" i="7"/>
  <c r="I955" i="7"/>
  <c r="H955" i="7"/>
  <c r="G955" i="7"/>
  <c r="F955" i="7"/>
  <c r="I954" i="7"/>
  <c r="H954" i="7"/>
  <c r="G954" i="7"/>
  <c r="F954" i="7"/>
  <c r="D952" i="7"/>
  <c r="H950" i="7"/>
  <c r="G950" i="7"/>
  <c r="E950" i="7"/>
  <c r="E949" i="7"/>
  <c r="E948" i="7"/>
  <c r="I947" i="7"/>
  <c r="H947" i="7"/>
  <c r="G947" i="7"/>
  <c r="F947" i="7"/>
  <c r="I946" i="7"/>
  <c r="H946" i="7"/>
  <c r="G946" i="7"/>
  <c r="F946" i="7"/>
  <c r="D944" i="7"/>
  <c r="H942" i="7"/>
  <c r="G942" i="7"/>
  <c r="E942" i="7"/>
  <c r="E941" i="7"/>
  <c r="E940" i="7"/>
  <c r="I939" i="7"/>
  <c r="H939" i="7"/>
  <c r="G939" i="7"/>
  <c r="F939" i="7"/>
  <c r="I938" i="7"/>
  <c r="H938" i="7"/>
  <c r="G938" i="7"/>
  <c r="F938" i="7"/>
  <c r="D936" i="7"/>
  <c r="H934" i="7"/>
  <c r="G934" i="7"/>
  <c r="E934" i="7"/>
  <c r="E933" i="7"/>
  <c r="E932" i="7"/>
  <c r="I931" i="7"/>
  <c r="H931" i="7"/>
  <c r="G931" i="7"/>
  <c r="F931" i="7"/>
  <c r="I930" i="7"/>
  <c r="H930" i="7"/>
  <c r="G930" i="7"/>
  <c r="F930" i="7"/>
  <c r="D928" i="7"/>
  <c r="H926" i="7"/>
  <c r="G926" i="7"/>
  <c r="E926" i="7"/>
  <c r="E925" i="7"/>
  <c r="E924" i="7"/>
  <c r="I923" i="7"/>
  <c r="H923" i="7"/>
  <c r="G923" i="7"/>
  <c r="F923" i="7"/>
  <c r="I922" i="7"/>
  <c r="H922" i="7"/>
  <c r="G922" i="7"/>
  <c r="F922" i="7"/>
  <c r="D920" i="7"/>
  <c r="H918" i="7"/>
  <c r="G918" i="7"/>
  <c r="E918" i="7"/>
  <c r="E917" i="7"/>
  <c r="E916" i="7"/>
  <c r="I915" i="7"/>
  <c r="H915" i="7"/>
  <c r="G915" i="7"/>
  <c r="F915" i="7"/>
  <c r="I914" i="7"/>
  <c r="H914" i="7"/>
  <c r="G914" i="7"/>
  <c r="F914" i="7"/>
  <c r="D912" i="7"/>
  <c r="B911" i="7"/>
  <c r="A909" i="7"/>
  <c r="H903" i="7"/>
  <c r="G903" i="7"/>
  <c r="E903" i="7"/>
  <c r="E902" i="7"/>
  <c r="E901" i="7"/>
  <c r="I900" i="7"/>
  <c r="H900" i="7"/>
  <c r="G900" i="7"/>
  <c r="F900" i="7"/>
  <c r="D898" i="7"/>
  <c r="C898" i="7"/>
  <c r="B898" i="7"/>
  <c r="H896" i="7"/>
  <c r="G896" i="7"/>
  <c r="E896" i="7"/>
  <c r="E895" i="7"/>
  <c r="E894" i="7"/>
  <c r="I893" i="7"/>
  <c r="H893" i="7"/>
  <c r="G893" i="7"/>
  <c r="F893" i="7"/>
  <c r="I892" i="7"/>
  <c r="H892" i="7"/>
  <c r="G892" i="7"/>
  <c r="F892" i="7"/>
  <c r="D890" i="7"/>
  <c r="C890" i="7"/>
  <c r="B890" i="7"/>
  <c r="H888" i="7"/>
  <c r="G888" i="7"/>
  <c r="E888" i="7"/>
  <c r="E887" i="7"/>
  <c r="E886" i="7"/>
  <c r="I885" i="7"/>
  <c r="H885" i="7"/>
  <c r="G885" i="7"/>
  <c r="F885" i="7"/>
  <c r="I884" i="7"/>
  <c r="H884" i="7"/>
  <c r="G884" i="7"/>
  <c r="F884" i="7"/>
  <c r="D882" i="7"/>
  <c r="C882" i="7"/>
  <c r="B882" i="7"/>
  <c r="H880" i="7"/>
  <c r="G880" i="7"/>
  <c r="E880" i="7"/>
  <c r="E879" i="7"/>
  <c r="E878" i="7"/>
  <c r="I877" i="7"/>
  <c r="H877" i="7"/>
  <c r="G877" i="7"/>
  <c r="F877" i="7"/>
  <c r="I876" i="7"/>
  <c r="H876" i="7"/>
  <c r="G876" i="7"/>
  <c r="F876" i="7"/>
  <c r="D874" i="7"/>
  <c r="C874" i="7"/>
  <c r="B874" i="7"/>
  <c r="H872" i="7"/>
  <c r="G872" i="7"/>
  <c r="E872" i="7"/>
  <c r="E871" i="7"/>
  <c r="E870" i="7"/>
  <c r="I869" i="7"/>
  <c r="H869" i="7"/>
  <c r="G869" i="7"/>
  <c r="F869" i="7"/>
  <c r="I868" i="7"/>
  <c r="H868" i="7"/>
  <c r="G868" i="7"/>
  <c r="F868" i="7"/>
  <c r="D866" i="7"/>
  <c r="C866" i="7"/>
  <c r="B866" i="7"/>
  <c r="H864" i="7"/>
  <c r="G864" i="7"/>
  <c r="E864" i="7"/>
  <c r="E863" i="7"/>
  <c r="E862" i="7"/>
  <c r="I861" i="7"/>
  <c r="H861" i="7"/>
  <c r="G861" i="7"/>
  <c r="F861" i="7"/>
  <c r="I860" i="7"/>
  <c r="H860" i="7"/>
  <c r="G860" i="7"/>
  <c r="F860" i="7"/>
  <c r="D858" i="7"/>
  <c r="C858" i="7"/>
  <c r="B858" i="7"/>
  <c r="H856" i="7"/>
  <c r="G856" i="7"/>
  <c r="E856" i="7"/>
  <c r="E855" i="7"/>
  <c r="E854" i="7"/>
  <c r="I853" i="7"/>
  <c r="H853" i="7"/>
  <c r="G853" i="7"/>
  <c r="F853" i="7"/>
  <c r="I852" i="7"/>
  <c r="H852" i="7"/>
  <c r="G852" i="7"/>
  <c r="F852" i="7"/>
  <c r="D850" i="7"/>
  <c r="C850" i="7"/>
  <c r="B850" i="7"/>
  <c r="H848" i="7"/>
  <c r="G848" i="7"/>
  <c r="E848" i="7"/>
  <c r="E847" i="7"/>
  <c r="E846" i="7"/>
  <c r="I845" i="7"/>
  <c r="H845" i="7"/>
  <c r="G845" i="7"/>
  <c r="F845" i="7"/>
  <c r="I844" i="7"/>
  <c r="H844" i="7"/>
  <c r="G844" i="7"/>
  <c r="F844" i="7"/>
  <c r="D842" i="7"/>
  <c r="C842" i="7"/>
  <c r="B842" i="7"/>
  <c r="B841" i="7"/>
  <c r="H838" i="7"/>
  <c r="G838" i="7"/>
  <c r="E838" i="7"/>
  <c r="E837" i="7"/>
  <c r="E836" i="7"/>
  <c r="I835" i="7"/>
  <c r="H835" i="7"/>
  <c r="G835" i="7"/>
  <c r="F835" i="7"/>
  <c r="I834" i="7"/>
  <c r="H834" i="7"/>
  <c r="G834" i="7"/>
  <c r="F834" i="7"/>
  <c r="D832" i="7"/>
  <c r="C832" i="7"/>
  <c r="B832" i="7"/>
  <c r="H830" i="7"/>
  <c r="G830" i="7"/>
  <c r="E830" i="7"/>
  <c r="E829" i="7"/>
  <c r="E828" i="7"/>
  <c r="I827" i="7"/>
  <c r="H827" i="7"/>
  <c r="G827" i="7"/>
  <c r="F827" i="7"/>
  <c r="I826" i="7"/>
  <c r="H826" i="7"/>
  <c r="G826" i="7"/>
  <c r="F826" i="7"/>
  <c r="D824" i="7"/>
  <c r="C824" i="7"/>
  <c r="B824" i="7"/>
  <c r="B823" i="7"/>
  <c r="H820" i="7"/>
  <c r="G820" i="7"/>
  <c r="E820" i="7"/>
  <c r="E819" i="7"/>
  <c r="E818" i="7"/>
  <c r="I817" i="7"/>
  <c r="H817" i="7"/>
  <c r="G817" i="7"/>
  <c r="F817" i="7"/>
  <c r="I816" i="7"/>
  <c r="H816" i="7"/>
  <c r="G816" i="7"/>
  <c r="F816" i="7"/>
  <c r="D814" i="7"/>
  <c r="C814" i="7"/>
  <c r="B814" i="7"/>
  <c r="H812" i="7"/>
  <c r="G812" i="7"/>
  <c r="E812" i="7"/>
  <c r="E811" i="7"/>
  <c r="E810" i="7"/>
  <c r="I809" i="7"/>
  <c r="H809" i="7"/>
  <c r="G809" i="7"/>
  <c r="F809" i="7"/>
  <c r="I808" i="7"/>
  <c r="H808" i="7"/>
  <c r="G808" i="7"/>
  <c r="F808" i="7"/>
  <c r="E807" i="7"/>
  <c r="D807" i="7"/>
  <c r="C807" i="7"/>
  <c r="B807" i="7"/>
  <c r="H805" i="7"/>
  <c r="G805" i="7"/>
  <c r="E805" i="7"/>
  <c r="E804" i="7"/>
  <c r="E803" i="7"/>
  <c r="I802" i="7"/>
  <c r="H802" i="7"/>
  <c r="G802" i="7"/>
  <c r="F802" i="7"/>
  <c r="I801" i="7"/>
  <c r="H801" i="7"/>
  <c r="G801" i="7"/>
  <c r="F801" i="7"/>
  <c r="E800" i="7"/>
  <c r="D800" i="7"/>
  <c r="C800" i="7"/>
  <c r="B800" i="7"/>
  <c r="H798" i="7"/>
  <c r="G798" i="7"/>
  <c r="E798" i="7"/>
  <c r="E797" i="7"/>
  <c r="E796" i="7"/>
  <c r="I795" i="7"/>
  <c r="H795" i="7"/>
  <c r="G795" i="7"/>
  <c r="F795" i="7"/>
  <c r="I794" i="7"/>
  <c r="H794" i="7"/>
  <c r="G794" i="7"/>
  <c r="F794" i="7"/>
  <c r="E793" i="7"/>
  <c r="D793" i="7"/>
  <c r="C793" i="7"/>
  <c r="B793" i="7"/>
  <c r="B792" i="7"/>
  <c r="H789" i="7"/>
  <c r="G789" i="7"/>
  <c r="E789" i="7"/>
  <c r="E788" i="7"/>
  <c r="E787" i="7"/>
  <c r="I786" i="7"/>
  <c r="H786" i="7"/>
  <c r="G786" i="7"/>
  <c r="F786" i="7"/>
  <c r="I785" i="7"/>
  <c r="H785" i="7"/>
  <c r="G785" i="7"/>
  <c r="F785" i="7"/>
  <c r="D783" i="7"/>
  <c r="C783" i="7"/>
  <c r="B783" i="7"/>
  <c r="H781" i="7"/>
  <c r="G781" i="7"/>
  <c r="E781" i="7"/>
  <c r="E780" i="7"/>
  <c r="E779" i="7"/>
  <c r="I778" i="7"/>
  <c r="H778" i="7"/>
  <c r="G778" i="7"/>
  <c r="F778" i="7"/>
  <c r="I777" i="7"/>
  <c r="H777" i="7"/>
  <c r="G777" i="7"/>
  <c r="F777" i="7"/>
  <c r="D775" i="7"/>
  <c r="C775" i="7"/>
  <c r="B775" i="7"/>
  <c r="H773" i="7"/>
  <c r="G773" i="7"/>
  <c r="E773" i="7"/>
  <c r="E772" i="7"/>
  <c r="E771" i="7"/>
  <c r="I770" i="7"/>
  <c r="H770" i="7"/>
  <c r="G770" i="7"/>
  <c r="F770" i="7"/>
  <c r="I769" i="7"/>
  <c r="H769" i="7"/>
  <c r="G769" i="7"/>
  <c r="F769" i="7"/>
  <c r="D767" i="7"/>
  <c r="C767" i="7"/>
  <c r="B767" i="7"/>
  <c r="B766" i="7"/>
  <c r="A764" i="7"/>
  <c r="A762" i="7"/>
  <c r="H753" i="7"/>
  <c r="G753" i="7"/>
  <c r="E753" i="7"/>
  <c r="E752" i="7"/>
  <c r="E751" i="7"/>
  <c r="E750" i="7"/>
  <c r="I749" i="7"/>
  <c r="H749" i="7"/>
  <c r="G749" i="7"/>
  <c r="F749" i="7"/>
  <c r="I748" i="7"/>
  <c r="H748" i="7"/>
  <c r="G748" i="7"/>
  <c r="F748" i="7"/>
  <c r="I747" i="7"/>
  <c r="H747" i="7"/>
  <c r="G747" i="7"/>
  <c r="F747" i="7"/>
  <c r="I746" i="7"/>
  <c r="H746" i="7"/>
  <c r="G746" i="7"/>
  <c r="F746" i="7"/>
  <c r="D744" i="7"/>
  <c r="C744" i="7"/>
  <c r="B744" i="7"/>
  <c r="H742" i="7"/>
  <c r="G742" i="7"/>
  <c r="E742" i="7"/>
  <c r="E741" i="7"/>
  <c r="E740" i="7"/>
  <c r="E739" i="7"/>
  <c r="I738" i="7"/>
  <c r="H738" i="7"/>
  <c r="G738" i="7"/>
  <c r="F738" i="7"/>
  <c r="I737" i="7"/>
  <c r="H737" i="7"/>
  <c r="G737" i="7"/>
  <c r="F737" i="7"/>
  <c r="I736" i="7"/>
  <c r="H736" i="7"/>
  <c r="G736" i="7"/>
  <c r="F736" i="7"/>
  <c r="I735" i="7"/>
  <c r="H735" i="7"/>
  <c r="G735" i="7"/>
  <c r="F735" i="7"/>
  <c r="E734" i="7"/>
  <c r="D734" i="7"/>
  <c r="C734" i="7"/>
  <c r="B734" i="7"/>
  <c r="H732" i="7"/>
  <c r="G732" i="7"/>
  <c r="E732" i="7"/>
  <c r="E731" i="7"/>
  <c r="E730" i="7"/>
  <c r="E729" i="7"/>
  <c r="I728" i="7"/>
  <c r="H728" i="7"/>
  <c r="G728" i="7"/>
  <c r="F728" i="7"/>
  <c r="I727" i="7"/>
  <c r="H727" i="7"/>
  <c r="G727" i="7"/>
  <c r="F727" i="7"/>
  <c r="I726" i="7"/>
  <c r="H726" i="7"/>
  <c r="G726" i="7"/>
  <c r="F726" i="7"/>
  <c r="I725" i="7"/>
  <c r="H725" i="7"/>
  <c r="G725" i="7"/>
  <c r="F725" i="7"/>
  <c r="E724" i="7"/>
  <c r="D724" i="7"/>
  <c r="C724" i="7"/>
  <c r="B724" i="7"/>
  <c r="H722" i="7"/>
  <c r="G722" i="7"/>
  <c r="E722" i="7"/>
  <c r="E721" i="7"/>
  <c r="E720" i="7"/>
  <c r="E719" i="7"/>
  <c r="I718" i="7"/>
  <c r="H718" i="7"/>
  <c r="G718" i="7"/>
  <c r="F718" i="7"/>
  <c r="I717" i="7"/>
  <c r="H717" i="7"/>
  <c r="G717" i="7"/>
  <c r="F717" i="7"/>
  <c r="I716" i="7"/>
  <c r="H716" i="7"/>
  <c r="G716" i="7"/>
  <c r="F716" i="7"/>
  <c r="I715" i="7"/>
  <c r="H715" i="7"/>
  <c r="G715" i="7"/>
  <c r="F715" i="7"/>
  <c r="E714" i="7"/>
  <c r="D714" i="7"/>
  <c r="C714" i="7"/>
  <c r="B714" i="7"/>
  <c r="B713" i="7"/>
  <c r="H710" i="7"/>
  <c r="G710" i="7"/>
  <c r="E710" i="7"/>
  <c r="E709" i="7"/>
  <c r="E708" i="7"/>
  <c r="E707" i="7"/>
  <c r="I706" i="7"/>
  <c r="H706" i="7"/>
  <c r="G706" i="7"/>
  <c r="F706" i="7"/>
  <c r="I705" i="7"/>
  <c r="H705" i="7"/>
  <c r="G705" i="7"/>
  <c r="F705" i="7"/>
  <c r="I704" i="7"/>
  <c r="H704" i="7"/>
  <c r="G704" i="7"/>
  <c r="F704" i="7"/>
  <c r="I703" i="7"/>
  <c r="H703" i="7"/>
  <c r="G703" i="7"/>
  <c r="F703" i="7"/>
  <c r="D701" i="7"/>
  <c r="C701" i="7"/>
  <c r="B701" i="7"/>
  <c r="H699" i="7"/>
  <c r="G699" i="7"/>
  <c r="E699" i="7"/>
  <c r="E698" i="7"/>
  <c r="E697" i="7"/>
  <c r="E696" i="7"/>
  <c r="I695" i="7"/>
  <c r="H695" i="7"/>
  <c r="G695" i="7"/>
  <c r="F695" i="7"/>
  <c r="I694" i="7"/>
  <c r="H694" i="7"/>
  <c r="G694" i="7"/>
  <c r="F694" i="7"/>
  <c r="I693" i="7"/>
  <c r="H693" i="7"/>
  <c r="G693" i="7"/>
  <c r="F693" i="7"/>
  <c r="I692" i="7"/>
  <c r="H692" i="7"/>
  <c r="G692" i="7"/>
  <c r="F692" i="7"/>
  <c r="D690" i="7"/>
  <c r="C690" i="7"/>
  <c r="B690" i="7"/>
  <c r="B689" i="7"/>
  <c r="A687" i="7"/>
  <c r="H681" i="7"/>
  <c r="G681" i="7"/>
  <c r="E681" i="7"/>
  <c r="E680" i="7"/>
  <c r="E679" i="7"/>
  <c r="E678" i="7"/>
  <c r="I677" i="7"/>
  <c r="H677" i="7"/>
  <c r="G677" i="7"/>
  <c r="F677" i="7"/>
  <c r="I676" i="7"/>
  <c r="H676" i="7"/>
  <c r="G676" i="7"/>
  <c r="F676" i="7"/>
  <c r="I675" i="7"/>
  <c r="H675" i="7"/>
  <c r="G675" i="7"/>
  <c r="F675" i="7"/>
  <c r="I674" i="7"/>
  <c r="H674" i="7"/>
  <c r="G674" i="7"/>
  <c r="F674" i="7"/>
  <c r="E673" i="7"/>
  <c r="D673" i="7"/>
  <c r="C673" i="7"/>
  <c r="B673" i="7"/>
  <c r="H671" i="7"/>
  <c r="G671" i="7"/>
  <c r="E671" i="7"/>
  <c r="E670" i="7"/>
  <c r="E669" i="7"/>
  <c r="I668" i="7"/>
  <c r="H668" i="7"/>
  <c r="G668" i="7"/>
  <c r="F668" i="7"/>
  <c r="I667" i="7"/>
  <c r="H667" i="7"/>
  <c r="G667" i="7"/>
  <c r="F667" i="7"/>
  <c r="E666" i="7"/>
  <c r="D666" i="7"/>
  <c r="C666" i="7"/>
  <c r="B666" i="7"/>
  <c r="H664" i="7"/>
  <c r="G664" i="7"/>
  <c r="E664" i="7"/>
  <c r="E663" i="7"/>
  <c r="E662" i="7"/>
  <c r="E661" i="7"/>
  <c r="I660" i="7"/>
  <c r="H660" i="7"/>
  <c r="G660" i="7"/>
  <c r="F660" i="7"/>
  <c r="I659" i="7"/>
  <c r="H659" i="7"/>
  <c r="G659" i="7"/>
  <c r="F659" i="7"/>
  <c r="I658" i="7"/>
  <c r="H658" i="7"/>
  <c r="G658" i="7"/>
  <c r="F658" i="7"/>
  <c r="I657" i="7"/>
  <c r="H657" i="7"/>
  <c r="G657" i="7"/>
  <c r="F657" i="7"/>
  <c r="E656" i="7"/>
  <c r="D656" i="7"/>
  <c r="C656" i="7"/>
  <c r="B656" i="7"/>
  <c r="B655" i="7"/>
  <c r="H652" i="7"/>
  <c r="G652" i="7"/>
  <c r="E652" i="7"/>
  <c r="E651" i="7"/>
  <c r="E650" i="7"/>
  <c r="I649" i="7"/>
  <c r="H649" i="7"/>
  <c r="G649" i="7"/>
  <c r="F649" i="7"/>
  <c r="D647" i="7"/>
  <c r="C647" i="7"/>
  <c r="B647" i="7"/>
  <c r="H645" i="7"/>
  <c r="G645" i="7"/>
  <c r="E645" i="7"/>
  <c r="E644" i="7"/>
  <c r="E643" i="7"/>
  <c r="I642" i="7"/>
  <c r="H642" i="7"/>
  <c r="G642" i="7"/>
  <c r="F642" i="7"/>
  <c r="I641" i="7"/>
  <c r="H641" i="7"/>
  <c r="G641" i="7"/>
  <c r="F641" i="7"/>
  <c r="D639" i="7"/>
  <c r="C639" i="7"/>
  <c r="B639" i="7"/>
  <c r="H637" i="7"/>
  <c r="G637" i="7"/>
  <c r="E637" i="7"/>
  <c r="E636" i="7"/>
  <c r="E635" i="7"/>
  <c r="I634" i="7"/>
  <c r="H634" i="7"/>
  <c r="G634" i="7"/>
  <c r="F634" i="7"/>
  <c r="I633" i="7"/>
  <c r="H633" i="7"/>
  <c r="G633" i="7"/>
  <c r="F633" i="7"/>
  <c r="D631" i="7"/>
  <c r="C631" i="7"/>
  <c r="B631" i="7"/>
  <c r="H629" i="7"/>
  <c r="G629" i="7"/>
  <c r="E629" i="7"/>
  <c r="E628" i="7"/>
  <c r="E627" i="7"/>
  <c r="I626" i="7"/>
  <c r="H626" i="7"/>
  <c r="G626" i="7"/>
  <c r="F626" i="7"/>
  <c r="I625" i="7"/>
  <c r="H625" i="7"/>
  <c r="G625" i="7"/>
  <c r="F625" i="7"/>
  <c r="D623" i="7"/>
  <c r="C623" i="7"/>
  <c r="B623" i="7"/>
  <c r="H621" i="7"/>
  <c r="G621" i="7"/>
  <c r="E621" i="7"/>
  <c r="E620" i="7"/>
  <c r="E619" i="7"/>
  <c r="E618" i="7"/>
  <c r="I617" i="7"/>
  <c r="H617" i="7"/>
  <c r="G617" i="7"/>
  <c r="F617" i="7"/>
  <c r="I616" i="7"/>
  <c r="H616" i="7"/>
  <c r="G616" i="7"/>
  <c r="F616" i="7"/>
  <c r="I615" i="7"/>
  <c r="H615" i="7"/>
  <c r="G615" i="7"/>
  <c r="F615" i="7"/>
  <c r="I614" i="7"/>
  <c r="H614" i="7"/>
  <c r="G614" i="7"/>
  <c r="F614" i="7"/>
  <c r="D612" i="7"/>
  <c r="C612" i="7"/>
  <c r="B612" i="7"/>
  <c r="B611" i="7"/>
  <c r="A609" i="7"/>
  <c r="A607" i="7"/>
  <c r="B599" i="7"/>
  <c r="B597" i="7"/>
  <c r="B595" i="7"/>
  <c r="H592" i="7"/>
  <c r="G592" i="7"/>
  <c r="E592" i="7"/>
  <c r="E591" i="7"/>
  <c r="E590" i="7"/>
  <c r="I589" i="7"/>
  <c r="H589" i="7"/>
  <c r="G589" i="7"/>
  <c r="F589" i="7"/>
  <c r="I588" i="7"/>
  <c r="H588" i="7"/>
  <c r="G588" i="7"/>
  <c r="F588" i="7"/>
  <c r="D586" i="7"/>
  <c r="C586" i="7"/>
  <c r="B586" i="7"/>
  <c r="H584" i="7"/>
  <c r="G584" i="7"/>
  <c r="E584" i="7"/>
  <c r="E583" i="7"/>
  <c r="E582" i="7"/>
  <c r="I581" i="7"/>
  <c r="H581" i="7"/>
  <c r="G581" i="7"/>
  <c r="F581" i="7"/>
  <c r="D579" i="7"/>
  <c r="C579" i="7"/>
  <c r="B579" i="7"/>
  <c r="H577" i="7"/>
  <c r="G577" i="7"/>
  <c r="E577" i="7"/>
  <c r="E576" i="7"/>
  <c r="E575" i="7"/>
  <c r="I574" i="7"/>
  <c r="H574" i="7"/>
  <c r="G574" i="7"/>
  <c r="F574" i="7"/>
  <c r="I573" i="7"/>
  <c r="H573" i="7"/>
  <c r="G573" i="7"/>
  <c r="F573" i="7"/>
  <c r="I572" i="7"/>
  <c r="H572" i="7"/>
  <c r="G572" i="7"/>
  <c r="F572" i="7"/>
  <c r="E571" i="7"/>
  <c r="D571" i="7"/>
  <c r="C571" i="7"/>
  <c r="B571" i="7"/>
  <c r="H569" i="7"/>
  <c r="G569" i="7"/>
  <c r="E569" i="7"/>
  <c r="E568" i="7"/>
  <c r="E567" i="7"/>
  <c r="E566" i="7"/>
  <c r="I565" i="7"/>
  <c r="H565" i="7"/>
  <c r="G565" i="7"/>
  <c r="F565" i="7"/>
  <c r="I564" i="7"/>
  <c r="H564" i="7"/>
  <c r="G564" i="7"/>
  <c r="F564" i="7"/>
  <c r="I563" i="7"/>
  <c r="H563" i="7"/>
  <c r="G563" i="7"/>
  <c r="F563" i="7"/>
  <c r="I562" i="7"/>
  <c r="H562" i="7"/>
  <c r="G562" i="7"/>
  <c r="F562" i="7"/>
  <c r="D560" i="7"/>
  <c r="C560" i="7"/>
  <c r="B560" i="7"/>
  <c r="H558" i="7"/>
  <c r="G558" i="7"/>
  <c r="E558" i="7"/>
  <c r="E557" i="7"/>
  <c r="E556" i="7"/>
  <c r="E555" i="7"/>
  <c r="I554" i="7"/>
  <c r="H554" i="7"/>
  <c r="G554" i="7"/>
  <c r="F554" i="7"/>
  <c r="I553" i="7"/>
  <c r="H553" i="7"/>
  <c r="G553" i="7"/>
  <c r="F553" i="7"/>
  <c r="I552" i="7"/>
  <c r="H552" i="7"/>
  <c r="G552" i="7"/>
  <c r="F552" i="7"/>
  <c r="I551" i="7"/>
  <c r="H551" i="7"/>
  <c r="G551" i="7"/>
  <c r="F551" i="7"/>
  <c r="D549" i="7"/>
  <c r="C549" i="7"/>
  <c r="B549" i="7"/>
  <c r="H547" i="7"/>
  <c r="G547" i="7"/>
  <c r="E547" i="7"/>
  <c r="E546" i="7"/>
  <c r="E545" i="7"/>
  <c r="E544" i="7"/>
  <c r="I543" i="7"/>
  <c r="H543" i="7"/>
  <c r="G543" i="7"/>
  <c r="F543" i="7"/>
  <c r="I542" i="7"/>
  <c r="H542" i="7"/>
  <c r="G542" i="7"/>
  <c r="F542" i="7"/>
  <c r="I541" i="7"/>
  <c r="H541" i="7"/>
  <c r="G541" i="7"/>
  <c r="F541" i="7"/>
  <c r="I540" i="7"/>
  <c r="H540" i="7"/>
  <c r="G540" i="7"/>
  <c r="F540" i="7"/>
  <c r="D538" i="7"/>
  <c r="C538" i="7"/>
  <c r="B538" i="7"/>
  <c r="H536" i="7"/>
  <c r="G536" i="7"/>
  <c r="E536" i="7"/>
  <c r="E535" i="7"/>
  <c r="E534" i="7"/>
  <c r="I533" i="7"/>
  <c r="H533" i="7"/>
  <c r="G533" i="7"/>
  <c r="F533" i="7"/>
  <c r="I532" i="7"/>
  <c r="H532" i="7"/>
  <c r="G532" i="7"/>
  <c r="F532" i="7"/>
  <c r="I531" i="7"/>
  <c r="H531" i="7"/>
  <c r="G531" i="7"/>
  <c r="F531" i="7"/>
  <c r="D529" i="7"/>
  <c r="C529" i="7"/>
  <c r="B529" i="7"/>
  <c r="H527" i="7"/>
  <c r="G527" i="7"/>
  <c r="E527" i="7"/>
  <c r="E526" i="7"/>
  <c r="E525" i="7"/>
  <c r="E524" i="7"/>
  <c r="I523" i="7"/>
  <c r="H523" i="7"/>
  <c r="G523" i="7"/>
  <c r="F523" i="7"/>
  <c r="I522" i="7"/>
  <c r="H522" i="7"/>
  <c r="G522" i="7"/>
  <c r="F522" i="7"/>
  <c r="I521" i="7"/>
  <c r="H521" i="7"/>
  <c r="G521" i="7"/>
  <c r="F521" i="7"/>
  <c r="I520" i="7"/>
  <c r="H520" i="7"/>
  <c r="G520" i="7"/>
  <c r="F520" i="7"/>
  <c r="D518" i="7"/>
  <c r="C518" i="7"/>
  <c r="B518" i="7"/>
  <c r="H516" i="7"/>
  <c r="G516" i="7"/>
  <c r="E516" i="7"/>
  <c r="E515" i="7"/>
  <c r="E514" i="7"/>
  <c r="E513" i="7"/>
  <c r="I512" i="7"/>
  <c r="H512" i="7"/>
  <c r="G512" i="7"/>
  <c r="F512" i="7"/>
  <c r="I511" i="7"/>
  <c r="H511" i="7"/>
  <c r="G511" i="7"/>
  <c r="F511" i="7"/>
  <c r="I510" i="7"/>
  <c r="H510" i="7"/>
  <c r="G510" i="7"/>
  <c r="F510" i="7"/>
  <c r="I509" i="7"/>
  <c r="H509" i="7"/>
  <c r="G509" i="7"/>
  <c r="F509" i="7"/>
  <c r="D507" i="7"/>
  <c r="C507" i="7"/>
  <c r="B507" i="7"/>
  <c r="H505" i="7"/>
  <c r="G505" i="7"/>
  <c r="E505" i="7"/>
  <c r="E504" i="7"/>
  <c r="E503" i="7"/>
  <c r="E502" i="7"/>
  <c r="I501" i="7"/>
  <c r="H501" i="7"/>
  <c r="G501" i="7"/>
  <c r="F501" i="7"/>
  <c r="I500" i="7"/>
  <c r="H500" i="7"/>
  <c r="G500" i="7"/>
  <c r="F500" i="7"/>
  <c r="I499" i="7"/>
  <c r="H499" i="7"/>
  <c r="G499" i="7"/>
  <c r="F499" i="7"/>
  <c r="I498" i="7"/>
  <c r="H498" i="7"/>
  <c r="G498" i="7"/>
  <c r="F498" i="7"/>
  <c r="E497" i="7"/>
  <c r="D497" i="7"/>
  <c r="C497" i="7"/>
  <c r="B497" i="7"/>
  <c r="H495" i="7"/>
  <c r="G495" i="7"/>
  <c r="E495" i="7"/>
  <c r="E494" i="7"/>
  <c r="E493" i="7"/>
  <c r="E492" i="7"/>
  <c r="I491" i="7"/>
  <c r="H491" i="7"/>
  <c r="G491" i="7"/>
  <c r="F491" i="7"/>
  <c r="I490" i="7"/>
  <c r="H490" i="7"/>
  <c r="G490" i="7"/>
  <c r="F490" i="7"/>
  <c r="I489" i="7"/>
  <c r="H489" i="7"/>
  <c r="G489" i="7"/>
  <c r="F489" i="7"/>
  <c r="I488" i="7"/>
  <c r="H488" i="7"/>
  <c r="G488" i="7"/>
  <c r="F488" i="7"/>
  <c r="D486" i="7"/>
  <c r="C486" i="7"/>
  <c r="B486" i="7"/>
  <c r="B485" i="7"/>
  <c r="H482" i="7"/>
  <c r="G482" i="7"/>
  <c r="E482" i="7"/>
  <c r="E481" i="7"/>
  <c r="E480" i="7"/>
  <c r="I479" i="7"/>
  <c r="H479" i="7"/>
  <c r="G479" i="7"/>
  <c r="F479" i="7"/>
  <c r="I478" i="7"/>
  <c r="H478" i="7"/>
  <c r="G478" i="7"/>
  <c r="F478" i="7"/>
  <c r="D476" i="7"/>
  <c r="C476" i="7"/>
  <c r="B476" i="7"/>
  <c r="H474" i="7"/>
  <c r="G474" i="7"/>
  <c r="E474" i="7"/>
  <c r="E473" i="7"/>
  <c r="E472" i="7"/>
  <c r="I471" i="7"/>
  <c r="H471" i="7"/>
  <c r="G471" i="7"/>
  <c r="F471" i="7"/>
  <c r="D469" i="7"/>
  <c r="C469" i="7"/>
  <c r="B469" i="7"/>
  <c r="H467" i="7"/>
  <c r="G467" i="7"/>
  <c r="E467" i="7"/>
  <c r="E466" i="7"/>
  <c r="E465" i="7"/>
  <c r="I464" i="7"/>
  <c r="H464" i="7"/>
  <c r="G464" i="7"/>
  <c r="F464" i="7"/>
  <c r="I463" i="7"/>
  <c r="H463" i="7"/>
  <c r="G463" i="7"/>
  <c r="F463" i="7"/>
  <c r="I462" i="7"/>
  <c r="H462" i="7"/>
  <c r="G462" i="7"/>
  <c r="F462" i="7"/>
  <c r="D460" i="7"/>
  <c r="C460" i="7"/>
  <c r="B460" i="7"/>
  <c r="H458" i="7"/>
  <c r="G458" i="7"/>
  <c r="E458" i="7"/>
  <c r="E457" i="7"/>
  <c r="E456" i="7"/>
  <c r="E455" i="7"/>
  <c r="I454" i="7"/>
  <c r="H454" i="7"/>
  <c r="G454" i="7"/>
  <c r="F454" i="7"/>
  <c r="I453" i="7"/>
  <c r="H453" i="7"/>
  <c r="G453" i="7"/>
  <c r="F453" i="7"/>
  <c r="I452" i="7"/>
  <c r="H452" i="7"/>
  <c r="G452" i="7"/>
  <c r="F452" i="7"/>
  <c r="I451" i="7"/>
  <c r="H451" i="7"/>
  <c r="G451" i="7"/>
  <c r="F451" i="7"/>
  <c r="D449" i="7"/>
  <c r="C449" i="7"/>
  <c r="B449" i="7"/>
  <c r="H447" i="7"/>
  <c r="G447" i="7"/>
  <c r="E447" i="7"/>
  <c r="E446" i="7"/>
  <c r="E445" i="7"/>
  <c r="E444" i="7"/>
  <c r="I443" i="7"/>
  <c r="H443" i="7"/>
  <c r="G443" i="7"/>
  <c r="F443" i="7"/>
  <c r="I442" i="7"/>
  <c r="H442" i="7"/>
  <c r="G442" i="7"/>
  <c r="F442" i="7"/>
  <c r="I441" i="7"/>
  <c r="H441" i="7"/>
  <c r="G441" i="7"/>
  <c r="F441" i="7"/>
  <c r="I440" i="7"/>
  <c r="H440" i="7"/>
  <c r="G440" i="7"/>
  <c r="F440" i="7"/>
  <c r="D438" i="7"/>
  <c r="C438" i="7"/>
  <c r="B438" i="7"/>
  <c r="H436" i="7"/>
  <c r="G436" i="7"/>
  <c r="E436" i="7"/>
  <c r="E435" i="7"/>
  <c r="E434" i="7"/>
  <c r="E433" i="7"/>
  <c r="I432" i="7"/>
  <c r="H432" i="7"/>
  <c r="G432" i="7"/>
  <c r="F432" i="7"/>
  <c r="I431" i="7"/>
  <c r="H431" i="7"/>
  <c r="G431" i="7"/>
  <c r="F431" i="7"/>
  <c r="I430" i="7"/>
  <c r="H430" i="7"/>
  <c r="G430" i="7"/>
  <c r="F430" i="7"/>
  <c r="I429" i="7"/>
  <c r="H429" i="7"/>
  <c r="G429" i="7"/>
  <c r="F429" i="7"/>
  <c r="D427" i="7"/>
  <c r="C427" i="7"/>
  <c r="B427" i="7"/>
  <c r="H425" i="7"/>
  <c r="G425" i="7"/>
  <c r="E425" i="7"/>
  <c r="E424" i="7"/>
  <c r="E423" i="7"/>
  <c r="E422" i="7"/>
  <c r="I421" i="7"/>
  <c r="H421" i="7"/>
  <c r="G421" i="7"/>
  <c r="F421" i="7"/>
  <c r="I420" i="7"/>
  <c r="H420" i="7"/>
  <c r="G420" i="7"/>
  <c r="F420" i="7"/>
  <c r="I419" i="7"/>
  <c r="H419" i="7"/>
  <c r="G419" i="7"/>
  <c r="F419" i="7"/>
  <c r="I418" i="7"/>
  <c r="H418" i="7"/>
  <c r="G418" i="7"/>
  <c r="F418" i="7"/>
  <c r="D416" i="7"/>
  <c r="C416" i="7"/>
  <c r="B416" i="7"/>
  <c r="H414" i="7"/>
  <c r="G414" i="7"/>
  <c r="E414" i="7"/>
  <c r="E413" i="7"/>
  <c r="E412" i="7"/>
  <c r="E411" i="7"/>
  <c r="I410" i="7"/>
  <c r="H410" i="7"/>
  <c r="G410" i="7"/>
  <c r="F410" i="7"/>
  <c r="I409" i="7"/>
  <c r="H409" i="7"/>
  <c r="G409" i="7"/>
  <c r="F409" i="7"/>
  <c r="I408" i="7"/>
  <c r="H408" i="7"/>
  <c r="G408" i="7"/>
  <c r="F408" i="7"/>
  <c r="I407" i="7"/>
  <c r="H407" i="7"/>
  <c r="G407" i="7"/>
  <c r="F407" i="7"/>
  <c r="D405" i="7"/>
  <c r="C405" i="7"/>
  <c r="B405" i="7"/>
  <c r="B404" i="7"/>
  <c r="A402" i="7"/>
  <c r="H396" i="7"/>
  <c r="G396" i="7"/>
  <c r="E396" i="7"/>
  <c r="E395" i="7"/>
  <c r="E394" i="7"/>
  <c r="I393" i="7"/>
  <c r="H393" i="7"/>
  <c r="G393" i="7"/>
  <c r="F393" i="7"/>
  <c r="I392" i="7"/>
  <c r="H392" i="7"/>
  <c r="G392" i="7"/>
  <c r="F392" i="7"/>
  <c r="D390" i="7"/>
  <c r="C390" i="7"/>
  <c r="B390" i="7"/>
  <c r="H388" i="7"/>
  <c r="G388" i="7"/>
  <c r="E388" i="7"/>
  <c r="E387" i="7"/>
  <c r="E386" i="7"/>
  <c r="I385" i="7"/>
  <c r="H385" i="7"/>
  <c r="G385" i="7"/>
  <c r="F385" i="7"/>
  <c r="I384" i="7"/>
  <c r="H384" i="7"/>
  <c r="G384" i="7"/>
  <c r="F384" i="7"/>
  <c r="D382" i="7"/>
  <c r="C382" i="7"/>
  <c r="B382" i="7"/>
  <c r="H380" i="7"/>
  <c r="G380" i="7"/>
  <c r="E380" i="7"/>
  <c r="E379" i="7"/>
  <c r="E378" i="7"/>
  <c r="I377" i="7"/>
  <c r="H377" i="7"/>
  <c r="G377" i="7"/>
  <c r="F377" i="7"/>
  <c r="I376" i="7"/>
  <c r="H376" i="7"/>
  <c r="G376" i="7"/>
  <c r="F376" i="7"/>
  <c r="D374" i="7"/>
  <c r="C374" i="7"/>
  <c r="B374" i="7"/>
  <c r="H372" i="7"/>
  <c r="G372" i="7"/>
  <c r="E372" i="7"/>
  <c r="E371" i="7"/>
  <c r="E370" i="7"/>
  <c r="I369" i="7"/>
  <c r="H369" i="7"/>
  <c r="G369" i="7"/>
  <c r="F369" i="7"/>
  <c r="D367" i="7"/>
  <c r="C367" i="7"/>
  <c r="B367" i="7"/>
  <c r="H365" i="7"/>
  <c r="G365" i="7"/>
  <c r="E365" i="7"/>
  <c r="E364" i="7"/>
  <c r="E363" i="7"/>
  <c r="I362" i="7"/>
  <c r="H362" i="7"/>
  <c r="G362" i="7"/>
  <c r="F362" i="7"/>
  <c r="I361" i="7"/>
  <c r="H361" i="7"/>
  <c r="G361" i="7"/>
  <c r="F361" i="7"/>
  <c r="D359" i="7"/>
  <c r="C359" i="7"/>
  <c r="B359" i="7"/>
  <c r="B358" i="7"/>
  <c r="A356" i="7"/>
  <c r="B351" i="7"/>
  <c r="B349" i="7"/>
  <c r="B347" i="7"/>
  <c r="B345" i="7"/>
  <c r="H342" i="7"/>
  <c r="G342" i="7"/>
  <c r="E342" i="7"/>
  <c r="E341" i="7"/>
  <c r="E340" i="7"/>
  <c r="I339" i="7"/>
  <c r="H339" i="7"/>
  <c r="G339" i="7"/>
  <c r="F339" i="7"/>
  <c r="I338" i="7"/>
  <c r="H338" i="7"/>
  <c r="G338" i="7"/>
  <c r="F338" i="7"/>
  <c r="D336" i="7"/>
  <c r="C336" i="7"/>
  <c r="B336" i="7"/>
  <c r="H334" i="7"/>
  <c r="G334" i="7"/>
  <c r="E334" i="7"/>
  <c r="E333" i="7"/>
  <c r="E332" i="7"/>
  <c r="E331" i="7"/>
  <c r="I330" i="7"/>
  <c r="H330" i="7"/>
  <c r="G330" i="7"/>
  <c r="F330" i="7"/>
  <c r="I329" i="7"/>
  <c r="H329" i="7"/>
  <c r="G329" i="7"/>
  <c r="F329" i="7"/>
  <c r="I328" i="7"/>
  <c r="H328" i="7"/>
  <c r="G328" i="7"/>
  <c r="F328" i="7"/>
  <c r="D326" i="7"/>
  <c r="C326" i="7"/>
  <c r="B326" i="7"/>
  <c r="H324" i="7"/>
  <c r="G324" i="7"/>
  <c r="E324" i="7"/>
  <c r="E323" i="7"/>
  <c r="E322" i="7"/>
  <c r="E321" i="7"/>
  <c r="I320" i="7"/>
  <c r="H320" i="7"/>
  <c r="G320" i="7"/>
  <c r="F320" i="7"/>
  <c r="I319" i="7"/>
  <c r="H319" i="7"/>
  <c r="G319" i="7"/>
  <c r="F319" i="7"/>
  <c r="I318" i="7"/>
  <c r="H318" i="7"/>
  <c r="G318" i="7"/>
  <c r="F318" i="7"/>
  <c r="D316" i="7"/>
  <c r="C316" i="7"/>
  <c r="B316" i="7"/>
  <c r="H314" i="7"/>
  <c r="G314" i="7"/>
  <c r="E314" i="7"/>
  <c r="E313" i="7"/>
  <c r="E312" i="7"/>
  <c r="I311" i="7"/>
  <c r="H311" i="7"/>
  <c r="G311" i="7"/>
  <c r="F311" i="7"/>
  <c r="I310" i="7"/>
  <c r="H310" i="7"/>
  <c r="G310" i="7"/>
  <c r="F310" i="7"/>
  <c r="D308" i="7"/>
  <c r="C308" i="7"/>
  <c r="B308" i="7"/>
  <c r="H306" i="7"/>
  <c r="G306" i="7"/>
  <c r="E306" i="7"/>
  <c r="E305" i="7"/>
  <c r="E304" i="7"/>
  <c r="I303" i="7"/>
  <c r="H303" i="7"/>
  <c r="G303" i="7"/>
  <c r="F303" i="7"/>
  <c r="D301" i="7"/>
  <c r="C301" i="7"/>
  <c r="B301" i="7"/>
  <c r="H299" i="7"/>
  <c r="G299" i="7"/>
  <c r="E299" i="7"/>
  <c r="E298" i="7"/>
  <c r="E297" i="7"/>
  <c r="I296" i="7"/>
  <c r="H296" i="7"/>
  <c r="G296" i="7"/>
  <c r="F296" i="7"/>
  <c r="D294" i="7"/>
  <c r="C294" i="7"/>
  <c r="B294" i="7"/>
  <c r="H292" i="7"/>
  <c r="G292" i="7"/>
  <c r="E292" i="7"/>
  <c r="E291" i="7"/>
  <c r="E290" i="7"/>
  <c r="E289" i="7"/>
  <c r="I288" i="7"/>
  <c r="H288" i="7"/>
  <c r="G288" i="7"/>
  <c r="F288" i="7"/>
  <c r="I287" i="7"/>
  <c r="H287" i="7"/>
  <c r="G287" i="7"/>
  <c r="F287" i="7"/>
  <c r="I286" i="7"/>
  <c r="H286" i="7"/>
  <c r="G286" i="7"/>
  <c r="F286" i="7"/>
  <c r="D284" i="7"/>
  <c r="C284" i="7"/>
  <c r="B284" i="7"/>
  <c r="H282" i="7"/>
  <c r="G282" i="7"/>
  <c r="E282" i="7"/>
  <c r="E281" i="7"/>
  <c r="E280" i="7"/>
  <c r="I279" i="7"/>
  <c r="H279" i="7"/>
  <c r="F279" i="7"/>
  <c r="D279" i="7"/>
  <c r="C279" i="7"/>
  <c r="B279" i="7"/>
  <c r="I278" i="7"/>
  <c r="H278" i="7"/>
  <c r="G278" i="7"/>
  <c r="F278" i="7"/>
  <c r="I277" i="7"/>
  <c r="H277" i="7"/>
  <c r="G277" i="7"/>
  <c r="F277" i="7"/>
  <c r="D275" i="7"/>
  <c r="C275" i="7"/>
  <c r="B275" i="7"/>
  <c r="H273" i="7"/>
  <c r="G273" i="7"/>
  <c r="E273" i="7"/>
  <c r="E272" i="7"/>
  <c r="E271" i="7"/>
  <c r="I270" i="7"/>
  <c r="H270" i="7"/>
  <c r="G270" i="7"/>
  <c r="F270" i="7"/>
  <c r="D268" i="7"/>
  <c r="C268" i="7"/>
  <c r="B268" i="7"/>
  <c r="H266" i="7"/>
  <c r="G266" i="7"/>
  <c r="E266" i="7"/>
  <c r="E265" i="7"/>
  <c r="E264" i="7"/>
  <c r="I263" i="7"/>
  <c r="H263" i="7"/>
  <c r="G263" i="7"/>
  <c r="F263" i="7"/>
  <c r="D261" i="7"/>
  <c r="C261" i="7"/>
  <c r="B261" i="7"/>
  <c r="H259" i="7"/>
  <c r="G259" i="7"/>
  <c r="E259" i="7"/>
  <c r="E258" i="7"/>
  <c r="E257" i="7"/>
  <c r="I256" i="7"/>
  <c r="H256" i="7"/>
  <c r="G256" i="7"/>
  <c r="F256" i="7"/>
  <c r="I255" i="7"/>
  <c r="H255" i="7"/>
  <c r="G255" i="7"/>
  <c r="F255" i="7"/>
  <c r="D253" i="7"/>
  <c r="C253" i="7"/>
  <c r="B253" i="7"/>
  <c r="H251" i="7"/>
  <c r="G251" i="7"/>
  <c r="E251" i="7"/>
  <c r="E250" i="7"/>
  <c r="E249" i="7"/>
  <c r="E248" i="7"/>
  <c r="I247" i="7"/>
  <c r="H247" i="7"/>
  <c r="G247" i="7"/>
  <c r="F247" i="7"/>
  <c r="I246" i="7"/>
  <c r="H246" i="7"/>
  <c r="G246" i="7"/>
  <c r="F246" i="7"/>
  <c r="I245" i="7"/>
  <c r="H245" i="7"/>
  <c r="G245" i="7"/>
  <c r="F245" i="7"/>
  <c r="D243" i="7"/>
  <c r="C243" i="7"/>
  <c r="B243" i="7"/>
  <c r="H241" i="7"/>
  <c r="G241" i="7"/>
  <c r="E241" i="7"/>
  <c r="E240" i="7"/>
  <c r="E239" i="7"/>
  <c r="I238" i="7"/>
  <c r="H238" i="7"/>
  <c r="G238" i="7"/>
  <c r="F238" i="7"/>
  <c r="I237" i="7"/>
  <c r="H237" i="7"/>
  <c r="G237" i="7"/>
  <c r="F237" i="7"/>
  <c r="E236" i="7"/>
  <c r="D236" i="7"/>
  <c r="C236" i="7"/>
  <c r="B236" i="7"/>
  <c r="H234" i="7"/>
  <c r="G234" i="7"/>
  <c r="E234" i="7"/>
  <c r="E233" i="7"/>
  <c r="E232" i="7"/>
  <c r="E231" i="7"/>
  <c r="I230" i="7"/>
  <c r="H230" i="7"/>
  <c r="G230" i="7"/>
  <c r="F230" i="7"/>
  <c r="I229" i="7"/>
  <c r="H229" i="7"/>
  <c r="G229" i="7"/>
  <c r="F229" i="7"/>
  <c r="I228" i="7"/>
  <c r="H228" i="7"/>
  <c r="G228" i="7"/>
  <c r="F228" i="7"/>
  <c r="I227" i="7"/>
  <c r="H227" i="7"/>
  <c r="G227" i="7"/>
  <c r="F227" i="7"/>
  <c r="D226" i="7"/>
  <c r="C226" i="7"/>
  <c r="B226" i="7"/>
  <c r="H224" i="7"/>
  <c r="G224" i="7"/>
  <c r="E224" i="7"/>
  <c r="E223" i="7"/>
  <c r="E222" i="7"/>
  <c r="I221" i="7"/>
  <c r="H221" i="7"/>
  <c r="G221" i="7"/>
  <c r="F221" i="7"/>
  <c r="I220" i="7"/>
  <c r="H220" i="7"/>
  <c r="G220" i="7"/>
  <c r="F220" i="7"/>
  <c r="D218" i="7"/>
  <c r="C218" i="7"/>
  <c r="B218" i="7"/>
  <c r="H216" i="7"/>
  <c r="G216" i="7"/>
  <c r="E216" i="7"/>
  <c r="E215" i="7"/>
  <c r="E214" i="7"/>
  <c r="E213" i="7"/>
  <c r="I212" i="7"/>
  <c r="H212" i="7"/>
  <c r="G212" i="7"/>
  <c r="F212" i="7"/>
  <c r="I211" i="7"/>
  <c r="H211" i="7"/>
  <c r="G211" i="7"/>
  <c r="F211" i="7"/>
  <c r="I210" i="7"/>
  <c r="H210" i="7"/>
  <c r="G210" i="7"/>
  <c r="F210" i="7"/>
  <c r="D208" i="7"/>
  <c r="C208" i="7"/>
  <c r="B208" i="7"/>
  <c r="B207" i="7"/>
  <c r="B205" i="7"/>
  <c r="A203" i="7"/>
  <c r="A201" i="7"/>
  <c r="I195" i="7"/>
  <c r="B193" i="7"/>
  <c r="B191" i="7"/>
  <c r="A189" i="7"/>
  <c r="H183" i="7"/>
  <c r="G183" i="7"/>
  <c r="E183" i="7"/>
  <c r="E182" i="7"/>
  <c r="E181" i="7"/>
  <c r="I180" i="7"/>
  <c r="H180" i="7"/>
  <c r="G180" i="7"/>
  <c r="F180" i="7"/>
  <c r="I179" i="7"/>
  <c r="H179" i="7"/>
  <c r="G179" i="7"/>
  <c r="F179" i="7"/>
  <c r="D177" i="7"/>
  <c r="C177" i="7"/>
  <c r="B177" i="7"/>
  <c r="H175" i="7"/>
  <c r="G175" i="7"/>
  <c r="E175" i="7"/>
  <c r="E174" i="7"/>
  <c r="E173" i="7"/>
  <c r="I172" i="7"/>
  <c r="H172" i="7"/>
  <c r="G172" i="7"/>
  <c r="F172" i="7"/>
  <c r="D170" i="7"/>
  <c r="C170" i="7"/>
  <c r="B170" i="7"/>
  <c r="H168" i="7"/>
  <c r="G168" i="7"/>
  <c r="E168" i="7"/>
  <c r="E167" i="7"/>
  <c r="E166" i="7"/>
  <c r="E165" i="7"/>
  <c r="I164" i="7"/>
  <c r="H164" i="7"/>
  <c r="G164" i="7"/>
  <c r="F164" i="7"/>
  <c r="I163" i="7"/>
  <c r="H163" i="7"/>
  <c r="G163" i="7"/>
  <c r="F163" i="7"/>
  <c r="I162" i="7"/>
  <c r="H162" i="7"/>
  <c r="G162" i="7"/>
  <c r="F162" i="7"/>
  <c r="E161" i="7"/>
  <c r="D161" i="7"/>
  <c r="C161" i="7"/>
  <c r="B161" i="7"/>
  <c r="H159" i="7"/>
  <c r="G159" i="7"/>
  <c r="E159" i="7"/>
  <c r="E158" i="7"/>
  <c r="E157" i="7"/>
  <c r="E156" i="7"/>
  <c r="I155" i="7"/>
  <c r="H155" i="7"/>
  <c r="G155" i="7"/>
  <c r="F155" i="7"/>
  <c r="I154" i="7"/>
  <c r="H154" i="7"/>
  <c r="G154" i="7"/>
  <c r="F154" i="7"/>
  <c r="I153" i="7"/>
  <c r="H153" i="7"/>
  <c r="G153" i="7"/>
  <c r="F153" i="7"/>
  <c r="I152" i="7"/>
  <c r="H152" i="7"/>
  <c r="G152" i="7"/>
  <c r="F152" i="7"/>
  <c r="D150" i="7"/>
  <c r="C150" i="7"/>
  <c r="B150" i="7"/>
  <c r="H148" i="7"/>
  <c r="G148" i="7"/>
  <c r="E148" i="7"/>
  <c r="E147" i="7"/>
  <c r="E146" i="7"/>
  <c r="E145" i="7"/>
  <c r="I144" i="7"/>
  <c r="H144" i="7"/>
  <c r="G144" i="7"/>
  <c r="F144" i="7"/>
  <c r="I143" i="7"/>
  <c r="H143" i="7"/>
  <c r="G143" i="7"/>
  <c r="F143" i="7"/>
  <c r="I142" i="7"/>
  <c r="H142" i="7"/>
  <c r="G142" i="7"/>
  <c r="F142" i="7"/>
  <c r="I141" i="7"/>
  <c r="H141" i="7"/>
  <c r="G141" i="7"/>
  <c r="F141" i="7"/>
  <c r="D139" i="7"/>
  <c r="C139" i="7"/>
  <c r="B139" i="7"/>
  <c r="B138" i="7"/>
  <c r="H135" i="7"/>
  <c r="G135" i="7"/>
  <c r="E135" i="7"/>
  <c r="E134" i="7"/>
  <c r="E133" i="7"/>
  <c r="I132" i="7"/>
  <c r="H132" i="7"/>
  <c r="G132" i="7"/>
  <c r="F132" i="7"/>
  <c r="I131" i="7"/>
  <c r="H131" i="7"/>
  <c r="G131" i="7"/>
  <c r="F131" i="7"/>
  <c r="D129" i="7"/>
  <c r="C129" i="7"/>
  <c r="B129" i="7"/>
  <c r="H127" i="7"/>
  <c r="G127" i="7"/>
  <c r="E127" i="7"/>
  <c r="E126" i="7"/>
  <c r="E125" i="7"/>
  <c r="I124" i="7"/>
  <c r="H124" i="7"/>
  <c r="G124" i="7"/>
  <c r="F124" i="7"/>
  <c r="D122" i="7"/>
  <c r="C122" i="7"/>
  <c r="B122" i="7"/>
  <c r="H120" i="7"/>
  <c r="G120" i="7"/>
  <c r="E120" i="7"/>
  <c r="E119" i="7"/>
  <c r="E118" i="7"/>
  <c r="E117" i="7"/>
  <c r="I116" i="7"/>
  <c r="H116" i="7"/>
  <c r="G116" i="7"/>
  <c r="F116" i="7"/>
  <c r="I115" i="7"/>
  <c r="H115" i="7"/>
  <c r="G115" i="7"/>
  <c r="F115" i="7"/>
  <c r="I114" i="7"/>
  <c r="H114" i="7"/>
  <c r="G114" i="7"/>
  <c r="F114" i="7"/>
  <c r="D112" i="7"/>
  <c r="C112" i="7"/>
  <c r="B112" i="7"/>
  <c r="H110" i="7"/>
  <c r="G110" i="7"/>
  <c r="E110" i="7"/>
  <c r="E109" i="7"/>
  <c r="E108" i="7"/>
  <c r="E107" i="7"/>
  <c r="I106" i="7"/>
  <c r="H106" i="7"/>
  <c r="G106" i="7"/>
  <c r="F106" i="7"/>
  <c r="I105" i="7"/>
  <c r="H105" i="7"/>
  <c r="G105" i="7"/>
  <c r="F105" i="7"/>
  <c r="I104" i="7"/>
  <c r="H104" i="7"/>
  <c r="G104" i="7"/>
  <c r="F104" i="7"/>
  <c r="I103" i="7"/>
  <c r="H103" i="7"/>
  <c r="G103" i="7"/>
  <c r="F103" i="7"/>
  <c r="D101" i="7"/>
  <c r="C101" i="7"/>
  <c r="B101" i="7"/>
  <c r="H99" i="7"/>
  <c r="G99" i="7"/>
  <c r="E99" i="7"/>
  <c r="E98" i="7"/>
  <c r="E97" i="7"/>
  <c r="E96" i="7"/>
  <c r="I95" i="7"/>
  <c r="H95" i="7"/>
  <c r="G95" i="7"/>
  <c r="F95" i="7"/>
  <c r="I94" i="7"/>
  <c r="H94" i="7"/>
  <c r="G94" i="7"/>
  <c r="F94" i="7"/>
  <c r="I93" i="7"/>
  <c r="H93" i="7"/>
  <c r="G93" i="7"/>
  <c r="F93" i="7"/>
  <c r="I92" i="7"/>
  <c r="H92" i="7"/>
  <c r="G92" i="7"/>
  <c r="F92" i="7"/>
  <c r="D90" i="7"/>
  <c r="C90" i="7"/>
  <c r="B90" i="7"/>
  <c r="B89" i="7"/>
  <c r="A87" i="7"/>
  <c r="H81" i="7"/>
  <c r="G81" i="7"/>
  <c r="E81" i="7"/>
  <c r="E80" i="7"/>
  <c r="E79" i="7"/>
  <c r="E78" i="7"/>
  <c r="I77" i="7"/>
  <c r="H77" i="7"/>
  <c r="G77" i="7"/>
  <c r="F77" i="7"/>
  <c r="I76" i="7"/>
  <c r="H76" i="7"/>
  <c r="G76" i="7"/>
  <c r="F76" i="7"/>
  <c r="I75" i="7"/>
  <c r="H75" i="7"/>
  <c r="G75" i="7"/>
  <c r="F75" i="7"/>
  <c r="D73" i="7"/>
  <c r="C73" i="7"/>
  <c r="B73" i="7"/>
  <c r="H71" i="7"/>
  <c r="G71" i="7"/>
  <c r="E71" i="7"/>
  <c r="E70" i="7"/>
  <c r="E69" i="7"/>
  <c r="I68" i="7"/>
  <c r="H68" i="7"/>
  <c r="G68" i="7"/>
  <c r="F68" i="7"/>
  <c r="D66" i="7"/>
  <c r="C66" i="7"/>
  <c r="B66" i="7"/>
  <c r="B65" i="7"/>
  <c r="H62" i="7"/>
  <c r="G62" i="7"/>
  <c r="E62" i="7"/>
  <c r="E61" i="7"/>
  <c r="E60" i="7"/>
  <c r="I59" i="7"/>
  <c r="H59" i="7"/>
  <c r="G59" i="7"/>
  <c r="F59" i="7"/>
  <c r="I58" i="7"/>
  <c r="H58" i="7"/>
  <c r="G58" i="7"/>
  <c r="F58" i="7"/>
  <c r="D56" i="7"/>
  <c r="C56" i="7"/>
  <c r="B56" i="7"/>
  <c r="H54" i="7"/>
  <c r="G54" i="7"/>
  <c r="E54" i="7"/>
  <c r="E53" i="7"/>
  <c r="E52" i="7"/>
  <c r="I51" i="7"/>
  <c r="H51" i="7"/>
  <c r="G51" i="7"/>
  <c r="F51" i="7"/>
  <c r="D49" i="7"/>
  <c r="C49" i="7"/>
  <c r="B49" i="7"/>
  <c r="H47" i="7"/>
  <c r="G47" i="7"/>
  <c r="E47" i="7"/>
  <c r="E46" i="7"/>
  <c r="E45" i="7"/>
  <c r="E44" i="7"/>
  <c r="I43" i="7"/>
  <c r="H43" i="7"/>
  <c r="G43" i="7"/>
  <c r="F43" i="7"/>
  <c r="I42" i="7"/>
  <c r="H42" i="7"/>
  <c r="G42" i="7"/>
  <c r="F42" i="7"/>
  <c r="I41" i="7"/>
  <c r="H41" i="7"/>
  <c r="G41" i="7"/>
  <c r="F41" i="7"/>
  <c r="D39" i="7"/>
  <c r="C39" i="7"/>
  <c r="B39" i="7"/>
  <c r="B38" i="7"/>
  <c r="A36" i="7"/>
  <c r="A34" i="7"/>
  <c r="A32" i="7"/>
  <c r="A18" i="7"/>
  <c r="A15" i="7"/>
  <c r="A10" i="7"/>
  <c r="G6" i="7"/>
  <c r="B6" i="7"/>
  <c r="A1" i="7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331" i="4"/>
  <c r="A332" i="4"/>
  <c r="A333" i="4"/>
  <c r="A334" i="4"/>
  <c r="A335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368" i="4"/>
  <c r="A369" i="4"/>
  <c r="A370" i="4"/>
  <c r="A371" i="4"/>
  <c r="A372" i="4"/>
  <c r="A373" i="4"/>
  <c r="A374" i="4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408" i="4"/>
  <c r="A409" i="4"/>
  <c r="A410" i="4"/>
  <c r="A411" i="4"/>
  <c r="A412" i="4"/>
  <c r="A413" i="4"/>
  <c r="A414" i="4"/>
  <c r="A415" i="4"/>
  <c r="A416" i="4"/>
  <c r="A417" i="4"/>
  <c r="A418" i="4"/>
  <c r="A419" i="4"/>
  <c r="A420" i="4"/>
  <c r="A421" i="4"/>
  <c r="A422" i="4"/>
  <c r="A423" i="4"/>
  <c r="A424" i="4"/>
  <c r="A425" i="4"/>
  <c r="A426" i="4"/>
  <c r="A427" i="4"/>
  <c r="A428" i="4"/>
  <c r="A429" i="4"/>
  <c r="A430" i="4"/>
  <c r="A431" i="4"/>
  <c r="A432" i="4"/>
  <c r="A433" i="4"/>
  <c r="A434" i="4"/>
  <c r="A435" i="4"/>
  <c r="A436" i="4"/>
  <c r="A437" i="4"/>
  <c r="A438" i="4"/>
  <c r="A439" i="4"/>
  <c r="A440" i="4"/>
  <c r="A441" i="4"/>
  <c r="A442" i="4"/>
  <c r="A443" i="4"/>
  <c r="A444" i="4"/>
  <c r="A445" i="4"/>
  <c r="A446" i="4"/>
  <c r="A447" i="4"/>
  <c r="A448" i="4"/>
  <c r="A449" i="4"/>
  <c r="A450" i="4"/>
  <c r="A451" i="4"/>
  <c r="A452" i="4"/>
  <c r="A453" i="4"/>
  <c r="A454" i="4"/>
  <c r="A455" i="4"/>
  <c r="A456" i="4"/>
  <c r="A457" i="4"/>
  <c r="A458" i="4"/>
  <c r="A459" i="4"/>
  <c r="A460" i="4"/>
  <c r="A461" i="4"/>
  <c r="A462" i="4"/>
  <c r="A463" i="4"/>
  <c r="A464" i="4"/>
  <c r="A465" i="4"/>
  <c r="A466" i="4"/>
  <c r="A467" i="4"/>
  <c r="A468" i="4"/>
  <c r="A469" i="4"/>
  <c r="A470" i="4"/>
  <c r="A471" i="4"/>
  <c r="A472" i="4"/>
  <c r="A473" i="4"/>
  <c r="A474" i="4"/>
  <c r="A475" i="4"/>
  <c r="A476" i="4"/>
  <c r="A477" i="4"/>
  <c r="A478" i="4"/>
  <c r="A479" i="4"/>
  <c r="A480" i="4"/>
  <c r="A481" i="4"/>
  <c r="A482" i="4"/>
  <c r="A483" i="4"/>
  <c r="A484" i="4"/>
  <c r="A485" i="4"/>
  <c r="A486" i="4"/>
  <c r="A487" i="4"/>
  <c r="A488" i="4"/>
  <c r="A489" i="4"/>
  <c r="A490" i="4"/>
  <c r="A491" i="4"/>
  <c r="A492" i="4"/>
  <c r="A493" i="4"/>
  <c r="A494" i="4"/>
  <c r="A495" i="4"/>
  <c r="A496" i="4"/>
  <c r="A497" i="4"/>
  <c r="A498" i="4"/>
  <c r="A499" i="4"/>
  <c r="A500" i="4"/>
  <c r="A501" i="4"/>
  <c r="A502" i="4"/>
  <c r="A503" i="4"/>
  <c r="A504" i="4"/>
  <c r="A505" i="4"/>
  <c r="A506" i="4"/>
  <c r="A507" i="4"/>
  <c r="A508" i="4"/>
  <c r="A509" i="4"/>
  <c r="A510" i="4"/>
  <c r="A511" i="4"/>
  <c r="A512" i="4"/>
  <c r="A513" i="4"/>
  <c r="A514" i="4"/>
  <c r="A515" i="4"/>
  <c r="A516" i="4"/>
  <c r="A517" i="4"/>
  <c r="A518" i="4"/>
  <c r="A519" i="4"/>
  <c r="A520" i="4"/>
  <c r="A521" i="4"/>
  <c r="A522" i="4"/>
  <c r="A523" i="4"/>
  <c r="A524" i="4"/>
  <c r="A525" i="4"/>
  <c r="A526" i="4"/>
  <c r="A527" i="4"/>
  <c r="A528" i="4"/>
  <c r="A529" i="4"/>
  <c r="A530" i="4"/>
  <c r="A531" i="4"/>
  <c r="A532" i="4"/>
  <c r="A533" i="4"/>
  <c r="A534" i="4"/>
  <c r="A535" i="4"/>
  <c r="A536" i="4"/>
  <c r="A537" i="4"/>
  <c r="A538" i="4"/>
  <c r="A539" i="4"/>
  <c r="A540" i="4"/>
  <c r="A541" i="4"/>
  <c r="A542" i="4"/>
  <c r="A543" i="4"/>
  <c r="A544" i="4"/>
  <c r="A545" i="4"/>
  <c r="A546" i="4"/>
  <c r="A547" i="4"/>
  <c r="A548" i="4"/>
  <c r="A549" i="4"/>
  <c r="A550" i="4"/>
  <c r="A551" i="4"/>
  <c r="A552" i="4"/>
  <c r="A553" i="4"/>
  <c r="A554" i="4"/>
  <c r="A555" i="4"/>
  <c r="A556" i="4"/>
  <c r="A557" i="4"/>
  <c r="A558" i="4"/>
  <c r="A559" i="4"/>
  <c r="A560" i="4"/>
  <c r="A561" i="4"/>
  <c r="A562" i="4"/>
  <c r="A563" i="4"/>
  <c r="A564" i="4"/>
  <c r="A565" i="4"/>
  <c r="A566" i="4"/>
  <c r="A567" i="4"/>
  <c r="A568" i="4"/>
  <c r="A569" i="4"/>
  <c r="A570" i="4"/>
  <c r="A571" i="4"/>
  <c r="A572" i="4"/>
  <c r="A573" i="4"/>
  <c r="A574" i="4"/>
  <c r="A575" i="4"/>
  <c r="A576" i="4"/>
  <c r="A577" i="4"/>
  <c r="A578" i="4"/>
  <c r="A579" i="4"/>
  <c r="A580" i="4"/>
  <c r="A581" i="4"/>
  <c r="A582" i="4"/>
  <c r="A583" i="4"/>
  <c r="A584" i="4"/>
  <c r="A585" i="4"/>
  <c r="A586" i="4"/>
  <c r="A587" i="4"/>
  <c r="A588" i="4"/>
  <c r="A589" i="4"/>
  <c r="A590" i="4"/>
  <c r="A591" i="4"/>
  <c r="A592" i="4"/>
  <c r="A593" i="4"/>
  <c r="A594" i="4"/>
  <c r="A595" i="4"/>
  <c r="A596" i="4"/>
  <c r="A597" i="4"/>
  <c r="A598" i="4"/>
  <c r="A599" i="4"/>
  <c r="A600" i="4"/>
  <c r="A601" i="4"/>
  <c r="A602" i="4"/>
  <c r="A603" i="4"/>
  <c r="A604" i="4"/>
  <c r="A605" i="4"/>
  <c r="A606" i="4"/>
  <c r="A607" i="4"/>
  <c r="A608" i="4"/>
  <c r="A609" i="4"/>
  <c r="A610" i="4"/>
  <c r="A611" i="4"/>
  <c r="A612" i="4"/>
  <c r="A613" i="4"/>
  <c r="A614" i="4"/>
  <c r="A615" i="4"/>
  <c r="A616" i="4"/>
  <c r="A617" i="4"/>
  <c r="A618" i="4"/>
  <c r="A619" i="4"/>
  <c r="A620" i="4"/>
  <c r="A621" i="4"/>
  <c r="A622" i="4"/>
  <c r="A623" i="4"/>
  <c r="A624" i="4"/>
  <c r="A625" i="4"/>
  <c r="A626" i="4"/>
  <c r="A627" i="4"/>
  <c r="A628" i="4"/>
  <c r="A629" i="4"/>
  <c r="A630" i="4"/>
  <c r="A631" i="4"/>
  <c r="A632" i="4"/>
  <c r="A633" i="4"/>
  <c r="A634" i="4"/>
  <c r="A635" i="4"/>
  <c r="A636" i="4"/>
  <c r="A637" i="4"/>
  <c r="A638" i="4"/>
  <c r="A639" i="4"/>
  <c r="A640" i="4"/>
  <c r="A641" i="4"/>
  <c r="A642" i="4"/>
  <c r="A643" i="4"/>
  <c r="A644" i="4"/>
  <c r="A645" i="4"/>
  <c r="A646" i="4"/>
  <c r="A647" i="4"/>
  <c r="A648" i="4"/>
  <c r="A649" i="4"/>
  <c r="A650" i="4"/>
  <c r="A651" i="4"/>
  <c r="A652" i="4"/>
  <c r="A653" i="4"/>
  <c r="A654" i="4"/>
  <c r="A655" i="4"/>
  <c r="A656" i="4"/>
  <c r="A657" i="4"/>
  <c r="A658" i="4"/>
  <c r="A659" i="4"/>
  <c r="A660" i="4"/>
  <c r="A661" i="4"/>
  <c r="A662" i="4"/>
  <c r="A663" i="4"/>
  <c r="A664" i="4"/>
  <c r="A665" i="4"/>
  <c r="A666" i="4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E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D33" i="1"/>
  <c r="I33" i="1"/>
  <c r="K33" i="1"/>
  <c r="AC33" i="1"/>
  <c r="CQ33" i="1" s="1"/>
  <c r="AE33" i="1"/>
  <c r="AF33" i="1"/>
  <c r="CT33" i="1" s="1"/>
  <c r="S33" i="1" s="1"/>
  <c r="AG33" i="1"/>
  <c r="CU33" i="1" s="1"/>
  <c r="T33" i="1" s="1"/>
  <c r="AH33" i="1"/>
  <c r="CV33" i="1" s="1"/>
  <c r="U33" i="1" s="1"/>
  <c r="AI33" i="1"/>
  <c r="CW33" i="1" s="1"/>
  <c r="V33" i="1" s="1"/>
  <c r="AJ33" i="1"/>
  <c r="CX33" i="1" s="1"/>
  <c r="W33" i="1" s="1"/>
  <c r="CR33" i="1"/>
  <c r="Q33" i="1" s="1"/>
  <c r="FR33" i="1"/>
  <c r="GL33" i="1"/>
  <c r="GN33" i="1"/>
  <c r="GO33" i="1"/>
  <c r="GV33" i="1"/>
  <c r="HC33" i="1" s="1"/>
  <c r="D34" i="1"/>
  <c r="I34" i="1"/>
  <c r="K34" i="1"/>
  <c r="AC34" i="1"/>
  <c r="AE34" i="1"/>
  <c r="AD34" i="1" s="1"/>
  <c r="AF34" i="1"/>
  <c r="CT34" i="1" s="1"/>
  <c r="S34" i="1" s="1"/>
  <c r="AG34" i="1"/>
  <c r="CU34" i="1" s="1"/>
  <c r="T34" i="1" s="1"/>
  <c r="AH34" i="1"/>
  <c r="AI34" i="1"/>
  <c r="CW34" i="1" s="1"/>
  <c r="V34" i="1" s="1"/>
  <c r="AJ34" i="1"/>
  <c r="CX34" i="1" s="1"/>
  <c r="W34" i="1" s="1"/>
  <c r="CQ34" i="1"/>
  <c r="P34" i="1" s="1"/>
  <c r="CV34" i="1"/>
  <c r="FR34" i="1"/>
  <c r="GL34" i="1"/>
  <c r="GN34" i="1"/>
  <c r="GO34" i="1"/>
  <c r="GV34" i="1"/>
  <c r="HC34" i="1" s="1"/>
  <c r="GX34" i="1" s="1"/>
  <c r="D35" i="1"/>
  <c r="I35" i="1"/>
  <c r="K35" i="1"/>
  <c r="T35" i="1"/>
  <c r="AC35" i="1"/>
  <c r="CQ35" i="1" s="1"/>
  <c r="P35" i="1" s="1"/>
  <c r="AD35" i="1"/>
  <c r="AB35" i="1" s="1"/>
  <c r="AE35" i="1"/>
  <c r="AF35" i="1"/>
  <c r="CT35" i="1" s="1"/>
  <c r="S35" i="1" s="1"/>
  <c r="AG35" i="1"/>
  <c r="AH35" i="1"/>
  <c r="AI35" i="1"/>
  <c r="CW35" i="1" s="1"/>
  <c r="V35" i="1" s="1"/>
  <c r="AJ35" i="1"/>
  <c r="CX35" i="1" s="1"/>
  <c r="W35" i="1" s="1"/>
  <c r="CS35" i="1"/>
  <c r="CU35" i="1"/>
  <c r="CV35" i="1"/>
  <c r="U35" i="1" s="1"/>
  <c r="FR35" i="1"/>
  <c r="GL35" i="1"/>
  <c r="GN35" i="1"/>
  <c r="GO35" i="1"/>
  <c r="GV35" i="1"/>
  <c r="HC35" i="1" s="1"/>
  <c r="GX35" i="1" s="1"/>
  <c r="D36" i="1"/>
  <c r="I36" i="1"/>
  <c r="K36" i="1"/>
  <c r="AC36" i="1"/>
  <c r="CQ36" i="1" s="1"/>
  <c r="P36" i="1" s="1"/>
  <c r="AE36" i="1"/>
  <c r="AF36" i="1"/>
  <c r="AG36" i="1"/>
  <c r="CU36" i="1" s="1"/>
  <c r="T36" i="1" s="1"/>
  <c r="AH36" i="1"/>
  <c r="AI36" i="1"/>
  <c r="CW36" i="1" s="1"/>
  <c r="V36" i="1" s="1"/>
  <c r="AJ36" i="1"/>
  <c r="CX36" i="1" s="1"/>
  <c r="W36" i="1" s="1"/>
  <c r="CV36" i="1"/>
  <c r="U36" i="1" s="1"/>
  <c r="FR36" i="1"/>
  <c r="GL36" i="1"/>
  <c r="GN36" i="1"/>
  <c r="GO36" i="1"/>
  <c r="GV36" i="1"/>
  <c r="HC36" i="1" s="1"/>
  <c r="GX36" i="1" s="1"/>
  <c r="D37" i="1"/>
  <c r="I37" i="1"/>
  <c r="K37" i="1"/>
  <c r="AC37" i="1"/>
  <c r="AE37" i="1"/>
  <c r="AF37" i="1"/>
  <c r="AG37" i="1"/>
  <c r="CU37" i="1" s="1"/>
  <c r="T37" i="1" s="1"/>
  <c r="AH37" i="1"/>
  <c r="CV37" i="1" s="1"/>
  <c r="U37" i="1" s="1"/>
  <c r="AI37" i="1"/>
  <c r="CW37" i="1" s="1"/>
  <c r="V37" i="1" s="1"/>
  <c r="AJ37" i="1"/>
  <c r="CX37" i="1" s="1"/>
  <c r="W37" i="1" s="1"/>
  <c r="CQ37" i="1"/>
  <c r="P37" i="1" s="1"/>
  <c r="FR37" i="1"/>
  <c r="GL37" i="1"/>
  <c r="GN37" i="1"/>
  <c r="GO37" i="1"/>
  <c r="GV37" i="1"/>
  <c r="HC37" i="1" s="1"/>
  <c r="GX37" i="1" s="1"/>
  <c r="D39" i="1"/>
  <c r="I39" i="1"/>
  <c r="K39" i="1"/>
  <c r="AC39" i="1"/>
  <c r="CQ39" i="1" s="1"/>
  <c r="P39" i="1" s="1"/>
  <c r="AE39" i="1"/>
  <c r="AD39" i="1" s="1"/>
  <c r="AF39" i="1"/>
  <c r="CT39" i="1" s="1"/>
  <c r="S39" i="1" s="1"/>
  <c r="AG39" i="1"/>
  <c r="CU39" i="1" s="1"/>
  <c r="T39" i="1" s="1"/>
  <c r="AH39" i="1"/>
  <c r="CV39" i="1" s="1"/>
  <c r="U39" i="1" s="1"/>
  <c r="AI39" i="1"/>
  <c r="CW39" i="1" s="1"/>
  <c r="V39" i="1" s="1"/>
  <c r="AJ39" i="1"/>
  <c r="CX39" i="1" s="1"/>
  <c r="FR39" i="1"/>
  <c r="GL39" i="1"/>
  <c r="GN39" i="1"/>
  <c r="GO39" i="1"/>
  <c r="GV39" i="1"/>
  <c r="HC39" i="1" s="1"/>
  <c r="GX39" i="1" s="1"/>
  <c r="D40" i="1"/>
  <c r="I40" i="1"/>
  <c r="K40" i="1"/>
  <c r="AC40" i="1"/>
  <c r="CQ40" i="1" s="1"/>
  <c r="P40" i="1" s="1"/>
  <c r="AE40" i="1"/>
  <c r="AF40" i="1"/>
  <c r="CT40" i="1" s="1"/>
  <c r="AG40" i="1"/>
  <c r="CU40" i="1" s="1"/>
  <c r="T40" i="1" s="1"/>
  <c r="AH40" i="1"/>
  <c r="CV40" i="1" s="1"/>
  <c r="U40" i="1" s="1"/>
  <c r="AI40" i="1"/>
  <c r="CW40" i="1" s="1"/>
  <c r="V40" i="1" s="1"/>
  <c r="AJ40" i="1"/>
  <c r="CX40" i="1" s="1"/>
  <c r="W40" i="1" s="1"/>
  <c r="FR40" i="1"/>
  <c r="GL40" i="1"/>
  <c r="GN40" i="1"/>
  <c r="GO40" i="1"/>
  <c r="GV40" i="1"/>
  <c r="HC40" i="1" s="1"/>
  <c r="D41" i="1"/>
  <c r="I41" i="1"/>
  <c r="K41" i="1"/>
  <c r="Q41" i="1"/>
  <c r="AC41" i="1"/>
  <c r="CQ41" i="1" s="1"/>
  <c r="AE41" i="1"/>
  <c r="AF41" i="1"/>
  <c r="AG41" i="1"/>
  <c r="AH41" i="1"/>
  <c r="CV41" i="1" s="1"/>
  <c r="U41" i="1" s="1"/>
  <c r="AI41" i="1"/>
  <c r="CW41" i="1" s="1"/>
  <c r="V41" i="1" s="1"/>
  <c r="AJ41" i="1"/>
  <c r="CX41" i="1" s="1"/>
  <c r="W41" i="1" s="1"/>
  <c r="CR41" i="1"/>
  <c r="CS41" i="1"/>
  <c r="CT41" i="1"/>
  <c r="S41" i="1" s="1"/>
  <c r="CY41" i="1" s="1"/>
  <c r="X41" i="1" s="1"/>
  <c r="CU41" i="1"/>
  <c r="T41" i="1" s="1"/>
  <c r="FR41" i="1"/>
  <c r="GL41" i="1"/>
  <c r="GN41" i="1"/>
  <c r="GO41" i="1"/>
  <c r="GV41" i="1"/>
  <c r="HC41" i="1" s="1"/>
  <c r="GX41" i="1" s="1"/>
  <c r="D42" i="1"/>
  <c r="I42" i="1"/>
  <c r="K42" i="1"/>
  <c r="AC42" i="1"/>
  <c r="CQ42" i="1" s="1"/>
  <c r="P42" i="1" s="1"/>
  <c r="AD42" i="1"/>
  <c r="AE42" i="1"/>
  <c r="CR42" i="1" s="1"/>
  <c r="Q42" i="1" s="1"/>
  <c r="AF42" i="1"/>
  <c r="AG42" i="1"/>
  <c r="CU42" i="1" s="1"/>
  <c r="AH42" i="1"/>
  <c r="CV42" i="1" s="1"/>
  <c r="U42" i="1" s="1"/>
  <c r="AI42" i="1"/>
  <c r="CW42" i="1" s="1"/>
  <c r="AJ42" i="1"/>
  <c r="CX42" i="1" s="1"/>
  <c r="FR42" i="1"/>
  <c r="GL42" i="1"/>
  <c r="GN42" i="1"/>
  <c r="GO42" i="1"/>
  <c r="GV42" i="1"/>
  <c r="HC42" i="1" s="1"/>
  <c r="GX42" i="1" s="1"/>
  <c r="B44" i="1"/>
  <c r="B30" i="1" s="1"/>
  <c r="C44" i="1"/>
  <c r="C30" i="1" s="1"/>
  <c r="D44" i="1"/>
  <c r="D30" i="1" s="1"/>
  <c r="F44" i="1"/>
  <c r="F30" i="1" s="1"/>
  <c r="G44" i="1"/>
  <c r="BX44" i="1"/>
  <c r="BY44" i="1"/>
  <c r="CK44" i="1"/>
  <c r="CK30" i="1" s="1"/>
  <c r="CL44" i="1"/>
  <c r="CL30" i="1" s="1"/>
  <c r="CM44" i="1"/>
  <c r="CM30" i="1" s="1"/>
  <c r="D74" i="1"/>
  <c r="E76" i="1"/>
  <c r="Z76" i="1"/>
  <c r="AA76" i="1"/>
  <c r="AM76" i="1"/>
  <c r="AN76" i="1"/>
  <c r="BE76" i="1"/>
  <c r="BF76" i="1"/>
  <c r="BG76" i="1"/>
  <c r="BH76" i="1"/>
  <c r="BI76" i="1"/>
  <c r="BJ76" i="1"/>
  <c r="BK76" i="1"/>
  <c r="BL76" i="1"/>
  <c r="BM76" i="1"/>
  <c r="BN76" i="1"/>
  <c r="BO76" i="1"/>
  <c r="BP76" i="1"/>
  <c r="BQ76" i="1"/>
  <c r="BR76" i="1"/>
  <c r="BS76" i="1"/>
  <c r="BT76" i="1"/>
  <c r="BU76" i="1"/>
  <c r="BV76" i="1"/>
  <c r="BW76" i="1"/>
  <c r="CK76" i="1"/>
  <c r="CN76" i="1"/>
  <c r="CO76" i="1"/>
  <c r="CP76" i="1"/>
  <c r="CQ76" i="1"/>
  <c r="CR76" i="1"/>
  <c r="CS76" i="1"/>
  <c r="CT76" i="1"/>
  <c r="CU76" i="1"/>
  <c r="CV76" i="1"/>
  <c r="CW76" i="1"/>
  <c r="CX76" i="1"/>
  <c r="CY76" i="1"/>
  <c r="CZ76" i="1"/>
  <c r="DA76" i="1"/>
  <c r="DB76" i="1"/>
  <c r="DC76" i="1"/>
  <c r="DD76" i="1"/>
  <c r="DE76" i="1"/>
  <c r="DF76" i="1"/>
  <c r="DG76" i="1"/>
  <c r="DH76" i="1"/>
  <c r="DI76" i="1"/>
  <c r="DJ76" i="1"/>
  <c r="DK76" i="1"/>
  <c r="DL76" i="1"/>
  <c r="DM76" i="1"/>
  <c r="DN76" i="1"/>
  <c r="DO76" i="1"/>
  <c r="DP76" i="1"/>
  <c r="DQ76" i="1"/>
  <c r="DR76" i="1"/>
  <c r="DS76" i="1"/>
  <c r="DT76" i="1"/>
  <c r="DU76" i="1"/>
  <c r="DV76" i="1"/>
  <c r="DW76" i="1"/>
  <c r="DX76" i="1"/>
  <c r="DY76" i="1"/>
  <c r="DZ76" i="1"/>
  <c r="EA76" i="1"/>
  <c r="EB76" i="1"/>
  <c r="EC76" i="1"/>
  <c r="ED76" i="1"/>
  <c r="EE76" i="1"/>
  <c r="EF76" i="1"/>
  <c r="EG76" i="1"/>
  <c r="EH76" i="1"/>
  <c r="EI76" i="1"/>
  <c r="EJ76" i="1"/>
  <c r="EK76" i="1"/>
  <c r="EL76" i="1"/>
  <c r="EM76" i="1"/>
  <c r="EN76" i="1"/>
  <c r="EO76" i="1"/>
  <c r="EP76" i="1"/>
  <c r="EQ76" i="1"/>
  <c r="ER76" i="1"/>
  <c r="ES76" i="1"/>
  <c r="ET76" i="1"/>
  <c r="EU76" i="1"/>
  <c r="EV76" i="1"/>
  <c r="EW76" i="1"/>
  <c r="EX76" i="1"/>
  <c r="EY76" i="1"/>
  <c r="EZ76" i="1"/>
  <c r="FA76" i="1"/>
  <c r="FB76" i="1"/>
  <c r="FC76" i="1"/>
  <c r="FD76" i="1"/>
  <c r="FE76" i="1"/>
  <c r="FF76" i="1"/>
  <c r="FG76" i="1"/>
  <c r="FH76" i="1"/>
  <c r="FI76" i="1"/>
  <c r="FJ76" i="1"/>
  <c r="FK76" i="1"/>
  <c r="FL76" i="1"/>
  <c r="FM76" i="1"/>
  <c r="FN76" i="1"/>
  <c r="FO76" i="1"/>
  <c r="FP76" i="1"/>
  <c r="FQ76" i="1"/>
  <c r="FR76" i="1"/>
  <c r="FS76" i="1"/>
  <c r="FT76" i="1"/>
  <c r="FU76" i="1"/>
  <c r="FV76" i="1"/>
  <c r="FW76" i="1"/>
  <c r="FX76" i="1"/>
  <c r="FY76" i="1"/>
  <c r="FZ76" i="1"/>
  <c r="GA76" i="1"/>
  <c r="GB76" i="1"/>
  <c r="GC76" i="1"/>
  <c r="GD76" i="1"/>
  <c r="GE76" i="1"/>
  <c r="GF76" i="1"/>
  <c r="GG76" i="1"/>
  <c r="GH76" i="1"/>
  <c r="GI76" i="1"/>
  <c r="GJ76" i="1"/>
  <c r="GK76" i="1"/>
  <c r="GL76" i="1"/>
  <c r="GM76" i="1"/>
  <c r="GN76" i="1"/>
  <c r="GO76" i="1"/>
  <c r="GP76" i="1"/>
  <c r="GQ76" i="1"/>
  <c r="GR76" i="1"/>
  <c r="GS76" i="1"/>
  <c r="GT76" i="1"/>
  <c r="GU76" i="1"/>
  <c r="GV76" i="1"/>
  <c r="GW76" i="1"/>
  <c r="GX76" i="1"/>
  <c r="D79" i="1"/>
  <c r="I79" i="1"/>
  <c r="K79" i="1"/>
  <c r="AC79" i="1"/>
  <c r="CQ79" i="1" s="1"/>
  <c r="P79" i="1" s="1"/>
  <c r="AE79" i="1"/>
  <c r="CR79" i="1" s="1"/>
  <c r="Q79" i="1" s="1"/>
  <c r="AF79" i="1"/>
  <c r="CT79" i="1" s="1"/>
  <c r="S79" i="1" s="1"/>
  <c r="AG79" i="1"/>
  <c r="AH79" i="1"/>
  <c r="AI79" i="1"/>
  <c r="AJ79" i="1"/>
  <c r="CU79" i="1"/>
  <c r="T79" i="1" s="1"/>
  <c r="CV79" i="1"/>
  <c r="U79" i="1" s="1"/>
  <c r="CW79" i="1"/>
  <c r="V79" i="1" s="1"/>
  <c r="CX79" i="1"/>
  <c r="W79" i="1" s="1"/>
  <c r="FR79" i="1"/>
  <c r="GL79" i="1"/>
  <c r="GN79" i="1"/>
  <c r="GO79" i="1"/>
  <c r="GV79" i="1"/>
  <c r="HC79" i="1"/>
  <c r="GX79" i="1" s="1"/>
  <c r="D80" i="1"/>
  <c r="I80" i="1"/>
  <c r="K80" i="1"/>
  <c r="AC80" i="1"/>
  <c r="AD80" i="1"/>
  <c r="AE80" i="1"/>
  <c r="AF80" i="1"/>
  <c r="CT80" i="1" s="1"/>
  <c r="AG80" i="1"/>
  <c r="CU80" i="1" s="1"/>
  <c r="AH80" i="1"/>
  <c r="CV80" i="1" s="1"/>
  <c r="AI80" i="1"/>
  <c r="CW80" i="1" s="1"/>
  <c r="AJ80" i="1"/>
  <c r="CQ80" i="1"/>
  <c r="P80" i="1" s="1"/>
  <c r="CX80" i="1"/>
  <c r="W80" i="1" s="1"/>
  <c r="FR80" i="1"/>
  <c r="GL80" i="1"/>
  <c r="GN80" i="1"/>
  <c r="GO80" i="1"/>
  <c r="GV80" i="1"/>
  <c r="HC80" i="1" s="1"/>
  <c r="D81" i="1"/>
  <c r="I81" i="1"/>
  <c r="K81" i="1"/>
  <c r="AC81" i="1"/>
  <c r="AE81" i="1"/>
  <c r="CR81" i="1" s="1"/>
  <c r="Q81" i="1" s="1"/>
  <c r="AF81" i="1"/>
  <c r="AG81" i="1"/>
  <c r="CU81" i="1" s="1"/>
  <c r="T81" i="1" s="1"/>
  <c r="AH81" i="1"/>
  <c r="CV81" i="1" s="1"/>
  <c r="U81" i="1" s="1"/>
  <c r="AI81" i="1"/>
  <c r="CW81" i="1" s="1"/>
  <c r="V81" i="1" s="1"/>
  <c r="AJ81" i="1"/>
  <c r="CX81" i="1"/>
  <c r="W81" i="1" s="1"/>
  <c r="FR81" i="1"/>
  <c r="GL81" i="1"/>
  <c r="GN81" i="1"/>
  <c r="GO81" i="1"/>
  <c r="GV81" i="1"/>
  <c r="HC81" i="1" s="1"/>
  <c r="GX81" i="1" s="1"/>
  <c r="D82" i="1"/>
  <c r="I82" i="1"/>
  <c r="K82" i="1"/>
  <c r="AC82" i="1"/>
  <c r="CQ82" i="1" s="1"/>
  <c r="P82" i="1" s="1"/>
  <c r="AE82" i="1"/>
  <c r="AF82" i="1"/>
  <c r="AG82" i="1"/>
  <c r="CU82" i="1" s="1"/>
  <c r="T82" i="1" s="1"/>
  <c r="AH82" i="1"/>
  <c r="CV82" i="1" s="1"/>
  <c r="U82" i="1" s="1"/>
  <c r="AI82" i="1"/>
  <c r="CW82" i="1" s="1"/>
  <c r="V82" i="1" s="1"/>
  <c r="AJ82" i="1"/>
  <c r="CX82" i="1" s="1"/>
  <c r="W82" i="1" s="1"/>
  <c r="FR82" i="1"/>
  <c r="GL82" i="1"/>
  <c r="GN82" i="1"/>
  <c r="GO82" i="1"/>
  <c r="GV82" i="1"/>
  <c r="HC82" i="1" s="1"/>
  <c r="GX82" i="1" s="1"/>
  <c r="D83" i="1"/>
  <c r="I83" i="1"/>
  <c r="K83" i="1"/>
  <c r="AC83" i="1"/>
  <c r="AE83" i="1"/>
  <c r="AF83" i="1"/>
  <c r="AG83" i="1"/>
  <c r="AH83" i="1"/>
  <c r="CV83" i="1" s="1"/>
  <c r="U83" i="1" s="1"/>
  <c r="AI83" i="1"/>
  <c r="CW83" i="1" s="1"/>
  <c r="V83" i="1" s="1"/>
  <c r="AJ83" i="1"/>
  <c r="CX83" i="1" s="1"/>
  <c r="W83" i="1" s="1"/>
  <c r="CQ83" i="1"/>
  <c r="P83" i="1" s="1"/>
  <c r="CR83" i="1"/>
  <c r="Q83" i="1" s="1"/>
  <c r="CS83" i="1"/>
  <c r="CU83" i="1"/>
  <c r="T83" i="1" s="1"/>
  <c r="FR83" i="1"/>
  <c r="GL83" i="1"/>
  <c r="GN83" i="1"/>
  <c r="GO83" i="1"/>
  <c r="GV83" i="1"/>
  <c r="HC83" i="1"/>
  <c r="GX83" i="1" s="1"/>
  <c r="D84" i="1"/>
  <c r="I84" i="1"/>
  <c r="K84" i="1"/>
  <c r="AC84" i="1"/>
  <c r="CQ84" i="1" s="1"/>
  <c r="P84" i="1" s="1"/>
  <c r="AD84" i="1"/>
  <c r="AE84" i="1"/>
  <c r="AF84" i="1"/>
  <c r="AG84" i="1"/>
  <c r="CU84" i="1" s="1"/>
  <c r="AH84" i="1"/>
  <c r="CV84" i="1" s="1"/>
  <c r="AI84" i="1"/>
  <c r="CW84" i="1" s="1"/>
  <c r="AJ84" i="1"/>
  <c r="CX84" i="1"/>
  <c r="FR84" i="1"/>
  <c r="GL84" i="1"/>
  <c r="GN84" i="1"/>
  <c r="GO84" i="1"/>
  <c r="GV84" i="1"/>
  <c r="HC84" i="1" s="1"/>
  <c r="D85" i="1"/>
  <c r="I85" i="1"/>
  <c r="K85" i="1"/>
  <c r="AC85" i="1"/>
  <c r="AE85" i="1"/>
  <c r="AF85" i="1"/>
  <c r="AG85" i="1"/>
  <c r="AH85" i="1"/>
  <c r="CV85" i="1" s="1"/>
  <c r="AI85" i="1"/>
  <c r="CW85" i="1" s="1"/>
  <c r="AJ85" i="1"/>
  <c r="CX85" i="1" s="1"/>
  <c r="CQ85" i="1"/>
  <c r="P85" i="1" s="1"/>
  <c r="CR85" i="1"/>
  <c r="Q85" i="1" s="1"/>
  <c r="CU85" i="1"/>
  <c r="FR85" i="1"/>
  <c r="GL85" i="1"/>
  <c r="GN85" i="1"/>
  <c r="GO85" i="1"/>
  <c r="CC97" i="1" s="1"/>
  <c r="CC76" i="1" s="1"/>
  <c r="GV85" i="1"/>
  <c r="HC85" i="1" s="1"/>
  <c r="D86" i="1"/>
  <c r="I86" i="1"/>
  <c r="P86" i="1" s="1"/>
  <c r="K86" i="1"/>
  <c r="AC86" i="1"/>
  <c r="AE86" i="1"/>
  <c r="AD86" i="1" s="1"/>
  <c r="AB86" i="1" s="1"/>
  <c r="AF86" i="1"/>
  <c r="CT86" i="1" s="1"/>
  <c r="AG86" i="1"/>
  <c r="CU86" i="1" s="1"/>
  <c r="AH86" i="1"/>
  <c r="CV86" i="1" s="1"/>
  <c r="AI86" i="1"/>
  <c r="CW86" i="1" s="1"/>
  <c r="AJ86" i="1"/>
  <c r="CX86" i="1" s="1"/>
  <c r="CQ86" i="1"/>
  <c r="FR86" i="1"/>
  <c r="GL86" i="1"/>
  <c r="GN86" i="1"/>
  <c r="GO86" i="1"/>
  <c r="GV86" i="1"/>
  <c r="HC86" i="1" s="1"/>
  <c r="D88" i="1"/>
  <c r="I88" i="1"/>
  <c r="K88" i="1"/>
  <c r="V88" i="1"/>
  <c r="W88" i="1"/>
  <c r="AC88" i="1"/>
  <c r="CQ88" i="1" s="1"/>
  <c r="P88" i="1" s="1"/>
  <c r="AE88" i="1"/>
  <c r="AD88" i="1" s="1"/>
  <c r="AF88" i="1"/>
  <c r="AG88" i="1"/>
  <c r="CU88" i="1" s="1"/>
  <c r="T88" i="1" s="1"/>
  <c r="AH88" i="1"/>
  <c r="AI88" i="1"/>
  <c r="CW88" i="1" s="1"/>
  <c r="AJ88" i="1"/>
  <c r="CX88" i="1" s="1"/>
  <c r="CT88" i="1"/>
  <c r="S88" i="1" s="1"/>
  <c r="CV88" i="1"/>
  <c r="U88" i="1" s="1"/>
  <c r="FR88" i="1"/>
  <c r="GL88" i="1"/>
  <c r="GN88" i="1"/>
  <c r="GO88" i="1"/>
  <c r="GV88" i="1"/>
  <c r="HC88" i="1" s="1"/>
  <c r="GX88" i="1" s="1"/>
  <c r="D89" i="1"/>
  <c r="I89" i="1"/>
  <c r="K89" i="1"/>
  <c r="AC89" i="1"/>
  <c r="CQ89" i="1" s="1"/>
  <c r="P89" i="1" s="1"/>
  <c r="AE89" i="1"/>
  <c r="AF89" i="1"/>
  <c r="CT89" i="1" s="1"/>
  <c r="S89" i="1" s="1"/>
  <c r="AG89" i="1"/>
  <c r="CU89" i="1" s="1"/>
  <c r="T89" i="1" s="1"/>
  <c r="AH89" i="1"/>
  <c r="CV89" i="1" s="1"/>
  <c r="U89" i="1" s="1"/>
  <c r="AI89" i="1"/>
  <c r="CW89" i="1" s="1"/>
  <c r="AJ89" i="1"/>
  <c r="CX89" i="1" s="1"/>
  <c r="FR89" i="1"/>
  <c r="GL89" i="1"/>
  <c r="GN89" i="1"/>
  <c r="GO89" i="1"/>
  <c r="GV89" i="1"/>
  <c r="HC89" i="1"/>
  <c r="GX89" i="1" s="1"/>
  <c r="D90" i="1"/>
  <c r="I90" i="1"/>
  <c r="K90" i="1"/>
  <c r="AC90" i="1"/>
  <c r="AE90" i="1"/>
  <c r="CS90" i="1" s="1"/>
  <c r="AF90" i="1"/>
  <c r="CT90" i="1" s="1"/>
  <c r="AG90" i="1"/>
  <c r="CU90" i="1" s="1"/>
  <c r="AH90" i="1"/>
  <c r="CV90" i="1" s="1"/>
  <c r="AI90" i="1"/>
  <c r="CW90" i="1" s="1"/>
  <c r="AJ90" i="1"/>
  <c r="CX90" i="1" s="1"/>
  <c r="W90" i="1" s="1"/>
  <c r="CQ90" i="1"/>
  <c r="CR90" i="1"/>
  <c r="FR90" i="1"/>
  <c r="GL90" i="1"/>
  <c r="GN90" i="1"/>
  <c r="GO90" i="1"/>
  <c r="GV90" i="1"/>
  <c r="HC90" i="1" s="1"/>
  <c r="D91" i="1"/>
  <c r="I91" i="1"/>
  <c r="K91" i="1"/>
  <c r="AC91" i="1"/>
  <c r="CQ91" i="1" s="1"/>
  <c r="P91" i="1" s="1"/>
  <c r="AE91" i="1"/>
  <c r="AD91" i="1" s="1"/>
  <c r="AF91" i="1"/>
  <c r="CT91" i="1" s="1"/>
  <c r="AG91" i="1"/>
  <c r="CU91" i="1" s="1"/>
  <c r="AH91" i="1"/>
  <c r="CV91" i="1" s="1"/>
  <c r="U91" i="1" s="1"/>
  <c r="AI91" i="1"/>
  <c r="CW91" i="1" s="1"/>
  <c r="V91" i="1" s="1"/>
  <c r="AJ91" i="1"/>
  <c r="CX91" i="1" s="1"/>
  <c r="FR91" i="1"/>
  <c r="GL91" i="1"/>
  <c r="GN91" i="1"/>
  <c r="GO91" i="1"/>
  <c r="GV91" i="1"/>
  <c r="HC91" i="1" s="1"/>
  <c r="D92" i="1"/>
  <c r="I92" i="1"/>
  <c r="K92" i="1"/>
  <c r="AC92" i="1"/>
  <c r="CQ92" i="1" s="1"/>
  <c r="P92" i="1" s="1"/>
  <c r="AE92" i="1"/>
  <c r="AF92" i="1"/>
  <c r="CT92" i="1" s="1"/>
  <c r="S92" i="1" s="1"/>
  <c r="AG92" i="1"/>
  <c r="CU92" i="1" s="1"/>
  <c r="AH92" i="1"/>
  <c r="CV92" i="1" s="1"/>
  <c r="AI92" i="1"/>
  <c r="CW92" i="1" s="1"/>
  <c r="AJ92" i="1"/>
  <c r="CX92" i="1" s="1"/>
  <c r="FR92" i="1"/>
  <c r="GL92" i="1"/>
  <c r="GN92" i="1"/>
  <c r="GO92" i="1"/>
  <c r="GV92" i="1"/>
  <c r="HC92" i="1" s="1"/>
  <c r="D93" i="1"/>
  <c r="AC93" i="1"/>
  <c r="CQ93" i="1" s="1"/>
  <c r="P93" i="1" s="1"/>
  <c r="AE93" i="1"/>
  <c r="AF93" i="1"/>
  <c r="AG93" i="1"/>
  <c r="CU93" i="1" s="1"/>
  <c r="T93" i="1" s="1"/>
  <c r="AH93" i="1"/>
  <c r="CV93" i="1" s="1"/>
  <c r="U93" i="1" s="1"/>
  <c r="AI93" i="1"/>
  <c r="CW93" i="1" s="1"/>
  <c r="V93" i="1" s="1"/>
  <c r="AJ93" i="1"/>
  <c r="CX93" i="1" s="1"/>
  <c r="W93" i="1" s="1"/>
  <c r="FR93" i="1"/>
  <c r="GL93" i="1"/>
  <c r="GN93" i="1"/>
  <c r="GO93" i="1"/>
  <c r="GV93" i="1"/>
  <c r="HC93" i="1" s="1"/>
  <c r="GX93" i="1" s="1"/>
  <c r="D94" i="1"/>
  <c r="I94" i="1"/>
  <c r="K94" i="1"/>
  <c r="AC94" i="1"/>
  <c r="CQ94" i="1" s="1"/>
  <c r="P94" i="1" s="1"/>
  <c r="AE94" i="1"/>
  <c r="CR94" i="1" s="1"/>
  <c r="Q94" i="1" s="1"/>
  <c r="AF94" i="1"/>
  <c r="AG94" i="1"/>
  <c r="CU94" i="1" s="1"/>
  <c r="T94" i="1" s="1"/>
  <c r="AH94" i="1"/>
  <c r="CV94" i="1" s="1"/>
  <c r="AI94" i="1"/>
  <c r="CW94" i="1" s="1"/>
  <c r="AJ94" i="1"/>
  <c r="CX94" i="1" s="1"/>
  <c r="FR94" i="1"/>
  <c r="GL94" i="1"/>
  <c r="GN94" i="1"/>
  <c r="GO94" i="1"/>
  <c r="GV94" i="1"/>
  <c r="HC94" i="1" s="1"/>
  <c r="GX94" i="1" s="1"/>
  <c r="D95" i="1"/>
  <c r="I95" i="1"/>
  <c r="K95" i="1"/>
  <c r="AC95" i="1"/>
  <c r="CQ95" i="1" s="1"/>
  <c r="P95" i="1" s="1"/>
  <c r="AE95" i="1"/>
  <c r="AF95" i="1"/>
  <c r="AG95" i="1"/>
  <c r="CU95" i="1" s="1"/>
  <c r="T95" i="1" s="1"/>
  <c r="AH95" i="1"/>
  <c r="CV95" i="1" s="1"/>
  <c r="U95" i="1" s="1"/>
  <c r="AI95" i="1"/>
  <c r="CW95" i="1" s="1"/>
  <c r="V95" i="1" s="1"/>
  <c r="AJ95" i="1"/>
  <c r="CX95" i="1" s="1"/>
  <c r="W95" i="1" s="1"/>
  <c r="FR95" i="1"/>
  <c r="GL95" i="1"/>
  <c r="GN95" i="1"/>
  <c r="GO95" i="1"/>
  <c r="GV95" i="1"/>
  <c r="HC95" i="1" s="1"/>
  <c r="GX95" i="1" s="1"/>
  <c r="B97" i="1"/>
  <c r="B76" i="1" s="1"/>
  <c r="C97" i="1"/>
  <c r="C76" i="1" s="1"/>
  <c r="D97" i="1"/>
  <c r="D76" i="1" s="1"/>
  <c r="F97" i="1"/>
  <c r="F76" i="1" s="1"/>
  <c r="G97" i="1"/>
  <c r="AT97" i="1"/>
  <c r="BC97" i="1"/>
  <c r="F113" i="1" s="1"/>
  <c r="BD97" i="1"/>
  <c r="BD76" i="1" s="1"/>
  <c r="BX97" i="1"/>
  <c r="AO97" i="1" s="1"/>
  <c r="CK97" i="1"/>
  <c r="BB97" i="1" s="1"/>
  <c r="BB76" i="1" s="1"/>
  <c r="CL97" i="1"/>
  <c r="CL76" i="1" s="1"/>
  <c r="CM97" i="1"/>
  <c r="CM76" i="1" s="1"/>
  <c r="D127" i="1"/>
  <c r="D129" i="1"/>
  <c r="E129" i="1"/>
  <c r="Z129" i="1"/>
  <c r="AA129" i="1"/>
  <c r="AM129" i="1"/>
  <c r="AN129" i="1"/>
  <c r="BD129" i="1"/>
  <c r="BE129" i="1"/>
  <c r="BF129" i="1"/>
  <c r="BG129" i="1"/>
  <c r="BH129" i="1"/>
  <c r="BI129" i="1"/>
  <c r="BJ129" i="1"/>
  <c r="BK129" i="1"/>
  <c r="BL129" i="1"/>
  <c r="BM129" i="1"/>
  <c r="BN129" i="1"/>
  <c r="BO129" i="1"/>
  <c r="BP129" i="1"/>
  <c r="BQ129" i="1"/>
  <c r="BR129" i="1"/>
  <c r="BS129" i="1"/>
  <c r="BT129" i="1"/>
  <c r="BU129" i="1"/>
  <c r="BV129" i="1"/>
  <c r="BW129" i="1"/>
  <c r="CN129" i="1"/>
  <c r="CO129" i="1"/>
  <c r="CP129" i="1"/>
  <c r="CQ129" i="1"/>
  <c r="CR129" i="1"/>
  <c r="CS129" i="1"/>
  <c r="CT129" i="1"/>
  <c r="CU129" i="1"/>
  <c r="CV129" i="1"/>
  <c r="CW129" i="1"/>
  <c r="CX129" i="1"/>
  <c r="CY129" i="1"/>
  <c r="CZ129" i="1"/>
  <c r="DA129" i="1"/>
  <c r="DB129" i="1"/>
  <c r="DC129" i="1"/>
  <c r="DD129" i="1"/>
  <c r="DE129" i="1"/>
  <c r="DF129" i="1"/>
  <c r="DG129" i="1"/>
  <c r="DH129" i="1"/>
  <c r="DI129" i="1"/>
  <c r="DJ129" i="1"/>
  <c r="DK129" i="1"/>
  <c r="DL129" i="1"/>
  <c r="DM129" i="1"/>
  <c r="DN129" i="1"/>
  <c r="DO129" i="1"/>
  <c r="DP129" i="1"/>
  <c r="DQ129" i="1"/>
  <c r="DR129" i="1"/>
  <c r="DS129" i="1"/>
  <c r="DT129" i="1"/>
  <c r="DU129" i="1"/>
  <c r="DV129" i="1"/>
  <c r="DW129" i="1"/>
  <c r="DX129" i="1"/>
  <c r="DY129" i="1"/>
  <c r="DZ129" i="1"/>
  <c r="EA129" i="1"/>
  <c r="EB129" i="1"/>
  <c r="EC129" i="1"/>
  <c r="ED129" i="1"/>
  <c r="EE129" i="1"/>
  <c r="EF129" i="1"/>
  <c r="EG129" i="1"/>
  <c r="EH129" i="1"/>
  <c r="EI129" i="1"/>
  <c r="EJ129" i="1"/>
  <c r="EK129" i="1"/>
  <c r="EL129" i="1"/>
  <c r="EM129" i="1"/>
  <c r="EN129" i="1"/>
  <c r="EO129" i="1"/>
  <c r="EP129" i="1"/>
  <c r="EQ129" i="1"/>
  <c r="ER129" i="1"/>
  <c r="ES129" i="1"/>
  <c r="ET129" i="1"/>
  <c r="EU129" i="1"/>
  <c r="EV129" i="1"/>
  <c r="EW129" i="1"/>
  <c r="EX129" i="1"/>
  <c r="EY129" i="1"/>
  <c r="EZ129" i="1"/>
  <c r="FA129" i="1"/>
  <c r="FB129" i="1"/>
  <c r="FC129" i="1"/>
  <c r="FD129" i="1"/>
  <c r="FE129" i="1"/>
  <c r="FF129" i="1"/>
  <c r="FG129" i="1"/>
  <c r="FH129" i="1"/>
  <c r="FI129" i="1"/>
  <c r="FJ129" i="1"/>
  <c r="FK129" i="1"/>
  <c r="FL129" i="1"/>
  <c r="FM129" i="1"/>
  <c r="FN129" i="1"/>
  <c r="FO129" i="1"/>
  <c r="FP129" i="1"/>
  <c r="FQ129" i="1"/>
  <c r="FR129" i="1"/>
  <c r="FS129" i="1"/>
  <c r="FT129" i="1"/>
  <c r="FU129" i="1"/>
  <c r="FV129" i="1"/>
  <c r="FW129" i="1"/>
  <c r="FX129" i="1"/>
  <c r="FY129" i="1"/>
  <c r="FZ129" i="1"/>
  <c r="GA129" i="1"/>
  <c r="GB129" i="1"/>
  <c r="GC129" i="1"/>
  <c r="GD129" i="1"/>
  <c r="GE129" i="1"/>
  <c r="GF129" i="1"/>
  <c r="GG129" i="1"/>
  <c r="GH129" i="1"/>
  <c r="GI129" i="1"/>
  <c r="GJ129" i="1"/>
  <c r="GK129" i="1"/>
  <c r="GL129" i="1"/>
  <c r="GM129" i="1"/>
  <c r="GN129" i="1"/>
  <c r="GO129" i="1"/>
  <c r="GP129" i="1"/>
  <c r="GQ129" i="1"/>
  <c r="GR129" i="1"/>
  <c r="GS129" i="1"/>
  <c r="GT129" i="1"/>
  <c r="GU129" i="1"/>
  <c r="GV129" i="1"/>
  <c r="GW129" i="1"/>
  <c r="GX129" i="1"/>
  <c r="D132" i="1"/>
  <c r="I132" i="1"/>
  <c r="K132" i="1"/>
  <c r="AC132" i="1"/>
  <c r="CQ132" i="1" s="1"/>
  <c r="P132" i="1" s="1"/>
  <c r="AD132" i="1"/>
  <c r="AE132" i="1"/>
  <c r="CR132" i="1" s="1"/>
  <c r="Q132" i="1" s="1"/>
  <c r="AF132" i="1"/>
  <c r="CT132" i="1" s="1"/>
  <c r="S132" i="1" s="1"/>
  <c r="CZ132" i="1" s="1"/>
  <c r="Y132" i="1" s="1"/>
  <c r="AG132" i="1"/>
  <c r="CU132" i="1" s="1"/>
  <c r="T132" i="1" s="1"/>
  <c r="AH132" i="1"/>
  <c r="CV132" i="1" s="1"/>
  <c r="U132" i="1" s="1"/>
  <c r="AI132" i="1"/>
  <c r="CW132" i="1" s="1"/>
  <c r="AJ132" i="1"/>
  <c r="CX132" i="1" s="1"/>
  <c r="W132" i="1" s="1"/>
  <c r="CS132" i="1"/>
  <c r="R132" i="1" s="1"/>
  <c r="GK132" i="1" s="1"/>
  <c r="CY132" i="1"/>
  <c r="X132" i="1" s="1"/>
  <c r="FR132" i="1"/>
  <c r="GL132" i="1"/>
  <c r="GN132" i="1"/>
  <c r="GO132" i="1"/>
  <c r="GV132" i="1"/>
  <c r="HC132" i="1"/>
  <c r="D133" i="1"/>
  <c r="I133" i="1"/>
  <c r="K133" i="1"/>
  <c r="AC133" i="1"/>
  <c r="CQ133" i="1" s="1"/>
  <c r="AE133" i="1"/>
  <c r="AD133" i="1" s="1"/>
  <c r="AF133" i="1"/>
  <c r="CT133" i="1" s="1"/>
  <c r="S133" i="1" s="1"/>
  <c r="AG133" i="1"/>
  <c r="CU133" i="1" s="1"/>
  <c r="AH133" i="1"/>
  <c r="AI133" i="1"/>
  <c r="CW133" i="1" s="1"/>
  <c r="AJ133" i="1"/>
  <c r="CX133" i="1" s="1"/>
  <c r="W133" i="1" s="1"/>
  <c r="CV133" i="1"/>
  <c r="FR133" i="1"/>
  <c r="GL133" i="1"/>
  <c r="GN133" i="1"/>
  <c r="GO133" i="1"/>
  <c r="GV133" i="1"/>
  <c r="HC133" i="1"/>
  <c r="D134" i="1"/>
  <c r="I134" i="1"/>
  <c r="K134" i="1"/>
  <c r="AC134" i="1"/>
  <c r="CQ134" i="1" s="1"/>
  <c r="AE134" i="1"/>
  <c r="AD134" i="1" s="1"/>
  <c r="AF134" i="1"/>
  <c r="CT134" i="1" s="1"/>
  <c r="S134" i="1" s="1"/>
  <c r="AG134" i="1"/>
  <c r="CU134" i="1" s="1"/>
  <c r="T134" i="1" s="1"/>
  <c r="AH134" i="1"/>
  <c r="CV134" i="1" s="1"/>
  <c r="U134" i="1" s="1"/>
  <c r="AI134" i="1"/>
  <c r="CW134" i="1" s="1"/>
  <c r="AJ134" i="1"/>
  <c r="CX134" i="1" s="1"/>
  <c r="CR134" i="1"/>
  <c r="FR134" i="1"/>
  <c r="GL134" i="1"/>
  <c r="GN134" i="1"/>
  <c r="GO134" i="1"/>
  <c r="GV134" i="1"/>
  <c r="HC134" i="1" s="1"/>
  <c r="D135" i="1"/>
  <c r="I135" i="1"/>
  <c r="K135" i="1"/>
  <c r="AC135" i="1"/>
  <c r="AE135" i="1"/>
  <c r="AF135" i="1"/>
  <c r="CT135" i="1" s="1"/>
  <c r="S135" i="1" s="1"/>
  <c r="AG135" i="1"/>
  <c r="CU135" i="1" s="1"/>
  <c r="AH135" i="1"/>
  <c r="CV135" i="1" s="1"/>
  <c r="AI135" i="1"/>
  <c r="CW135" i="1" s="1"/>
  <c r="V135" i="1" s="1"/>
  <c r="AJ135" i="1"/>
  <c r="CX135" i="1" s="1"/>
  <c r="CQ135" i="1"/>
  <c r="FR135" i="1"/>
  <c r="GL135" i="1"/>
  <c r="GN135" i="1"/>
  <c r="GO135" i="1"/>
  <c r="GV135" i="1"/>
  <c r="HC135" i="1" s="1"/>
  <c r="D137" i="1"/>
  <c r="I137" i="1"/>
  <c r="K137" i="1"/>
  <c r="AC137" i="1"/>
  <c r="AD137" i="1"/>
  <c r="AE137" i="1"/>
  <c r="AF137" i="1"/>
  <c r="CT137" i="1" s="1"/>
  <c r="S137" i="1" s="1"/>
  <c r="AG137" i="1"/>
  <c r="AH137" i="1"/>
  <c r="AI137" i="1"/>
  <c r="AJ137" i="1"/>
  <c r="CX137" i="1" s="1"/>
  <c r="W137" i="1" s="1"/>
  <c r="CU137" i="1"/>
  <c r="T137" i="1" s="1"/>
  <c r="CV137" i="1"/>
  <c r="U137" i="1" s="1"/>
  <c r="CW137" i="1"/>
  <c r="V137" i="1" s="1"/>
  <c r="FR137" i="1"/>
  <c r="GL137" i="1"/>
  <c r="GN137" i="1"/>
  <c r="GO137" i="1"/>
  <c r="GV137" i="1"/>
  <c r="HC137" i="1"/>
  <c r="D138" i="1"/>
  <c r="I138" i="1"/>
  <c r="K138" i="1"/>
  <c r="U138" i="1"/>
  <c r="AC138" i="1"/>
  <c r="AE138" i="1"/>
  <c r="AF138" i="1"/>
  <c r="AG138" i="1"/>
  <c r="CU138" i="1" s="1"/>
  <c r="T138" i="1" s="1"/>
  <c r="AH138" i="1"/>
  <c r="CV138" i="1" s="1"/>
  <c r="AI138" i="1"/>
  <c r="CW138" i="1" s="1"/>
  <c r="AJ138" i="1"/>
  <c r="CQ138" i="1"/>
  <c r="P138" i="1" s="1"/>
  <c r="CT138" i="1"/>
  <c r="S138" i="1" s="1"/>
  <c r="CX138" i="1"/>
  <c r="W138" i="1" s="1"/>
  <c r="FR138" i="1"/>
  <c r="GL138" i="1"/>
  <c r="GN138" i="1"/>
  <c r="GO138" i="1"/>
  <c r="GV138" i="1"/>
  <c r="HC138" i="1" s="1"/>
  <c r="D139" i="1"/>
  <c r="I139" i="1"/>
  <c r="K139" i="1"/>
  <c r="AC139" i="1"/>
  <c r="AE139" i="1"/>
  <c r="CS139" i="1" s="1"/>
  <c r="R139" i="1" s="1"/>
  <c r="GK139" i="1" s="1"/>
  <c r="AF139" i="1"/>
  <c r="CT139" i="1" s="1"/>
  <c r="S139" i="1" s="1"/>
  <c r="AG139" i="1"/>
  <c r="CU139" i="1" s="1"/>
  <c r="T139" i="1" s="1"/>
  <c r="AH139" i="1"/>
  <c r="AI139" i="1"/>
  <c r="CW139" i="1" s="1"/>
  <c r="V139" i="1" s="1"/>
  <c r="AJ139" i="1"/>
  <c r="CR139" i="1"/>
  <c r="Q139" i="1" s="1"/>
  <c r="CV139" i="1"/>
  <c r="CX139" i="1"/>
  <c r="W139" i="1" s="1"/>
  <c r="FR139" i="1"/>
  <c r="GL139" i="1"/>
  <c r="GN139" i="1"/>
  <c r="GO139" i="1"/>
  <c r="GV139" i="1"/>
  <c r="HC139" i="1"/>
  <c r="GX139" i="1" s="1"/>
  <c r="D140" i="1"/>
  <c r="I140" i="1"/>
  <c r="K140" i="1"/>
  <c r="T140" i="1"/>
  <c r="W140" i="1"/>
  <c r="AC140" i="1"/>
  <c r="AE140" i="1"/>
  <c r="AD140" i="1" s="1"/>
  <c r="AF140" i="1"/>
  <c r="AG140" i="1"/>
  <c r="CU140" i="1" s="1"/>
  <c r="AH140" i="1"/>
  <c r="AI140" i="1"/>
  <c r="CW140" i="1" s="1"/>
  <c r="V140" i="1" s="1"/>
  <c r="AJ140" i="1"/>
  <c r="CX140" i="1" s="1"/>
  <c r="CQ140" i="1"/>
  <c r="P140" i="1" s="1"/>
  <c r="CR140" i="1"/>
  <c r="Q140" i="1" s="1"/>
  <c r="CS140" i="1"/>
  <c r="R140" i="1" s="1"/>
  <c r="CT140" i="1"/>
  <c r="S140" i="1" s="1"/>
  <c r="CZ140" i="1" s="1"/>
  <c r="Y140" i="1" s="1"/>
  <c r="CV140" i="1"/>
  <c r="U140" i="1" s="1"/>
  <c r="FR140" i="1"/>
  <c r="GK140" i="1"/>
  <c r="GL140" i="1"/>
  <c r="GN140" i="1"/>
  <c r="GO140" i="1"/>
  <c r="GV140" i="1"/>
  <c r="HC140" i="1" s="1"/>
  <c r="GX140" i="1" s="1"/>
  <c r="B142" i="1"/>
  <c r="B129" i="1" s="1"/>
  <c r="C142" i="1"/>
  <c r="C129" i="1" s="1"/>
  <c r="D142" i="1"/>
  <c r="F142" i="1"/>
  <c r="F129" i="1" s="1"/>
  <c r="G142" i="1"/>
  <c r="X142" i="1"/>
  <c r="AB142" i="1"/>
  <c r="AB129" i="1" s="1"/>
  <c r="AC142" i="1"/>
  <c r="AD142" i="1"/>
  <c r="AD129" i="1" s="1"/>
  <c r="AE142" i="1"/>
  <c r="AF142" i="1"/>
  <c r="AG142" i="1"/>
  <c r="AG129" i="1" s="1"/>
  <c r="AH142" i="1"/>
  <c r="AH129" i="1" s="1"/>
  <c r="AI142" i="1"/>
  <c r="AJ142" i="1"/>
  <c r="AJ129" i="1" s="1"/>
  <c r="AK142" i="1"/>
  <c r="AK129" i="1" s="1"/>
  <c r="AL142" i="1"/>
  <c r="Y142" i="1" s="1"/>
  <c r="AO142" i="1"/>
  <c r="BA142" i="1"/>
  <c r="BX142" i="1"/>
  <c r="BX129" i="1" s="1"/>
  <c r="BY142" i="1"/>
  <c r="BZ142" i="1"/>
  <c r="BZ129" i="1" s="1"/>
  <c r="CA142" i="1"/>
  <c r="CB142" i="1"/>
  <c r="CC142" i="1"/>
  <c r="CD142" i="1"/>
  <c r="CJ142" i="1"/>
  <c r="CJ129" i="1" s="1"/>
  <c r="CK142" i="1"/>
  <c r="BB142" i="1" s="1"/>
  <c r="F155" i="1" s="1"/>
  <c r="CL142" i="1"/>
  <c r="CM142" i="1"/>
  <c r="BD142" i="1" s="1"/>
  <c r="F167" i="1"/>
  <c r="B172" i="1"/>
  <c r="B26" i="1" s="1"/>
  <c r="C172" i="1"/>
  <c r="C26" i="1" s="1"/>
  <c r="D172" i="1"/>
  <c r="D26" i="1" s="1"/>
  <c r="F172" i="1"/>
  <c r="F26" i="1" s="1"/>
  <c r="G172" i="1"/>
  <c r="D202" i="1"/>
  <c r="E204" i="1"/>
  <c r="Z204" i="1"/>
  <c r="AA204" i="1"/>
  <c r="AB204" i="1"/>
  <c r="AC204" i="1"/>
  <c r="AD204" i="1"/>
  <c r="AE204" i="1"/>
  <c r="AF204" i="1"/>
  <c r="AG204" i="1"/>
  <c r="AH204" i="1"/>
  <c r="AI204" i="1"/>
  <c r="AJ204" i="1"/>
  <c r="AK204" i="1"/>
  <c r="AL204" i="1"/>
  <c r="AM204" i="1"/>
  <c r="AN204" i="1"/>
  <c r="BE204" i="1"/>
  <c r="BF204" i="1"/>
  <c r="BG204" i="1"/>
  <c r="BH204" i="1"/>
  <c r="BI204" i="1"/>
  <c r="BJ204" i="1"/>
  <c r="BK204" i="1"/>
  <c r="BL204" i="1"/>
  <c r="BM204" i="1"/>
  <c r="BN204" i="1"/>
  <c r="BO204" i="1"/>
  <c r="BP204" i="1"/>
  <c r="BQ204" i="1"/>
  <c r="BR204" i="1"/>
  <c r="BS204" i="1"/>
  <c r="BT204" i="1"/>
  <c r="BU204" i="1"/>
  <c r="BV204" i="1"/>
  <c r="BW204" i="1"/>
  <c r="BX204" i="1"/>
  <c r="BY204" i="1"/>
  <c r="BZ204" i="1"/>
  <c r="CA204" i="1"/>
  <c r="CB204" i="1"/>
  <c r="CC204" i="1"/>
  <c r="CD204" i="1"/>
  <c r="CE204" i="1"/>
  <c r="CF204" i="1"/>
  <c r="CG204" i="1"/>
  <c r="CH204" i="1"/>
  <c r="CI204" i="1"/>
  <c r="CJ204" i="1"/>
  <c r="CK204" i="1"/>
  <c r="CL204" i="1"/>
  <c r="CM204" i="1"/>
  <c r="CN204" i="1"/>
  <c r="CO204" i="1"/>
  <c r="CP204" i="1"/>
  <c r="CQ204" i="1"/>
  <c r="CR204" i="1"/>
  <c r="CS204" i="1"/>
  <c r="CT204" i="1"/>
  <c r="CU204" i="1"/>
  <c r="CV204" i="1"/>
  <c r="CW204" i="1"/>
  <c r="CX204" i="1"/>
  <c r="CY204" i="1"/>
  <c r="CZ204" i="1"/>
  <c r="DA204" i="1"/>
  <c r="DB204" i="1"/>
  <c r="DC204" i="1"/>
  <c r="DD204" i="1"/>
  <c r="DE204" i="1"/>
  <c r="DF204" i="1"/>
  <c r="DG204" i="1"/>
  <c r="DH204" i="1"/>
  <c r="DI204" i="1"/>
  <c r="DJ204" i="1"/>
  <c r="DK204" i="1"/>
  <c r="DL204" i="1"/>
  <c r="DM204" i="1"/>
  <c r="DN204" i="1"/>
  <c r="DO204" i="1"/>
  <c r="DP204" i="1"/>
  <c r="DQ204" i="1"/>
  <c r="DR204" i="1"/>
  <c r="DS204" i="1"/>
  <c r="DT204" i="1"/>
  <c r="DU204" i="1"/>
  <c r="DV204" i="1"/>
  <c r="DW204" i="1"/>
  <c r="DX204" i="1"/>
  <c r="DY204" i="1"/>
  <c r="DZ204" i="1"/>
  <c r="EA204" i="1"/>
  <c r="EB204" i="1"/>
  <c r="EC204" i="1"/>
  <c r="ED204" i="1"/>
  <c r="EE204" i="1"/>
  <c r="EF204" i="1"/>
  <c r="EG204" i="1"/>
  <c r="EH204" i="1"/>
  <c r="EI204" i="1"/>
  <c r="EJ204" i="1"/>
  <c r="EK204" i="1"/>
  <c r="EL204" i="1"/>
  <c r="EM204" i="1"/>
  <c r="EN204" i="1"/>
  <c r="EO204" i="1"/>
  <c r="EP204" i="1"/>
  <c r="EQ204" i="1"/>
  <c r="ER204" i="1"/>
  <c r="ES204" i="1"/>
  <c r="ET204" i="1"/>
  <c r="EU204" i="1"/>
  <c r="EV204" i="1"/>
  <c r="EW204" i="1"/>
  <c r="EX204" i="1"/>
  <c r="EY204" i="1"/>
  <c r="EZ204" i="1"/>
  <c r="FA204" i="1"/>
  <c r="FB204" i="1"/>
  <c r="FC204" i="1"/>
  <c r="FD204" i="1"/>
  <c r="FE204" i="1"/>
  <c r="FF204" i="1"/>
  <c r="FG204" i="1"/>
  <c r="FH204" i="1"/>
  <c r="FI204" i="1"/>
  <c r="FJ204" i="1"/>
  <c r="FK204" i="1"/>
  <c r="FL204" i="1"/>
  <c r="FM204" i="1"/>
  <c r="FN204" i="1"/>
  <c r="FO204" i="1"/>
  <c r="FP204" i="1"/>
  <c r="FQ204" i="1"/>
  <c r="FR204" i="1"/>
  <c r="FS204" i="1"/>
  <c r="FT204" i="1"/>
  <c r="FU204" i="1"/>
  <c r="FV204" i="1"/>
  <c r="FW204" i="1"/>
  <c r="FX204" i="1"/>
  <c r="FY204" i="1"/>
  <c r="FZ204" i="1"/>
  <c r="GA204" i="1"/>
  <c r="GB204" i="1"/>
  <c r="GC204" i="1"/>
  <c r="GD204" i="1"/>
  <c r="GE204" i="1"/>
  <c r="GF204" i="1"/>
  <c r="GG204" i="1"/>
  <c r="GH204" i="1"/>
  <c r="GI204" i="1"/>
  <c r="GJ204" i="1"/>
  <c r="GK204" i="1"/>
  <c r="GL204" i="1"/>
  <c r="GM204" i="1"/>
  <c r="GN204" i="1"/>
  <c r="GO204" i="1"/>
  <c r="GP204" i="1"/>
  <c r="GQ204" i="1"/>
  <c r="GR204" i="1"/>
  <c r="GS204" i="1"/>
  <c r="GT204" i="1"/>
  <c r="GU204" i="1"/>
  <c r="GV204" i="1"/>
  <c r="GW204" i="1"/>
  <c r="GX204" i="1"/>
  <c r="D206" i="1"/>
  <c r="E208" i="1"/>
  <c r="Z208" i="1"/>
  <c r="AA208" i="1"/>
  <c r="AM208" i="1"/>
  <c r="AN208" i="1"/>
  <c r="BE208" i="1"/>
  <c r="BF208" i="1"/>
  <c r="BG208" i="1"/>
  <c r="BH208" i="1"/>
  <c r="BI208" i="1"/>
  <c r="BJ208" i="1"/>
  <c r="BK208" i="1"/>
  <c r="BL208" i="1"/>
  <c r="BM208" i="1"/>
  <c r="BN208" i="1"/>
  <c r="BO208" i="1"/>
  <c r="BP208" i="1"/>
  <c r="BQ208" i="1"/>
  <c r="BR208" i="1"/>
  <c r="BS208" i="1"/>
  <c r="BT208" i="1"/>
  <c r="BU208" i="1"/>
  <c r="BV208" i="1"/>
  <c r="BW208" i="1"/>
  <c r="CN208" i="1"/>
  <c r="CO208" i="1"/>
  <c r="CP208" i="1"/>
  <c r="CQ208" i="1"/>
  <c r="CR208" i="1"/>
  <c r="CS208" i="1"/>
  <c r="CT208" i="1"/>
  <c r="CU208" i="1"/>
  <c r="CV208" i="1"/>
  <c r="CW208" i="1"/>
  <c r="CX208" i="1"/>
  <c r="CY208" i="1"/>
  <c r="CZ208" i="1"/>
  <c r="DA208" i="1"/>
  <c r="DB208" i="1"/>
  <c r="DC208" i="1"/>
  <c r="DD208" i="1"/>
  <c r="DE208" i="1"/>
  <c r="DF208" i="1"/>
  <c r="DG208" i="1"/>
  <c r="DH208" i="1"/>
  <c r="DI208" i="1"/>
  <c r="DJ208" i="1"/>
  <c r="DK208" i="1"/>
  <c r="DL208" i="1"/>
  <c r="DM208" i="1"/>
  <c r="DN208" i="1"/>
  <c r="DO208" i="1"/>
  <c r="DP208" i="1"/>
  <c r="DQ208" i="1"/>
  <c r="DR208" i="1"/>
  <c r="DS208" i="1"/>
  <c r="DT208" i="1"/>
  <c r="DU208" i="1"/>
  <c r="DV208" i="1"/>
  <c r="DW208" i="1"/>
  <c r="DX208" i="1"/>
  <c r="DY208" i="1"/>
  <c r="DZ208" i="1"/>
  <c r="EA208" i="1"/>
  <c r="EB208" i="1"/>
  <c r="EC208" i="1"/>
  <c r="ED208" i="1"/>
  <c r="EE208" i="1"/>
  <c r="EF208" i="1"/>
  <c r="EG208" i="1"/>
  <c r="EH208" i="1"/>
  <c r="EI208" i="1"/>
  <c r="EJ208" i="1"/>
  <c r="EK208" i="1"/>
  <c r="EL208" i="1"/>
  <c r="EM208" i="1"/>
  <c r="EN208" i="1"/>
  <c r="EO208" i="1"/>
  <c r="EP208" i="1"/>
  <c r="EQ208" i="1"/>
  <c r="ER208" i="1"/>
  <c r="ES208" i="1"/>
  <c r="ET208" i="1"/>
  <c r="EU208" i="1"/>
  <c r="EV208" i="1"/>
  <c r="EW208" i="1"/>
  <c r="EX208" i="1"/>
  <c r="EY208" i="1"/>
  <c r="EZ208" i="1"/>
  <c r="FA208" i="1"/>
  <c r="FB208" i="1"/>
  <c r="FC208" i="1"/>
  <c r="FD208" i="1"/>
  <c r="FE208" i="1"/>
  <c r="FF208" i="1"/>
  <c r="FG208" i="1"/>
  <c r="FH208" i="1"/>
  <c r="FI208" i="1"/>
  <c r="FJ208" i="1"/>
  <c r="FK208" i="1"/>
  <c r="FL208" i="1"/>
  <c r="FM208" i="1"/>
  <c r="FN208" i="1"/>
  <c r="FO208" i="1"/>
  <c r="FP208" i="1"/>
  <c r="FQ208" i="1"/>
  <c r="FR208" i="1"/>
  <c r="FS208" i="1"/>
  <c r="FT208" i="1"/>
  <c r="FU208" i="1"/>
  <c r="FV208" i="1"/>
  <c r="FW208" i="1"/>
  <c r="FX208" i="1"/>
  <c r="FY208" i="1"/>
  <c r="FZ208" i="1"/>
  <c r="GA208" i="1"/>
  <c r="GB208" i="1"/>
  <c r="GC208" i="1"/>
  <c r="GD208" i="1"/>
  <c r="GE208" i="1"/>
  <c r="GF208" i="1"/>
  <c r="GG208" i="1"/>
  <c r="GH208" i="1"/>
  <c r="GI208" i="1"/>
  <c r="GJ208" i="1"/>
  <c r="GK208" i="1"/>
  <c r="GL208" i="1"/>
  <c r="GM208" i="1"/>
  <c r="GN208" i="1"/>
  <c r="GO208" i="1"/>
  <c r="GP208" i="1"/>
  <c r="GQ208" i="1"/>
  <c r="GR208" i="1"/>
  <c r="GS208" i="1"/>
  <c r="GT208" i="1"/>
  <c r="GU208" i="1"/>
  <c r="GV208" i="1"/>
  <c r="GW208" i="1"/>
  <c r="GX208" i="1"/>
  <c r="D212" i="1"/>
  <c r="I212" i="1"/>
  <c r="K212" i="1"/>
  <c r="AC212" i="1"/>
  <c r="CQ212" i="1" s="1"/>
  <c r="P212" i="1" s="1"/>
  <c r="AE212" i="1"/>
  <c r="CR212" i="1" s="1"/>
  <c r="AF212" i="1"/>
  <c r="AG212" i="1"/>
  <c r="CU212" i="1" s="1"/>
  <c r="T212" i="1" s="1"/>
  <c r="AH212" i="1"/>
  <c r="CV212" i="1" s="1"/>
  <c r="U212" i="1" s="1"/>
  <c r="AI212" i="1"/>
  <c r="CW212" i="1" s="1"/>
  <c r="V212" i="1" s="1"/>
  <c r="AJ212" i="1"/>
  <c r="CX212" i="1" s="1"/>
  <c r="W212" i="1" s="1"/>
  <c r="CS212" i="1"/>
  <c r="R212" i="1" s="1"/>
  <c r="GK212" i="1" s="1"/>
  <c r="CT212" i="1"/>
  <c r="S212" i="1" s="1"/>
  <c r="FR212" i="1"/>
  <c r="GL212" i="1"/>
  <c r="GN212" i="1"/>
  <c r="GO212" i="1"/>
  <c r="GV212" i="1"/>
  <c r="HC212" i="1"/>
  <c r="GX212" i="1" s="1"/>
  <c r="D213" i="1"/>
  <c r="I213" i="1"/>
  <c r="K213" i="1"/>
  <c r="AC213" i="1"/>
  <c r="AE213" i="1"/>
  <c r="AF213" i="1"/>
  <c r="CT213" i="1" s="1"/>
  <c r="S213" i="1" s="1"/>
  <c r="CZ213" i="1" s="1"/>
  <c r="Y213" i="1" s="1"/>
  <c r="AG213" i="1"/>
  <c r="CU213" i="1" s="1"/>
  <c r="T213" i="1" s="1"/>
  <c r="AH213" i="1"/>
  <c r="CV213" i="1" s="1"/>
  <c r="U213" i="1" s="1"/>
  <c r="AI213" i="1"/>
  <c r="CW213" i="1" s="1"/>
  <c r="AJ213" i="1"/>
  <c r="CX213" i="1" s="1"/>
  <c r="FR213" i="1"/>
  <c r="GL213" i="1"/>
  <c r="GN213" i="1"/>
  <c r="GO213" i="1"/>
  <c r="GV213" i="1"/>
  <c r="HC213" i="1"/>
  <c r="GX213" i="1" s="1"/>
  <c r="D214" i="1"/>
  <c r="I214" i="1"/>
  <c r="K214" i="1"/>
  <c r="AC214" i="1"/>
  <c r="AE214" i="1"/>
  <c r="AF214" i="1"/>
  <c r="AG214" i="1"/>
  <c r="AH214" i="1"/>
  <c r="CV214" i="1" s="1"/>
  <c r="U214" i="1" s="1"/>
  <c r="AI214" i="1"/>
  <c r="CW214" i="1" s="1"/>
  <c r="V214" i="1" s="1"/>
  <c r="AJ214" i="1"/>
  <c r="CX214" i="1" s="1"/>
  <c r="W214" i="1" s="1"/>
  <c r="CQ214" i="1"/>
  <c r="P214" i="1" s="1"/>
  <c r="CT214" i="1"/>
  <c r="S214" i="1" s="1"/>
  <c r="CU214" i="1"/>
  <c r="FR214" i="1"/>
  <c r="GL214" i="1"/>
  <c r="GN214" i="1"/>
  <c r="GO214" i="1"/>
  <c r="GV214" i="1"/>
  <c r="HC214" i="1" s="1"/>
  <c r="GX214" i="1" s="1"/>
  <c r="D215" i="1"/>
  <c r="I215" i="1"/>
  <c r="K215" i="1"/>
  <c r="AC215" i="1"/>
  <c r="CQ215" i="1" s="1"/>
  <c r="AE215" i="1"/>
  <c r="AF215" i="1"/>
  <c r="AG215" i="1"/>
  <c r="AH215" i="1"/>
  <c r="CV215" i="1" s="1"/>
  <c r="AI215" i="1"/>
  <c r="CW215" i="1" s="1"/>
  <c r="AJ215" i="1"/>
  <c r="CU215" i="1"/>
  <c r="CX215" i="1"/>
  <c r="FR215" i="1"/>
  <c r="GL215" i="1"/>
  <c r="GN215" i="1"/>
  <c r="GO215" i="1"/>
  <c r="GV215" i="1"/>
  <c r="HC215" i="1"/>
  <c r="D216" i="1"/>
  <c r="I216" i="1"/>
  <c r="K216" i="1"/>
  <c r="AC216" i="1"/>
  <c r="AE216" i="1"/>
  <c r="AF216" i="1"/>
  <c r="CT216" i="1" s="1"/>
  <c r="S216" i="1" s="1"/>
  <c r="AG216" i="1"/>
  <c r="CU216" i="1" s="1"/>
  <c r="T216" i="1" s="1"/>
  <c r="AH216" i="1"/>
  <c r="CV216" i="1" s="1"/>
  <c r="AI216" i="1"/>
  <c r="CW216" i="1" s="1"/>
  <c r="AJ216" i="1"/>
  <c r="CX216" i="1" s="1"/>
  <c r="CQ216" i="1"/>
  <c r="P216" i="1" s="1"/>
  <c r="FR216" i="1"/>
  <c r="GL216" i="1"/>
  <c r="GN216" i="1"/>
  <c r="GO216" i="1"/>
  <c r="GV216" i="1"/>
  <c r="HC216" i="1" s="1"/>
  <c r="D217" i="1"/>
  <c r="AC217" i="1"/>
  <c r="CQ217" i="1" s="1"/>
  <c r="P217" i="1" s="1"/>
  <c r="AE217" i="1"/>
  <c r="AF217" i="1"/>
  <c r="AG217" i="1"/>
  <c r="CU217" i="1" s="1"/>
  <c r="T217" i="1" s="1"/>
  <c r="AH217" i="1"/>
  <c r="CV217" i="1" s="1"/>
  <c r="U217" i="1" s="1"/>
  <c r="AI217" i="1"/>
  <c r="CW217" i="1" s="1"/>
  <c r="V217" i="1" s="1"/>
  <c r="AJ217" i="1"/>
  <c r="CX217" i="1" s="1"/>
  <c r="W217" i="1" s="1"/>
  <c r="FR217" i="1"/>
  <c r="GL217" i="1"/>
  <c r="GN217" i="1"/>
  <c r="GO217" i="1"/>
  <c r="GV217" i="1"/>
  <c r="HC217" i="1" s="1"/>
  <c r="GX217" i="1" s="1"/>
  <c r="D218" i="1"/>
  <c r="I218" i="1"/>
  <c r="K218" i="1"/>
  <c r="AC218" i="1"/>
  <c r="AE218" i="1"/>
  <c r="AF218" i="1"/>
  <c r="AG218" i="1"/>
  <c r="AH218" i="1"/>
  <c r="AI218" i="1"/>
  <c r="CW218" i="1" s="1"/>
  <c r="V218" i="1" s="1"/>
  <c r="AJ218" i="1"/>
  <c r="CX218" i="1" s="1"/>
  <c r="W218" i="1" s="1"/>
  <c r="CQ218" i="1"/>
  <c r="CU218" i="1"/>
  <c r="CV218" i="1"/>
  <c r="U218" i="1" s="1"/>
  <c r="FR218" i="1"/>
  <c r="GL218" i="1"/>
  <c r="GN218" i="1"/>
  <c r="GO218" i="1"/>
  <c r="GV218" i="1"/>
  <c r="HC218" i="1" s="1"/>
  <c r="GX218" i="1" s="1"/>
  <c r="D219" i="1"/>
  <c r="I219" i="1"/>
  <c r="K219" i="1"/>
  <c r="AC219" i="1"/>
  <c r="CQ219" i="1" s="1"/>
  <c r="AD219" i="1"/>
  <c r="AE219" i="1"/>
  <c r="AF219" i="1"/>
  <c r="AG219" i="1"/>
  <c r="CU219" i="1" s="1"/>
  <c r="T219" i="1" s="1"/>
  <c r="AH219" i="1"/>
  <c r="AI219" i="1"/>
  <c r="AJ219" i="1"/>
  <c r="CX219" i="1" s="1"/>
  <c r="W219" i="1" s="1"/>
  <c r="CV219" i="1"/>
  <c r="CW219" i="1"/>
  <c r="V219" i="1" s="1"/>
  <c r="FR219" i="1"/>
  <c r="GL219" i="1"/>
  <c r="GN219" i="1"/>
  <c r="GO219" i="1"/>
  <c r="GV219" i="1"/>
  <c r="HC219" i="1"/>
  <c r="GX219" i="1" s="1"/>
  <c r="D220" i="1"/>
  <c r="I220" i="1"/>
  <c r="K220" i="1"/>
  <c r="P220" i="1"/>
  <c r="AC220" i="1"/>
  <c r="AE220" i="1"/>
  <c r="AF220" i="1"/>
  <c r="AG220" i="1"/>
  <c r="CU220" i="1" s="1"/>
  <c r="AH220" i="1"/>
  <c r="CV220" i="1" s="1"/>
  <c r="U220" i="1" s="1"/>
  <c r="AI220" i="1"/>
  <c r="CW220" i="1" s="1"/>
  <c r="V220" i="1" s="1"/>
  <c r="AJ220" i="1"/>
  <c r="CX220" i="1" s="1"/>
  <c r="CQ220" i="1"/>
  <c r="CR220" i="1"/>
  <c r="Q220" i="1" s="1"/>
  <c r="CS220" i="1"/>
  <c r="R220" i="1" s="1"/>
  <c r="GK220" i="1" s="1"/>
  <c r="FR220" i="1"/>
  <c r="GL220" i="1"/>
  <c r="GN220" i="1"/>
  <c r="GO220" i="1"/>
  <c r="GV220" i="1"/>
  <c r="HC220" i="1" s="1"/>
  <c r="GX220" i="1" s="1"/>
  <c r="D221" i="1"/>
  <c r="I221" i="1"/>
  <c r="K221" i="1"/>
  <c r="AC221" i="1"/>
  <c r="AE221" i="1"/>
  <c r="AF221" i="1"/>
  <c r="CT221" i="1" s="1"/>
  <c r="S221" i="1" s="1"/>
  <c r="AG221" i="1"/>
  <c r="CU221" i="1" s="1"/>
  <c r="AH221" i="1"/>
  <c r="CV221" i="1" s="1"/>
  <c r="AI221" i="1"/>
  <c r="AJ221" i="1"/>
  <c r="CX221" i="1" s="1"/>
  <c r="CQ221" i="1"/>
  <c r="CW221" i="1"/>
  <c r="FR221" i="1"/>
  <c r="GL221" i="1"/>
  <c r="GN221" i="1"/>
  <c r="GO221" i="1"/>
  <c r="GV221" i="1"/>
  <c r="HC221" i="1" s="1"/>
  <c r="D222" i="1"/>
  <c r="I222" i="1"/>
  <c r="K222" i="1"/>
  <c r="AC222" i="1"/>
  <c r="CQ222" i="1" s="1"/>
  <c r="AE222" i="1"/>
  <c r="AF222" i="1"/>
  <c r="AG222" i="1"/>
  <c r="CU222" i="1" s="1"/>
  <c r="AH222" i="1"/>
  <c r="AI222" i="1"/>
  <c r="CW222" i="1" s="1"/>
  <c r="V222" i="1" s="1"/>
  <c r="AJ222" i="1"/>
  <c r="CX222" i="1" s="1"/>
  <c r="W222" i="1" s="1"/>
  <c r="CR222" i="1"/>
  <c r="CS222" i="1"/>
  <c r="CV222" i="1"/>
  <c r="FR222" i="1"/>
  <c r="GL222" i="1"/>
  <c r="GN222" i="1"/>
  <c r="GO222" i="1"/>
  <c r="GV222" i="1"/>
  <c r="HC222" i="1"/>
  <c r="GX222" i="1" s="1"/>
  <c r="I223" i="1"/>
  <c r="AC223" i="1"/>
  <c r="CQ223" i="1" s="1"/>
  <c r="AE223" i="1"/>
  <c r="AF223" i="1"/>
  <c r="AG223" i="1"/>
  <c r="CU223" i="1" s="1"/>
  <c r="AH223" i="1"/>
  <c r="CV223" i="1" s="1"/>
  <c r="AI223" i="1"/>
  <c r="CW223" i="1" s="1"/>
  <c r="AJ223" i="1"/>
  <c r="CX223" i="1" s="1"/>
  <c r="FR223" i="1"/>
  <c r="GL223" i="1"/>
  <c r="GN223" i="1"/>
  <c r="GO223" i="1"/>
  <c r="GV223" i="1"/>
  <c r="HC223" i="1" s="1"/>
  <c r="D224" i="1"/>
  <c r="I224" i="1"/>
  <c r="K224" i="1"/>
  <c r="U224" i="1"/>
  <c r="AC224" i="1"/>
  <c r="CQ224" i="1" s="1"/>
  <c r="P224" i="1" s="1"/>
  <c r="AE224" i="1"/>
  <c r="CS224" i="1" s="1"/>
  <c r="AF224" i="1"/>
  <c r="AG224" i="1"/>
  <c r="AH224" i="1"/>
  <c r="CV224" i="1" s="1"/>
  <c r="AI224" i="1"/>
  <c r="CW224" i="1" s="1"/>
  <c r="V224" i="1" s="1"/>
  <c r="AJ224" i="1"/>
  <c r="CX224" i="1" s="1"/>
  <c r="W224" i="1" s="1"/>
  <c r="CR224" i="1"/>
  <c r="Q224" i="1" s="1"/>
  <c r="CU224" i="1"/>
  <c r="T224" i="1" s="1"/>
  <c r="FR224" i="1"/>
  <c r="GL224" i="1"/>
  <c r="GN224" i="1"/>
  <c r="GO224" i="1"/>
  <c r="GV224" i="1"/>
  <c r="HC224" i="1"/>
  <c r="GX224" i="1" s="1"/>
  <c r="D225" i="1"/>
  <c r="I225" i="1"/>
  <c r="K225" i="1"/>
  <c r="AC225" i="1"/>
  <c r="CQ225" i="1" s="1"/>
  <c r="P225" i="1" s="1"/>
  <c r="AD225" i="1"/>
  <c r="AE225" i="1"/>
  <c r="CR225" i="1" s="1"/>
  <c r="Q225" i="1" s="1"/>
  <c r="AF225" i="1"/>
  <c r="AG225" i="1"/>
  <c r="CU225" i="1" s="1"/>
  <c r="T225" i="1" s="1"/>
  <c r="AH225" i="1"/>
  <c r="CV225" i="1" s="1"/>
  <c r="AI225" i="1"/>
  <c r="AJ225" i="1"/>
  <c r="CS225" i="1"/>
  <c r="CT225" i="1"/>
  <c r="S225" i="1" s="1"/>
  <c r="CW225" i="1"/>
  <c r="CX225" i="1"/>
  <c r="W225" i="1" s="1"/>
  <c r="FR225" i="1"/>
  <c r="GL225" i="1"/>
  <c r="GN225" i="1"/>
  <c r="GO225" i="1"/>
  <c r="GV225" i="1"/>
  <c r="HC225" i="1"/>
  <c r="GX225" i="1" s="1"/>
  <c r="D226" i="1"/>
  <c r="I226" i="1"/>
  <c r="K226" i="1"/>
  <c r="AC226" i="1"/>
  <c r="AE226" i="1"/>
  <c r="AF226" i="1"/>
  <c r="AG226" i="1"/>
  <c r="CU226" i="1" s="1"/>
  <c r="AH226" i="1"/>
  <c r="CV226" i="1" s="1"/>
  <c r="AI226" i="1"/>
  <c r="AJ226" i="1"/>
  <c r="CQ226" i="1"/>
  <c r="CR226" i="1"/>
  <c r="CW226" i="1"/>
  <c r="CX226" i="1"/>
  <c r="FR226" i="1"/>
  <c r="GL226" i="1"/>
  <c r="GN226" i="1"/>
  <c r="GO226" i="1"/>
  <c r="GV226" i="1"/>
  <c r="HC226" i="1"/>
  <c r="D227" i="1"/>
  <c r="I227" i="1"/>
  <c r="K227" i="1"/>
  <c r="AC227" i="1"/>
  <c r="CQ227" i="1" s="1"/>
  <c r="P227" i="1" s="1"/>
  <c r="AE227" i="1"/>
  <c r="AF227" i="1"/>
  <c r="AG227" i="1"/>
  <c r="AH227" i="1"/>
  <c r="CV227" i="1" s="1"/>
  <c r="U227" i="1" s="1"/>
  <c r="AI227" i="1"/>
  <c r="CW227" i="1" s="1"/>
  <c r="V227" i="1" s="1"/>
  <c r="AJ227" i="1"/>
  <c r="CX227" i="1" s="1"/>
  <c r="W227" i="1" s="1"/>
  <c r="CU227" i="1"/>
  <c r="T227" i="1" s="1"/>
  <c r="FR227" i="1"/>
  <c r="GL227" i="1"/>
  <c r="GN227" i="1"/>
  <c r="GO227" i="1"/>
  <c r="GV227" i="1"/>
  <c r="HC227" i="1" s="1"/>
  <c r="GX227" i="1" s="1"/>
  <c r="D228" i="1"/>
  <c r="I228" i="1"/>
  <c r="K228" i="1"/>
  <c r="AC228" i="1"/>
  <c r="CQ228" i="1" s="1"/>
  <c r="P228" i="1" s="1"/>
  <c r="AE228" i="1"/>
  <c r="AF228" i="1"/>
  <c r="AG228" i="1"/>
  <c r="CU228" i="1" s="1"/>
  <c r="T228" i="1" s="1"/>
  <c r="AH228" i="1"/>
  <c r="CV228" i="1" s="1"/>
  <c r="U228" i="1" s="1"/>
  <c r="AI228" i="1"/>
  <c r="CW228" i="1" s="1"/>
  <c r="V228" i="1" s="1"/>
  <c r="AJ228" i="1"/>
  <c r="CX228" i="1" s="1"/>
  <c r="FR228" i="1"/>
  <c r="GL228" i="1"/>
  <c r="GN228" i="1"/>
  <c r="GO228" i="1"/>
  <c r="GV228" i="1"/>
  <c r="HC228" i="1" s="1"/>
  <c r="GX228" i="1" s="1"/>
  <c r="D229" i="1"/>
  <c r="I229" i="1"/>
  <c r="K229" i="1"/>
  <c r="AC229" i="1"/>
  <c r="CQ229" i="1" s="1"/>
  <c r="P229" i="1" s="1"/>
  <c r="AD229" i="1"/>
  <c r="AE229" i="1"/>
  <c r="AF229" i="1"/>
  <c r="CT229" i="1" s="1"/>
  <c r="S229" i="1" s="1"/>
  <c r="AG229" i="1"/>
  <c r="AH229" i="1"/>
  <c r="AI229" i="1"/>
  <c r="AJ229" i="1"/>
  <c r="CR229" i="1"/>
  <c r="CS229" i="1"/>
  <c r="CU229" i="1"/>
  <c r="T229" i="1" s="1"/>
  <c r="CV229" i="1"/>
  <c r="U229" i="1" s="1"/>
  <c r="CW229" i="1"/>
  <c r="CX229" i="1"/>
  <c r="FR229" i="1"/>
  <c r="GL229" i="1"/>
  <c r="GN229" i="1"/>
  <c r="GO229" i="1"/>
  <c r="GV229" i="1"/>
  <c r="HC229" i="1"/>
  <c r="D230" i="1"/>
  <c r="I230" i="1"/>
  <c r="T230" i="1" s="1"/>
  <c r="K230" i="1"/>
  <c r="S230" i="1"/>
  <c r="CY230" i="1" s="1"/>
  <c r="X230" i="1" s="1"/>
  <c r="AC230" i="1"/>
  <c r="CQ230" i="1" s="1"/>
  <c r="AD230" i="1"/>
  <c r="AB230" i="1" s="1"/>
  <c r="AE230" i="1"/>
  <c r="AF230" i="1"/>
  <c r="CT230" i="1" s="1"/>
  <c r="AG230" i="1"/>
  <c r="CU230" i="1" s="1"/>
  <c r="AH230" i="1"/>
  <c r="AI230" i="1"/>
  <c r="AJ230" i="1"/>
  <c r="CV230" i="1"/>
  <c r="U230" i="1" s="1"/>
  <c r="CW230" i="1"/>
  <c r="V230" i="1" s="1"/>
  <c r="CX230" i="1"/>
  <c r="W230" i="1" s="1"/>
  <c r="FR230" i="1"/>
  <c r="GL230" i="1"/>
  <c r="GN230" i="1"/>
  <c r="GO230" i="1"/>
  <c r="GV230" i="1"/>
  <c r="HC230" i="1" s="1"/>
  <c r="I231" i="1"/>
  <c r="K231" i="1"/>
  <c r="S231" i="1"/>
  <c r="AB231" i="1"/>
  <c r="AC231" i="1"/>
  <c r="AD231" i="1"/>
  <c r="AE231" i="1"/>
  <c r="CS231" i="1" s="1"/>
  <c r="R231" i="1" s="1"/>
  <c r="GK231" i="1" s="1"/>
  <c r="AF231" i="1"/>
  <c r="CT231" i="1" s="1"/>
  <c r="AG231" i="1"/>
  <c r="CU231" i="1" s="1"/>
  <c r="T231" i="1" s="1"/>
  <c r="AH231" i="1"/>
  <c r="AI231" i="1"/>
  <c r="AJ231" i="1"/>
  <c r="CQ231" i="1"/>
  <c r="P231" i="1" s="1"/>
  <c r="CR231" i="1"/>
  <c r="Q231" i="1" s="1"/>
  <c r="CV231" i="1"/>
  <c r="U231" i="1" s="1"/>
  <c r="CW231" i="1"/>
  <c r="V231" i="1" s="1"/>
  <c r="CX231" i="1"/>
  <c r="W231" i="1" s="1"/>
  <c r="CY231" i="1"/>
  <c r="X231" i="1" s="1"/>
  <c r="CZ231" i="1"/>
  <c r="Y231" i="1" s="1"/>
  <c r="FR231" i="1"/>
  <c r="GL231" i="1"/>
  <c r="GO231" i="1"/>
  <c r="GP231" i="1"/>
  <c r="GV231" i="1"/>
  <c r="HC231" i="1" s="1"/>
  <c r="GX231" i="1" s="1"/>
  <c r="D232" i="1"/>
  <c r="I232" i="1"/>
  <c r="K232" i="1"/>
  <c r="AC232" i="1"/>
  <c r="AD232" i="1"/>
  <c r="AE232" i="1"/>
  <c r="AF232" i="1"/>
  <c r="AG232" i="1"/>
  <c r="CU232" i="1" s="1"/>
  <c r="AH232" i="1"/>
  <c r="CV232" i="1" s="1"/>
  <c r="AI232" i="1"/>
  <c r="CW232" i="1" s="1"/>
  <c r="AJ232" i="1"/>
  <c r="CX232" i="1" s="1"/>
  <c r="CQ232" i="1"/>
  <c r="FR232" i="1"/>
  <c r="GL232" i="1"/>
  <c r="GN232" i="1"/>
  <c r="GO232" i="1"/>
  <c r="GV232" i="1"/>
  <c r="HC232" i="1" s="1"/>
  <c r="D234" i="1"/>
  <c r="I234" i="1"/>
  <c r="K234" i="1"/>
  <c r="AC234" i="1"/>
  <c r="AE234" i="1"/>
  <c r="AD234" i="1" s="1"/>
  <c r="AF234" i="1"/>
  <c r="AG234" i="1"/>
  <c r="CU234" i="1" s="1"/>
  <c r="AH234" i="1"/>
  <c r="CV234" i="1" s="1"/>
  <c r="AI234" i="1"/>
  <c r="CW234" i="1" s="1"/>
  <c r="AJ234" i="1"/>
  <c r="CX234" i="1" s="1"/>
  <c r="CQ234" i="1"/>
  <c r="P234" i="1" s="1"/>
  <c r="CT234" i="1"/>
  <c r="S234" i="1" s="1"/>
  <c r="FR234" i="1"/>
  <c r="GL234" i="1"/>
  <c r="GN234" i="1"/>
  <c r="GO234" i="1"/>
  <c r="GV234" i="1"/>
  <c r="HC234" i="1" s="1"/>
  <c r="GX234" i="1" s="1"/>
  <c r="D235" i="1"/>
  <c r="I235" i="1"/>
  <c r="K235" i="1"/>
  <c r="AC235" i="1"/>
  <c r="CQ235" i="1" s="1"/>
  <c r="AE235" i="1"/>
  <c r="AF235" i="1"/>
  <c r="CT235" i="1" s="1"/>
  <c r="AG235" i="1"/>
  <c r="CU235" i="1" s="1"/>
  <c r="AH235" i="1"/>
  <c r="CV235" i="1" s="1"/>
  <c r="AI235" i="1"/>
  <c r="AJ235" i="1"/>
  <c r="CW235" i="1"/>
  <c r="CX235" i="1"/>
  <c r="FR235" i="1"/>
  <c r="GL235" i="1"/>
  <c r="GN235" i="1"/>
  <c r="GO235" i="1"/>
  <c r="GV235" i="1"/>
  <c r="HC235" i="1"/>
  <c r="D236" i="1"/>
  <c r="I236" i="1"/>
  <c r="K236" i="1"/>
  <c r="AC236" i="1"/>
  <c r="CQ236" i="1" s="1"/>
  <c r="AE236" i="1"/>
  <c r="AF236" i="1"/>
  <c r="CT236" i="1" s="1"/>
  <c r="S236" i="1" s="1"/>
  <c r="AG236" i="1"/>
  <c r="CU236" i="1" s="1"/>
  <c r="T236" i="1" s="1"/>
  <c r="AH236" i="1"/>
  <c r="AI236" i="1"/>
  <c r="CW236" i="1" s="1"/>
  <c r="V236" i="1" s="1"/>
  <c r="AJ236" i="1"/>
  <c r="CV236" i="1"/>
  <c r="CX236" i="1"/>
  <c r="FR236" i="1"/>
  <c r="GL236" i="1"/>
  <c r="GN236" i="1"/>
  <c r="GO236" i="1"/>
  <c r="GV236" i="1"/>
  <c r="HC236" i="1" s="1"/>
  <c r="GX236" i="1" s="1"/>
  <c r="D237" i="1"/>
  <c r="I237" i="1"/>
  <c r="K237" i="1"/>
  <c r="T237" i="1"/>
  <c r="U237" i="1"/>
  <c r="AC237" i="1"/>
  <c r="AD237" i="1"/>
  <c r="AE237" i="1"/>
  <c r="AF237" i="1"/>
  <c r="CT237" i="1" s="1"/>
  <c r="S237" i="1" s="1"/>
  <c r="CY237" i="1" s="1"/>
  <c r="X237" i="1" s="1"/>
  <c r="AG237" i="1"/>
  <c r="CU237" i="1" s="1"/>
  <c r="AH237" i="1"/>
  <c r="CV237" i="1" s="1"/>
  <c r="AI237" i="1"/>
  <c r="CW237" i="1" s="1"/>
  <c r="V237" i="1" s="1"/>
  <c r="AJ237" i="1"/>
  <c r="CQ237" i="1"/>
  <c r="P237" i="1" s="1"/>
  <c r="CR237" i="1"/>
  <c r="Q237" i="1" s="1"/>
  <c r="CS237" i="1"/>
  <c r="R237" i="1" s="1"/>
  <c r="GK237" i="1" s="1"/>
  <c r="CX237" i="1"/>
  <c r="W237" i="1" s="1"/>
  <c r="CZ237" i="1"/>
  <c r="Y237" i="1" s="1"/>
  <c r="FR237" i="1"/>
  <c r="GL237" i="1"/>
  <c r="GN237" i="1"/>
  <c r="GO237" i="1"/>
  <c r="GV237" i="1"/>
  <c r="HC237" i="1" s="1"/>
  <c r="GX237" i="1" s="1"/>
  <c r="D239" i="1"/>
  <c r="I239" i="1"/>
  <c r="K239" i="1"/>
  <c r="R239" i="1"/>
  <c r="GK239" i="1" s="1"/>
  <c r="AC239" i="1"/>
  <c r="AE239" i="1"/>
  <c r="AD239" i="1" s="1"/>
  <c r="AB239" i="1" s="1"/>
  <c r="AF239" i="1"/>
  <c r="CT239" i="1" s="1"/>
  <c r="S239" i="1" s="1"/>
  <c r="AG239" i="1"/>
  <c r="CU239" i="1" s="1"/>
  <c r="AH239" i="1"/>
  <c r="CV239" i="1" s="1"/>
  <c r="U239" i="1" s="1"/>
  <c r="AI239" i="1"/>
  <c r="CW239" i="1" s="1"/>
  <c r="AJ239" i="1"/>
  <c r="CX239" i="1" s="1"/>
  <c r="CQ239" i="1"/>
  <c r="P239" i="1" s="1"/>
  <c r="CR239" i="1"/>
  <c r="Q239" i="1" s="1"/>
  <c r="CS239" i="1"/>
  <c r="FR239" i="1"/>
  <c r="GL239" i="1"/>
  <c r="GN239" i="1"/>
  <c r="GO239" i="1"/>
  <c r="GV239" i="1"/>
  <c r="HC239" i="1" s="1"/>
  <c r="GX239" i="1"/>
  <c r="D240" i="1"/>
  <c r="I240" i="1"/>
  <c r="K240" i="1"/>
  <c r="AC240" i="1"/>
  <c r="CQ240" i="1" s="1"/>
  <c r="P240" i="1" s="1"/>
  <c r="AE240" i="1"/>
  <c r="AF240" i="1"/>
  <c r="CT240" i="1" s="1"/>
  <c r="S240" i="1" s="1"/>
  <c r="CY240" i="1" s="1"/>
  <c r="X240" i="1" s="1"/>
  <c r="AG240" i="1"/>
  <c r="CU240" i="1" s="1"/>
  <c r="T240" i="1" s="1"/>
  <c r="AH240" i="1"/>
  <c r="AI240" i="1"/>
  <c r="CW240" i="1" s="1"/>
  <c r="V240" i="1" s="1"/>
  <c r="AJ240" i="1"/>
  <c r="CV240" i="1"/>
  <c r="U240" i="1" s="1"/>
  <c r="CX240" i="1"/>
  <c r="W240" i="1" s="1"/>
  <c r="FR240" i="1"/>
  <c r="GL240" i="1"/>
  <c r="GN240" i="1"/>
  <c r="GO240" i="1"/>
  <c r="GV240" i="1"/>
  <c r="HC240" i="1" s="1"/>
  <c r="GX240" i="1" s="1"/>
  <c r="D241" i="1"/>
  <c r="I241" i="1"/>
  <c r="K241" i="1"/>
  <c r="AC241" i="1"/>
  <c r="CQ241" i="1" s="1"/>
  <c r="P241" i="1" s="1"/>
  <c r="AE241" i="1"/>
  <c r="AF241" i="1"/>
  <c r="AG241" i="1"/>
  <c r="CU241" i="1" s="1"/>
  <c r="T241" i="1" s="1"/>
  <c r="AH241" i="1"/>
  <c r="CV241" i="1" s="1"/>
  <c r="U241" i="1" s="1"/>
  <c r="AI241" i="1"/>
  <c r="AJ241" i="1"/>
  <c r="CX241" i="1" s="1"/>
  <c r="W241" i="1" s="1"/>
  <c r="CT241" i="1"/>
  <c r="S241" i="1" s="1"/>
  <c r="CZ241" i="1" s="1"/>
  <c r="Y241" i="1" s="1"/>
  <c r="CW241" i="1"/>
  <c r="CY241" i="1"/>
  <c r="X241" i="1" s="1"/>
  <c r="FR241" i="1"/>
  <c r="GL241" i="1"/>
  <c r="GN241" i="1"/>
  <c r="GO241" i="1"/>
  <c r="GV241" i="1"/>
  <c r="HC241" i="1"/>
  <c r="GX241" i="1" s="1"/>
  <c r="D242" i="1"/>
  <c r="I242" i="1"/>
  <c r="K242" i="1"/>
  <c r="AC242" i="1"/>
  <c r="CQ242" i="1" s="1"/>
  <c r="AE242" i="1"/>
  <c r="AD242" i="1" s="1"/>
  <c r="AF242" i="1"/>
  <c r="CT242" i="1" s="1"/>
  <c r="AG242" i="1"/>
  <c r="CU242" i="1" s="1"/>
  <c r="T242" i="1" s="1"/>
  <c r="AH242" i="1"/>
  <c r="CV242" i="1" s="1"/>
  <c r="U242" i="1" s="1"/>
  <c r="AI242" i="1"/>
  <c r="CW242" i="1" s="1"/>
  <c r="AJ242" i="1"/>
  <c r="CX242" i="1" s="1"/>
  <c r="CR242" i="1"/>
  <c r="Q242" i="1" s="1"/>
  <c r="CS242" i="1"/>
  <c r="R242" i="1" s="1"/>
  <c r="GK242" i="1" s="1"/>
  <c r="FR242" i="1"/>
  <c r="GL242" i="1"/>
  <c r="GN242" i="1"/>
  <c r="GO242" i="1"/>
  <c r="GV242" i="1"/>
  <c r="HC242" i="1" s="1"/>
  <c r="D244" i="1"/>
  <c r="I244" i="1"/>
  <c r="K244" i="1"/>
  <c r="W244" i="1"/>
  <c r="AC244" i="1"/>
  <c r="CQ244" i="1" s="1"/>
  <c r="P244" i="1" s="1"/>
  <c r="AE244" i="1"/>
  <c r="AD244" i="1" s="1"/>
  <c r="AF244" i="1"/>
  <c r="CT244" i="1" s="1"/>
  <c r="S244" i="1" s="1"/>
  <c r="AG244" i="1"/>
  <c r="CU244" i="1" s="1"/>
  <c r="T244" i="1" s="1"/>
  <c r="AH244" i="1"/>
  <c r="CV244" i="1" s="1"/>
  <c r="AI244" i="1"/>
  <c r="AJ244" i="1"/>
  <c r="CX244" i="1" s="1"/>
  <c r="CS244" i="1"/>
  <c r="R244" i="1" s="1"/>
  <c r="GK244" i="1" s="1"/>
  <c r="CW244" i="1"/>
  <c r="V244" i="1" s="1"/>
  <c r="FR244" i="1"/>
  <c r="GL244" i="1"/>
  <c r="GN244" i="1"/>
  <c r="GO244" i="1"/>
  <c r="GV244" i="1"/>
  <c r="HC244" i="1"/>
  <c r="GX244" i="1" s="1"/>
  <c r="D245" i="1"/>
  <c r="I245" i="1"/>
  <c r="K245" i="1"/>
  <c r="W245" i="1"/>
  <c r="AC245" i="1"/>
  <c r="CQ245" i="1" s="1"/>
  <c r="P245" i="1" s="1"/>
  <c r="AE245" i="1"/>
  <c r="AD245" i="1" s="1"/>
  <c r="AF245" i="1"/>
  <c r="AG245" i="1"/>
  <c r="CU245" i="1" s="1"/>
  <c r="T245" i="1" s="1"/>
  <c r="AH245" i="1"/>
  <c r="AI245" i="1"/>
  <c r="AJ245" i="1"/>
  <c r="CT245" i="1"/>
  <c r="S245" i="1" s="1"/>
  <c r="CV245" i="1"/>
  <c r="U245" i="1" s="1"/>
  <c r="CW245" i="1"/>
  <c r="V245" i="1" s="1"/>
  <c r="CX245" i="1"/>
  <c r="FR245" i="1"/>
  <c r="GL245" i="1"/>
  <c r="GN245" i="1"/>
  <c r="GO245" i="1"/>
  <c r="GV245" i="1"/>
  <c r="HC245" i="1"/>
  <c r="D246" i="1"/>
  <c r="I246" i="1"/>
  <c r="K246" i="1"/>
  <c r="AC246" i="1"/>
  <c r="CQ246" i="1" s="1"/>
  <c r="P246" i="1" s="1"/>
  <c r="AE246" i="1"/>
  <c r="AF246" i="1"/>
  <c r="CT246" i="1" s="1"/>
  <c r="AG246" i="1"/>
  <c r="CU246" i="1" s="1"/>
  <c r="AH246" i="1"/>
  <c r="AI246" i="1"/>
  <c r="CW246" i="1" s="1"/>
  <c r="AJ246" i="1"/>
  <c r="CX246" i="1" s="1"/>
  <c r="CV246" i="1"/>
  <c r="FR246" i="1"/>
  <c r="GL246" i="1"/>
  <c r="GN246" i="1"/>
  <c r="GO246" i="1"/>
  <c r="GV246" i="1"/>
  <c r="HC246" i="1"/>
  <c r="D247" i="1"/>
  <c r="I247" i="1"/>
  <c r="K247" i="1"/>
  <c r="AC247" i="1"/>
  <c r="AE247" i="1"/>
  <c r="AF247" i="1"/>
  <c r="CT247" i="1" s="1"/>
  <c r="S247" i="1" s="1"/>
  <c r="AG247" i="1"/>
  <c r="CU247" i="1" s="1"/>
  <c r="T247" i="1" s="1"/>
  <c r="AH247" i="1"/>
  <c r="CV247" i="1" s="1"/>
  <c r="U247" i="1" s="1"/>
  <c r="AI247" i="1"/>
  <c r="CW247" i="1" s="1"/>
  <c r="V247" i="1" s="1"/>
  <c r="AJ247" i="1"/>
  <c r="CX247" i="1" s="1"/>
  <c r="W247" i="1" s="1"/>
  <c r="FR247" i="1"/>
  <c r="GL247" i="1"/>
  <c r="GN247" i="1"/>
  <c r="GO247" i="1"/>
  <c r="GV247" i="1"/>
  <c r="HC247" i="1" s="1"/>
  <c r="GX247" i="1" s="1"/>
  <c r="D249" i="1"/>
  <c r="I249" i="1"/>
  <c r="K249" i="1"/>
  <c r="AC249" i="1"/>
  <c r="CQ249" i="1" s="1"/>
  <c r="P249" i="1" s="1"/>
  <c r="AE249" i="1"/>
  <c r="AF249" i="1"/>
  <c r="CT249" i="1" s="1"/>
  <c r="S249" i="1" s="1"/>
  <c r="AG249" i="1"/>
  <c r="AH249" i="1"/>
  <c r="AI249" i="1"/>
  <c r="AJ249" i="1"/>
  <c r="CX249" i="1" s="1"/>
  <c r="W249" i="1" s="1"/>
  <c r="CU249" i="1"/>
  <c r="CV249" i="1"/>
  <c r="U249" i="1" s="1"/>
  <c r="CW249" i="1"/>
  <c r="V249" i="1" s="1"/>
  <c r="FR249" i="1"/>
  <c r="GL249" i="1"/>
  <c r="GN249" i="1"/>
  <c r="GO249" i="1"/>
  <c r="GV249" i="1"/>
  <c r="HC249" i="1"/>
  <c r="D250" i="1"/>
  <c r="I250" i="1"/>
  <c r="K250" i="1"/>
  <c r="AC250" i="1"/>
  <c r="AE250" i="1"/>
  <c r="AF250" i="1"/>
  <c r="CT250" i="1" s="1"/>
  <c r="AG250" i="1"/>
  <c r="AH250" i="1"/>
  <c r="AI250" i="1"/>
  <c r="CW250" i="1" s="1"/>
  <c r="AJ250" i="1"/>
  <c r="CQ250" i="1"/>
  <c r="CU250" i="1"/>
  <c r="T250" i="1" s="1"/>
  <c r="CV250" i="1"/>
  <c r="U250" i="1" s="1"/>
  <c r="CX250" i="1"/>
  <c r="FR250" i="1"/>
  <c r="GL250" i="1"/>
  <c r="GN250" i="1"/>
  <c r="GO250" i="1"/>
  <c r="GV250" i="1"/>
  <c r="HC250" i="1"/>
  <c r="GX250" i="1" s="1"/>
  <c r="D251" i="1"/>
  <c r="I251" i="1"/>
  <c r="K251" i="1"/>
  <c r="AC251" i="1"/>
  <c r="AE251" i="1"/>
  <c r="AD251" i="1" s="1"/>
  <c r="AF251" i="1"/>
  <c r="CT251" i="1" s="1"/>
  <c r="AG251" i="1"/>
  <c r="AH251" i="1"/>
  <c r="AI251" i="1"/>
  <c r="AJ251" i="1"/>
  <c r="CU251" i="1"/>
  <c r="CV251" i="1"/>
  <c r="CW251" i="1"/>
  <c r="V251" i="1" s="1"/>
  <c r="CX251" i="1"/>
  <c r="W251" i="1" s="1"/>
  <c r="FR251" i="1"/>
  <c r="GL251" i="1"/>
  <c r="GN251" i="1"/>
  <c r="GO251" i="1"/>
  <c r="GV251" i="1"/>
  <c r="HC251" i="1" s="1"/>
  <c r="D252" i="1"/>
  <c r="I252" i="1"/>
  <c r="K252" i="1"/>
  <c r="T252" i="1"/>
  <c r="V252" i="1"/>
  <c r="AC252" i="1"/>
  <c r="AE252" i="1"/>
  <c r="AF252" i="1"/>
  <c r="CT252" i="1" s="1"/>
  <c r="S252" i="1" s="1"/>
  <c r="AG252" i="1"/>
  <c r="CU252" i="1" s="1"/>
  <c r="AH252" i="1"/>
  <c r="AI252" i="1"/>
  <c r="CW252" i="1" s="1"/>
  <c r="AJ252" i="1"/>
  <c r="CQ252" i="1"/>
  <c r="P252" i="1" s="1"/>
  <c r="CV252" i="1"/>
  <c r="U252" i="1" s="1"/>
  <c r="CX252" i="1"/>
  <c r="W252" i="1" s="1"/>
  <c r="FR252" i="1"/>
  <c r="GL252" i="1"/>
  <c r="GN252" i="1"/>
  <c r="GO252" i="1"/>
  <c r="GV252" i="1"/>
  <c r="HC252" i="1" s="1"/>
  <c r="GX252" i="1"/>
  <c r="B254" i="1"/>
  <c r="B208" i="1" s="1"/>
  <c r="C254" i="1"/>
  <c r="C208" i="1" s="1"/>
  <c r="D254" i="1"/>
  <c r="D208" i="1" s="1"/>
  <c r="F254" i="1"/>
  <c r="F208" i="1" s="1"/>
  <c r="G254" i="1"/>
  <c r="BB254" i="1"/>
  <c r="BC254" i="1"/>
  <c r="BC208" i="1" s="1"/>
  <c r="BX254" i="1"/>
  <c r="CK254" i="1"/>
  <c r="CK208" i="1" s="1"/>
  <c r="CL254" i="1"/>
  <c r="CL208" i="1" s="1"/>
  <c r="CM254" i="1"/>
  <c r="CM208" i="1" s="1"/>
  <c r="D284" i="1"/>
  <c r="E286" i="1"/>
  <c r="Z286" i="1"/>
  <c r="AA286" i="1"/>
  <c r="AM286" i="1"/>
  <c r="AN286" i="1"/>
  <c r="BE286" i="1"/>
  <c r="BF286" i="1"/>
  <c r="BG286" i="1"/>
  <c r="BH286" i="1"/>
  <c r="BI286" i="1"/>
  <c r="BJ286" i="1"/>
  <c r="BK286" i="1"/>
  <c r="BL286" i="1"/>
  <c r="BM286" i="1"/>
  <c r="BN286" i="1"/>
  <c r="BO286" i="1"/>
  <c r="BP286" i="1"/>
  <c r="BQ286" i="1"/>
  <c r="BR286" i="1"/>
  <c r="BS286" i="1"/>
  <c r="BT286" i="1"/>
  <c r="BU286" i="1"/>
  <c r="BV286" i="1"/>
  <c r="BW286" i="1"/>
  <c r="CN286" i="1"/>
  <c r="CO286" i="1"/>
  <c r="CP286" i="1"/>
  <c r="CQ286" i="1"/>
  <c r="CR286" i="1"/>
  <c r="CS286" i="1"/>
  <c r="CT286" i="1"/>
  <c r="CU286" i="1"/>
  <c r="CV286" i="1"/>
  <c r="CW286" i="1"/>
  <c r="CX286" i="1"/>
  <c r="CY286" i="1"/>
  <c r="CZ286" i="1"/>
  <c r="DA286" i="1"/>
  <c r="DB286" i="1"/>
  <c r="DC286" i="1"/>
  <c r="DD286" i="1"/>
  <c r="DE286" i="1"/>
  <c r="DF286" i="1"/>
  <c r="DG286" i="1"/>
  <c r="DH286" i="1"/>
  <c r="DI286" i="1"/>
  <c r="DJ286" i="1"/>
  <c r="DK286" i="1"/>
  <c r="DL286" i="1"/>
  <c r="DM286" i="1"/>
  <c r="DN286" i="1"/>
  <c r="DO286" i="1"/>
  <c r="DP286" i="1"/>
  <c r="DQ286" i="1"/>
  <c r="DR286" i="1"/>
  <c r="DS286" i="1"/>
  <c r="DT286" i="1"/>
  <c r="DU286" i="1"/>
  <c r="DV286" i="1"/>
  <c r="DW286" i="1"/>
  <c r="DX286" i="1"/>
  <c r="DY286" i="1"/>
  <c r="DZ286" i="1"/>
  <c r="EA286" i="1"/>
  <c r="EB286" i="1"/>
  <c r="EC286" i="1"/>
  <c r="ED286" i="1"/>
  <c r="EE286" i="1"/>
  <c r="EF286" i="1"/>
  <c r="EG286" i="1"/>
  <c r="EH286" i="1"/>
  <c r="EI286" i="1"/>
  <c r="EJ286" i="1"/>
  <c r="EK286" i="1"/>
  <c r="EL286" i="1"/>
  <c r="EM286" i="1"/>
  <c r="EN286" i="1"/>
  <c r="EO286" i="1"/>
  <c r="EP286" i="1"/>
  <c r="EQ286" i="1"/>
  <c r="ER286" i="1"/>
  <c r="ES286" i="1"/>
  <c r="ET286" i="1"/>
  <c r="EU286" i="1"/>
  <c r="EV286" i="1"/>
  <c r="EW286" i="1"/>
  <c r="EX286" i="1"/>
  <c r="EY286" i="1"/>
  <c r="EZ286" i="1"/>
  <c r="FA286" i="1"/>
  <c r="FB286" i="1"/>
  <c r="FC286" i="1"/>
  <c r="FD286" i="1"/>
  <c r="FE286" i="1"/>
  <c r="FF286" i="1"/>
  <c r="FG286" i="1"/>
  <c r="FH286" i="1"/>
  <c r="FI286" i="1"/>
  <c r="FJ286" i="1"/>
  <c r="FK286" i="1"/>
  <c r="FL286" i="1"/>
  <c r="FM286" i="1"/>
  <c r="FN286" i="1"/>
  <c r="FO286" i="1"/>
  <c r="FP286" i="1"/>
  <c r="FQ286" i="1"/>
  <c r="FR286" i="1"/>
  <c r="FS286" i="1"/>
  <c r="FT286" i="1"/>
  <c r="FU286" i="1"/>
  <c r="FV286" i="1"/>
  <c r="FW286" i="1"/>
  <c r="FX286" i="1"/>
  <c r="FY286" i="1"/>
  <c r="FZ286" i="1"/>
  <c r="GA286" i="1"/>
  <c r="GB286" i="1"/>
  <c r="GC286" i="1"/>
  <c r="GD286" i="1"/>
  <c r="GE286" i="1"/>
  <c r="GF286" i="1"/>
  <c r="GG286" i="1"/>
  <c r="GH286" i="1"/>
  <c r="GI286" i="1"/>
  <c r="GJ286" i="1"/>
  <c r="GK286" i="1"/>
  <c r="GL286" i="1"/>
  <c r="GM286" i="1"/>
  <c r="GN286" i="1"/>
  <c r="GO286" i="1"/>
  <c r="GP286" i="1"/>
  <c r="GQ286" i="1"/>
  <c r="GR286" i="1"/>
  <c r="GS286" i="1"/>
  <c r="GT286" i="1"/>
  <c r="GU286" i="1"/>
  <c r="GV286" i="1"/>
  <c r="GW286" i="1"/>
  <c r="GX286" i="1"/>
  <c r="D289" i="1"/>
  <c r="I289" i="1"/>
  <c r="K289" i="1"/>
  <c r="AC289" i="1"/>
  <c r="AD289" i="1"/>
  <c r="AE289" i="1"/>
  <c r="AF289" i="1"/>
  <c r="AG289" i="1"/>
  <c r="CU289" i="1" s="1"/>
  <c r="T289" i="1" s="1"/>
  <c r="AH289" i="1"/>
  <c r="AI289" i="1"/>
  <c r="CW289" i="1" s="1"/>
  <c r="AJ289" i="1"/>
  <c r="CX289" i="1" s="1"/>
  <c r="CR289" i="1"/>
  <c r="CS289" i="1"/>
  <c r="CV289" i="1"/>
  <c r="U289" i="1" s="1"/>
  <c r="FR289" i="1"/>
  <c r="GL289" i="1"/>
  <c r="GN289" i="1"/>
  <c r="GO289" i="1"/>
  <c r="GV289" i="1"/>
  <c r="HC289" i="1"/>
  <c r="GX289" i="1" s="1"/>
  <c r="D290" i="1"/>
  <c r="I290" i="1"/>
  <c r="K290" i="1"/>
  <c r="AC290" i="1"/>
  <c r="CQ290" i="1" s="1"/>
  <c r="AE290" i="1"/>
  <c r="AF290" i="1"/>
  <c r="AG290" i="1"/>
  <c r="CU290" i="1" s="1"/>
  <c r="AH290" i="1"/>
  <c r="CV290" i="1" s="1"/>
  <c r="AI290" i="1"/>
  <c r="CW290" i="1" s="1"/>
  <c r="AJ290" i="1"/>
  <c r="CX290" i="1"/>
  <c r="FR290" i="1"/>
  <c r="GL290" i="1"/>
  <c r="GN290" i="1"/>
  <c r="GO290" i="1"/>
  <c r="GV290" i="1"/>
  <c r="HC290" i="1"/>
  <c r="D291" i="1"/>
  <c r="I291" i="1"/>
  <c r="K291" i="1"/>
  <c r="AC291" i="1"/>
  <c r="AE291" i="1"/>
  <c r="AF291" i="1"/>
  <c r="AG291" i="1"/>
  <c r="CU291" i="1" s="1"/>
  <c r="T291" i="1" s="1"/>
  <c r="AH291" i="1"/>
  <c r="CV291" i="1" s="1"/>
  <c r="U291" i="1" s="1"/>
  <c r="AI291" i="1"/>
  <c r="CW291" i="1" s="1"/>
  <c r="V291" i="1" s="1"/>
  <c r="AJ291" i="1"/>
  <c r="CX291" i="1" s="1"/>
  <c r="CQ291" i="1"/>
  <c r="CR291" i="1"/>
  <c r="Q291" i="1" s="1"/>
  <c r="FR291" i="1"/>
  <c r="GL291" i="1"/>
  <c r="GN291" i="1"/>
  <c r="GO291" i="1"/>
  <c r="GV291" i="1"/>
  <c r="HC291" i="1" s="1"/>
  <c r="D292" i="1"/>
  <c r="I292" i="1"/>
  <c r="K292" i="1"/>
  <c r="AC292" i="1"/>
  <c r="CQ292" i="1" s="1"/>
  <c r="AE292" i="1"/>
  <c r="AF292" i="1"/>
  <c r="AG292" i="1"/>
  <c r="CU292" i="1" s="1"/>
  <c r="AH292" i="1"/>
  <c r="CV292" i="1" s="1"/>
  <c r="AI292" i="1"/>
  <c r="CW292" i="1" s="1"/>
  <c r="AJ292" i="1"/>
  <c r="CX292" i="1" s="1"/>
  <c r="W292" i="1" s="1"/>
  <c r="FR292" i="1"/>
  <c r="GL292" i="1"/>
  <c r="GN292" i="1"/>
  <c r="GO292" i="1"/>
  <c r="GV292" i="1"/>
  <c r="HC292" i="1" s="1"/>
  <c r="GX292" i="1" s="1"/>
  <c r="D293" i="1"/>
  <c r="I293" i="1"/>
  <c r="K293" i="1"/>
  <c r="W293" i="1"/>
  <c r="AC293" i="1"/>
  <c r="CQ293" i="1" s="1"/>
  <c r="P293" i="1" s="1"/>
  <c r="AD293" i="1"/>
  <c r="AE293" i="1"/>
  <c r="AF293" i="1"/>
  <c r="AG293" i="1"/>
  <c r="AH293" i="1"/>
  <c r="CV293" i="1" s="1"/>
  <c r="U293" i="1" s="1"/>
  <c r="AI293" i="1"/>
  <c r="CW293" i="1" s="1"/>
  <c r="V293" i="1" s="1"/>
  <c r="AJ293" i="1"/>
  <c r="CX293" i="1" s="1"/>
  <c r="CR293" i="1"/>
  <c r="Q293" i="1" s="1"/>
  <c r="CU293" i="1"/>
  <c r="T293" i="1" s="1"/>
  <c r="FR293" i="1"/>
  <c r="GL293" i="1"/>
  <c r="GN293" i="1"/>
  <c r="GO293" i="1"/>
  <c r="GV293" i="1"/>
  <c r="HC293" i="1" s="1"/>
  <c r="GX293" i="1" s="1"/>
  <c r="D294" i="1"/>
  <c r="I294" i="1"/>
  <c r="K294" i="1"/>
  <c r="AC294" i="1"/>
  <c r="CQ294" i="1" s="1"/>
  <c r="AE294" i="1"/>
  <c r="AF294" i="1"/>
  <c r="CT294" i="1" s="1"/>
  <c r="S294" i="1" s="1"/>
  <c r="CY294" i="1" s="1"/>
  <c r="X294" i="1" s="1"/>
  <c r="AG294" i="1"/>
  <c r="CU294" i="1" s="1"/>
  <c r="T294" i="1" s="1"/>
  <c r="AH294" i="1"/>
  <c r="CV294" i="1" s="1"/>
  <c r="U294" i="1" s="1"/>
  <c r="AI294" i="1"/>
  <c r="CW294" i="1" s="1"/>
  <c r="V294" i="1" s="1"/>
  <c r="AJ294" i="1"/>
  <c r="CX294" i="1"/>
  <c r="W294" i="1" s="1"/>
  <c r="FR294" i="1"/>
  <c r="GL294" i="1"/>
  <c r="GN294" i="1"/>
  <c r="GO294" i="1"/>
  <c r="GV294" i="1"/>
  <c r="HC294" i="1" s="1"/>
  <c r="GX294" i="1" s="1"/>
  <c r="D295" i="1"/>
  <c r="I295" i="1"/>
  <c r="K295" i="1"/>
  <c r="AC295" i="1"/>
  <c r="AE295" i="1"/>
  <c r="CR295" i="1" s="1"/>
  <c r="Q295" i="1" s="1"/>
  <c r="AF295" i="1"/>
  <c r="CT295" i="1" s="1"/>
  <c r="S295" i="1" s="1"/>
  <c r="AG295" i="1"/>
  <c r="CU295" i="1" s="1"/>
  <c r="AH295" i="1"/>
  <c r="CV295" i="1" s="1"/>
  <c r="AI295" i="1"/>
  <c r="CW295" i="1" s="1"/>
  <c r="AJ295" i="1"/>
  <c r="CX295" i="1" s="1"/>
  <c r="W295" i="1" s="1"/>
  <c r="CQ295" i="1"/>
  <c r="P295" i="1" s="1"/>
  <c r="FR295" i="1"/>
  <c r="GL295" i="1"/>
  <c r="GN295" i="1"/>
  <c r="GO295" i="1"/>
  <c r="GV295" i="1"/>
  <c r="HC295" i="1" s="1"/>
  <c r="GX295" i="1" s="1"/>
  <c r="B297" i="1"/>
  <c r="B286" i="1" s="1"/>
  <c r="C297" i="1"/>
  <c r="C286" i="1" s="1"/>
  <c r="D297" i="1"/>
  <c r="D286" i="1" s="1"/>
  <c r="F297" i="1"/>
  <c r="F286" i="1" s="1"/>
  <c r="G297" i="1"/>
  <c r="G286" i="1" s="1"/>
  <c r="AO297" i="1"/>
  <c r="BC297" i="1"/>
  <c r="BX297" i="1"/>
  <c r="BX286" i="1" s="1"/>
  <c r="CK297" i="1"/>
  <c r="CK286" i="1" s="1"/>
  <c r="CL297" i="1"/>
  <c r="CL286" i="1" s="1"/>
  <c r="CM297" i="1"/>
  <c r="BD297" i="1" s="1"/>
  <c r="D327" i="1"/>
  <c r="E329" i="1"/>
  <c r="Z329" i="1"/>
  <c r="AA329" i="1"/>
  <c r="AM329" i="1"/>
  <c r="AN329" i="1"/>
  <c r="BE329" i="1"/>
  <c r="BF329" i="1"/>
  <c r="BG329" i="1"/>
  <c r="BH329" i="1"/>
  <c r="BI329" i="1"/>
  <c r="BJ329" i="1"/>
  <c r="BK329" i="1"/>
  <c r="BL329" i="1"/>
  <c r="BM329" i="1"/>
  <c r="BN329" i="1"/>
  <c r="BO329" i="1"/>
  <c r="BP329" i="1"/>
  <c r="BQ329" i="1"/>
  <c r="BR329" i="1"/>
  <c r="BS329" i="1"/>
  <c r="BT329" i="1"/>
  <c r="BU329" i="1"/>
  <c r="BV329" i="1"/>
  <c r="BW329" i="1"/>
  <c r="CN329" i="1"/>
  <c r="CO329" i="1"/>
  <c r="CP329" i="1"/>
  <c r="CQ329" i="1"/>
  <c r="CR329" i="1"/>
  <c r="CS329" i="1"/>
  <c r="CT329" i="1"/>
  <c r="CU329" i="1"/>
  <c r="CV329" i="1"/>
  <c r="CW329" i="1"/>
  <c r="CX329" i="1"/>
  <c r="CY329" i="1"/>
  <c r="CZ329" i="1"/>
  <c r="DA329" i="1"/>
  <c r="DB329" i="1"/>
  <c r="DC329" i="1"/>
  <c r="DD329" i="1"/>
  <c r="DE329" i="1"/>
  <c r="DF329" i="1"/>
  <c r="DG329" i="1"/>
  <c r="DH329" i="1"/>
  <c r="DI329" i="1"/>
  <c r="DJ329" i="1"/>
  <c r="DK329" i="1"/>
  <c r="DL329" i="1"/>
  <c r="DM329" i="1"/>
  <c r="DN329" i="1"/>
  <c r="DO329" i="1"/>
  <c r="DP329" i="1"/>
  <c r="DQ329" i="1"/>
  <c r="DR329" i="1"/>
  <c r="DS329" i="1"/>
  <c r="DT329" i="1"/>
  <c r="DU329" i="1"/>
  <c r="DV329" i="1"/>
  <c r="DW329" i="1"/>
  <c r="DX329" i="1"/>
  <c r="DY329" i="1"/>
  <c r="DZ329" i="1"/>
  <c r="EA329" i="1"/>
  <c r="EB329" i="1"/>
  <c r="EC329" i="1"/>
  <c r="ED329" i="1"/>
  <c r="EE329" i="1"/>
  <c r="EF329" i="1"/>
  <c r="EG329" i="1"/>
  <c r="EH329" i="1"/>
  <c r="EI329" i="1"/>
  <c r="EJ329" i="1"/>
  <c r="EK329" i="1"/>
  <c r="EL329" i="1"/>
  <c r="EM329" i="1"/>
  <c r="EN329" i="1"/>
  <c r="EO329" i="1"/>
  <c r="EP329" i="1"/>
  <c r="EQ329" i="1"/>
  <c r="ER329" i="1"/>
  <c r="ES329" i="1"/>
  <c r="ET329" i="1"/>
  <c r="EU329" i="1"/>
  <c r="EV329" i="1"/>
  <c r="EW329" i="1"/>
  <c r="EX329" i="1"/>
  <c r="EY329" i="1"/>
  <c r="EZ329" i="1"/>
  <c r="FA329" i="1"/>
  <c r="FB329" i="1"/>
  <c r="FC329" i="1"/>
  <c r="FD329" i="1"/>
  <c r="FE329" i="1"/>
  <c r="FF329" i="1"/>
  <c r="FG329" i="1"/>
  <c r="FH329" i="1"/>
  <c r="FI329" i="1"/>
  <c r="FJ329" i="1"/>
  <c r="FK329" i="1"/>
  <c r="FL329" i="1"/>
  <c r="FM329" i="1"/>
  <c r="FN329" i="1"/>
  <c r="FO329" i="1"/>
  <c r="FP329" i="1"/>
  <c r="FQ329" i="1"/>
  <c r="FR329" i="1"/>
  <c r="FS329" i="1"/>
  <c r="FT329" i="1"/>
  <c r="FU329" i="1"/>
  <c r="FV329" i="1"/>
  <c r="FW329" i="1"/>
  <c r="FX329" i="1"/>
  <c r="FY329" i="1"/>
  <c r="FZ329" i="1"/>
  <c r="GA329" i="1"/>
  <c r="GB329" i="1"/>
  <c r="GC329" i="1"/>
  <c r="GD329" i="1"/>
  <c r="GE329" i="1"/>
  <c r="GF329" i="1"/>
  <c r="GG329" i="1"/>
  <c r="GH329" i="1"/>
  <c r="GI329" i="1"/>
  <c r="GJ329" i="1"/>
  <c r="GK329" i="1"/>
  <c r="GL329" i="1"/>
  <c r="GM329" i="1"/>
  <c r="GN329" i="1"/>
  <c r="GO329" i="1"/>
  <c r="GP329" i="1"/>
  <c r="GQ329" i="1"/>
  <c r="GR329" i="1"/>
  <c r="GS329" i="1"/>
  <c r="GT329" i="1"/>
  <c r="GU329" i="1"/>
  <c r="GV329" i="1"/>
  <c r="GW329" i="1"/>
  <c r="GX329" i="1"/>
  <c r="D332" i="1"/>
  <c r="I332" i="1"/>
  <c r="K332" i="1"/>
  <c r="AC332" i="1"/>
  <c r="AE332" i="1"/>
  <c r="AF332" i="1"/>
  <c r="AG332" i="1"/>
  <c r="CU332" i="1" s="1"/>
  <c r="AH332" i="1"/>
  <c r="CV332" i="1" s="1"/>
  <c r="AI332" i="1"/>
  <c r="CW332" i="1" s="1"/>
  <c r="V332" i="1" s="1"/>
  <c r="AJ332" i="1"/>
  <c r="CX332" i="1" s="1"/>
  <c r="W332" i="1" s="1"/>
  <c r="CR332" i="1"/>
  <c r="Q332" i="1" s="1"/>
  <c r="CS332" i="1"/>
  <c r="R332" i="1" s="1"/>
  <c r="FR332" i="1"/>
  <c r="GL332" i="1"/>
  <c r="GN332" i="1"/>
  <c r="GO332" i="1"/>
  <c r="GV332" i="1"/>
  <c r="HC332" i="1" s="1"/>
  <c r="GX332" i="1" s="1"/>
  <c r="D333" i="1"/>
  <c r="I333" i="1"/>
  <c r="K333" i="1"/>
  <c r="AC333" i="1"/>
  <c r="AE333" i="1"/>
  <c r="AF333" i="1"/>
  <c r="AG333" i="1"/>
  <c r="CU333" i="1" s="1"/>
  <c r="T333" i="1" s="1"/>
  <c r="AH333" i="1"/>
  <c r="CV333" i="1" s="1"/>
  <c r="U333" i="1" s="1"/>
  <c r="AI333" i="1"/>
  <c r="AJ333" i="1"/>
  <c r="CX333" i="1" s="1"/>
  <c r="CQ333" i="1"/>
  <c r="P333" i="1" s="1"/>
  <c r="CT333" i="1"/>
  <c r="S333" i="1" s="1"/>
  <c r="CW333" i="1"/>
  <c r="V333" i="1" s="1"/>
  <c r="FR333" i="1"/>
  <c r="GL333" i="1"/>
  <c r="GN333" i="1"/>
  <c r="GO333" i="1"/>
  <c r="GV333" i="1"/>
  <c r="HC333" i="1" s="1"/>
  <c r="D334" i="1"/>
  <c r="I334" i="1"/>
  <c r="K334" i="1"/>
  <c r="AC334" i="1"/>
  <c r="CQ334" i="1" s="1"/>
  <c r="AE334" i="1"/>
  <c r="CS334" i="1" s="1"/>
  <c r="AF334" i="1"/>
  <c r="AG334" i="1"/>
  <c r="AH334" i="1"/>
  <c r="CV334" i="1" s="1"/>
  <c r="AI334" i="1"/>
  <c r="CW334" i="1" s="1"/>
  <c r="AJ334" i="1"/>
  <c r="CT334" i="1"/>
  <c r="CU334" i="1"/>
  <c r="CX334" i="1"/>
  <c r="FR334" i="1"/>
  <c r="GL334" i="1"/>
  <c r="GN334" i="1"/>
  <c r="GO334" i="1"/>
  <c r="GV334" i="1"/>
  <c r="HC334" i="1" s="1"/>
  <c r="D335" i="1"/>
  <c r="I335" i="1"/>
  <c r="K335" i="1"/>
  <c r="AC335" i="1"/>
  <c r="CQ335" i="1" s="1"/>
  <c r="P335" i="1" s="1"/>
  <c r="AE335" i="1"/>
  <c r="AF335" i="1"/>
  <c r="AG335" i="1"/>
  <c r="CU335" i="1" s="1"/>
  <c r="AH335" i="1"/>
  <c r="CV335" i="1" s="1"/>
  <c r="AI335" i="1"/>
  <c r="CW335" i="1" s="1"/>
  <c r="AJ335" i="1"/>
  <c r="CX335" i="1" s="1"/>
  <c r="FR335" i="1"/>
  <c r="GL335" i="1"/>
  <c r="GN335" i="1"/>
  <c r="GO335" i="1"/>
  <c r="GV335" i="1"/>
  <c r="HC335" i="1" s="1"/>
  <c r="D336" i="1"/>
  <c r="I336" i="1"/>
  <c r="K336" i="1"/>
  <c r="V336" i="1"/>
  <c r="AC336" i="1"/>
  <c r="AD336" i="1"/>
  <c r="AE336" i="1"/>
  <c r="AF336" i="1"/>
  <c r="CT336" i="1" s="1"/>
  <c r="S336" i="1" s="1"/>
  <c r="AG336" i="1"/>
  <c r="AH336" i="1"/>
  <c r="AI336" i="1"/>
  <c r="CW336" i="1" s="1"/>
  <c r="AJ336" i="1"/>
  <c r="CX336" i="1" s="1"/>
  <c r="W336" i="1" s="1"/>
  <c r="CR336" i="1"/>
  <c r="Q336" i="1" s="1"/>
  <c r="CS336" i="1"/>
  <c r="CU336" i="1"/>
  <c r="CV336" i="1"/>
  <c r="U336" i="1" s="1"/>
  <c r="FR336" i="1"/>
  <c r="GL336" i="1"/>
  <c r="GN336" i="1"/>
  <c r="GO336" i="1"/>
  <c r="GV336" i="1"/>
  <c r="HC336" i="1"/>
  <c r="GX336" i="1" s="1"/>
  <c r="D337" i="1"/>
  <c r="I337" i="1"/>
  <c r="K337" i="1"/>
  <c r="AC337" i="1"/>
  <c r="CQ337" i="1" s="1"/>
  <c r="AD337" i="1"/>
  <c r="AE337" i="1"/>
  <c r="CR337" i="1" s="1"/>
  <c r="AF337" i="1"/>
  <c r="AG337" i="1"/>
  <c r="AH337" i="1"/>
  <c r="CV337" i="1" s="1"/>
  <c r="U337" i="1" s="1"/>
  <c r="AI337" i="1"/>
  <c r="CW337" i="1" s="1"/>
  <c r="V337" i="1" s="1"/>
  <c r="AJ337" i="1"/>
  <c r="CT337" i="1"/>
  <c r="S337" i="1" s="1"/>
  <c r="CY337" i="1" s="1"/>
  <c r="X337" i="1" s="1"/>
  <c r="CU337" i="1"/>
  <c r="CX337" i="1"/>
  <c r="W337" i="1" s="1"/>
  <c r="FR337" i="1"/>
  <c r="GL337" i="1"/>
  <c r="GN337" i="1"/>
  <c r="GO337" i="1"/>
  <c r="GV337" i="1"/>
  <c r="HC337" i="1"/>
  <c r="D338" i="1"/>
  <c r="I338" i="1"/>
  <c r="K338" i="1"/>
  <c r="AC338" i="1"/>
  <c r="CQ338" i="1" s="1"/>
  <c r="P338" i="1" s="1"/>
  <c r="AD338" i="1"/>
  <c r="AE338" i="1"/>
  <c r="AF338" i="1"/>
  <c r="AG338" i="1"/>
  <c r="CU338" i="1" s="1"/>
  <c r="T338" i="1" s="1"/>
  <c r="AH338" i="1"/>
  <c r="CV338" i="1" s="1"/>
  <c r="AI338" i="1"/>
  <c r="CW338" i="1" s="1"/>
  <c r="AJ338" i="1"/>
  <c r="CX338" i="1" s="1"/>
  <c r="W338" i="1" s="1"/>
  <c r="CS338" i="1"/>
  <c r="FR338" i="1"/>
  <c r="GL338" i="1"/>
  <c r="GN338" i="1"/>
  <c r="GO338" i="1"/>
  <c r="GV338" i="1"/>
  <c r="HC338" i="1"/>
  <c r="D339" i="1"/>
  <c r="I339" i="1"/>
  <c r="K339" i="1"/>
  <c r="AC339" i="1"/>
  <c r="AE339" i="1"/>
  <c r="AD339" i="1" s="1"/>
  <c r="AB339" i="1" s="1"/>
  <c r="AF339" i="1"/>
  <c r="AG339" i="1"/>
  <c r="CU339" i="1" s="1"/>
  <c r="T339" i="1" s="1"/>
  <c r="AH339" i="1"/>
  <c r="CV339" i="1" s="1"/>
  <c r="U339" i="1" s="1"/>
  <c r="AI339" i="1"/>
  <c r="AJ339" i="1"/>
  <c r="CX339" i="1" s="1"/>
  <c r="W339" i="1" s="1"/>
  <c r="CQ339" i="1"/>
  <c r="P339" i="1" s="1"/>
  <c r="CR339" i="1"/>
  <c r="CS339" i="1"/>
  <c r="R339" i="1" s="1"/>
  <c r="GK339" i="1" s="1"/>
  <c r="CT339" i="1"/>
  <c r="S339" i="1" s="1"/>
  <c r="CW339" i="1"/>
  <c r="FR339" i="1"/>
  <c r="GL339" i="1"/>
  <c r="GN339" i="1"/>
  <c r="GO339" i="1"/>
  <c r="GV339" i="1"/>
  <c r="HC339" i="1"/>
  <c r="GX339" i="1" s="1"/>
  <c r="D340" i="1"/>
  <c r="I340" i="1"/>
  <c r="K340" i="1"/>
  <c r="P340" i="1"/>
  <c r="AC340" i="1"/>
  <c r="CQ340" i="1" s="1"/>
  <c r="AD340" i="1"/>
  <c r="AE340" i="1"/>
  <c r="AF340" i="1"/>
  <c r="AG340" i="1"/>
  <c r="CU340" i="1" s="1"/>
  <c r="T340" i="1" s="1"/>
  <c r="AH340" i="1"/>
  <c r="AI340" i="1"/>
  <c r="CW340" i="1" s="1"/>
  <c r="V340" i="1" s="1"/>
  <c r="AJ340" i="1"/>
  <c r="CX340" i="1" s="1"/>
  <c r="W340" i="1" s="1"/>
  <c r="CR340" i="1"/>
  <c r="Q340" i="1" s="1"/>
  <c r="CS340" i="1"/>
  <c r="CT340" i="1"/>
  <c r="S340" i="1" s="1"/>
  <c r="CV340" i="1"/>
  <c r="U340" i="1" s="1"/>
  <c r="FR340" i="1"/>
  <c r="GL340" i="1"/>
  <c r="GN340" i="1"/>
  <c r="GO340" i="1"/>
  <c r="GV340" i="1"/>
  <c r="HC340" i="1" s="1"/>
  <c r="GX340" i="1" s="1"/>
  <c r="D341" i="1"/>
  <c r="I341" i="1"/>
  <c r="K341" i="1"/>
  <c r="AC341" i="1"/>
  <c r="AE341" i="1"/>
  <c r="AF341" i="1"/>
  <c r="AG341" i="1"/>
  <c r="CU341" i="1" s="1"/>
  <c r="AH341" i="1"/>
  <c r="CV341" i="1" s="1"/>
  <c r="AI341" i="1"/>
  <c r="AJ341" i="1"/>
  <c r="CX341" i="1" s="1"/>
  <c r="CQ341" i="1"/>
  <c r="P341" i="1" s="1"/>
  <c r="CW341" i="1"/>
  <c r="FR341" i="1"/>
  <c r="GL341" i="1"/>
  <c r="GN341" i="1"/>
  <c r="GO341" i="1"/>
  <c r="GV341" i="1"/>
  <c r="HC341" i="1"/>
  <c r="GX341" i="1" s="1"/>
  <c r="D342" i="1"/>
  <c r="I342" i="1"/>
  <c r="K342" i="1"/>
  <c r="AC342" i="1"/>
  <c r="CQ342" i="1" s="1"/>
  <c r="AD342" i="1"/>
  <c r="AE342" i="1"/>
  <c r="CR342" i="1" s="1"/>
  <c r="Q342" i="1" s="1"/>
  <c r="AF342" i="1"/>
  <c r="CT342" i="1" s="1"/>
  <c r="S342" i="1" s="1"/>
  <c r="AG342" i="1"/>
  <c r="AH342" i="1"/>
  <c r="AI342" i="1"/>
  <c r="CW342" i="1" s="1"/>
  <c r="V342" i="1" s="1"/>
  <c r="AJ342" i="1"/>
  <c r="CX342" i="1" s="1"/>
  <c r="W342" i="1" s="1"/>
  <c r="CS342" i="1"/>
  <c r="CU342" i="1"/>
  <c r="T342" i="1" s="1"/>
  <c r="CV342" i="1"/>
  <c r="FR342" i="1"/>
  <c r="GL342" i="1"/>
  <c r="GN342" i="1"/>
  <c r="GO342" i="1"/>
  <c r="GV342" i="1"/>
  <c r="HC342" i="1" s="1"/>
  <c r="GX342" i="1" s="1"/>
  <c r="D343" i="1"/>
  <c r="I343" i="1"/>
  <c r="K343" i="1"/>
  <c r="AC343" i="1"/>
  <c r="CQ343" i="1" s="1"/>
  <c r="AE343" i="1"/>
  <c r="CR343" i="1" s="1"/>
  <c r="Q343" i="1" s="1"/>
  <c r="AF343" i="1"/>
  <c r="CT343" i="1" s="1"/>
  <c r="AG343" i="1"/>
  <c r="CU343" i="1" s="1"/>
  <c r="T343" i="1" s="1"/>
  <c r="AH343" i="1"/>
  <c r="CV343" i="1" s="1"/>
  <c r="U343" i="1" s="1"/>
  <c r="AI343" i="1"/>
  <c r="CW343" i="1" s="1"/>
  <c r="V343" i="1" s="1"/>
  <c r="AJ343" i="1"/>
  <c r="CS343" i="1"/>
  <c r="R343" i="1" s="1"/>
  <c r="GK343" i="1" s="1"/>
  <c r="CX343" i="1"/>
  <c r="W343" i="1" s="1"/>
  <c r="FR343" i="1"/>
  <c r="GL343" i="1"/>
  <c r="GN343" i="1"/>
  <c r="GO343" i="1"/>
  <c r="GV343" i="1"/>
  <c r="HC343" i="1"/>
  <c r="GX343" i="1" s="1"/>
  <c r="D344" i="1"/>
  <c r="I344" i="1"/>
  <c r="K344" i="1"/>
  <c r="AC344" i="1"/>
  <c r="AE344" i="1"/>
  <c r="AF344" i="1"/>
  <c r="CT344" i="1" s="1"/>
  <c r="S344" i="1" s="1"/>
  <c r="AG344" i="1"/>
  <c r="CU344" i="1" s="1"/>
  <c r="T344" i="1" s="1"/>
  <c r="AH344" i="1"/>
  <c r="CV344" i="1" s="1"/>
  <c r="U344" i="1" s="1"/>
  <c r="AI344" i="1"/>
  <c r="CW344" i="1" s="1"/>
  <c r="AJ344" i="1"/>
  <c r="CX344" i="1" s="1"/>
  <c r="CQ344" i="1"/>
  <c r="P344" i="1" s="1"/>
  <c r="FR344" i="1"/>
  <c r="GL344" i="1"/>
  <c r="GN344" i="1"/>
  <c r="GO344" i="1"/>
  <c r="GV344" i="1"/>
  <c r="HC344" i="1" s="1"/>
  <c r="GX344" i="1" s="1"/>
  <c r="D345" i="1"/>
  <c r="I345" i="1"/>
  <c r="K345" i="1"/>
  <c r="W345" i="1"/>
  <c r="AC345" i="1"/>
  <c r="AE345" i="1"/>
  <c r="AD345" i="1" s="1"/>
  <c r="AF345" i="1"/>
  <c r="CT345" i="1" s="1"/>
  <c r="AG345" i="1"/>
  <c r="CU345" i="1" s="1"/>
  <c r="AH345" i="1"/>
  <c r="CV345" i="1" s="1"/>
  <c r="AI345" i="1"/>
  <c r="CW345" i="1" s="1"/>
  <c r="V345" i="1" s="1"/>
  <c r="AJ345" i="1"/>
  <c r="CX345" i="1" s="1"/>
  <c r="CQ345" i="1"/>
  <c r="P345" i="1" s="1"/>
  <c r="FR345" i="1"/>
  <c r="GL345" i="1"/>
  <c r="GN345" i="1"/>
  <c r="GO345" i="1"/>
  <c r="GV345" i="1"/>
  <c r="HC345" i="1"/>
  <c r="D347" i="1"/>
  <c r="I347" i="1"/>
  <c r="K347" i="1"/>
  <c r="AC347" i="1"/>
  <c r="CQ347" i="1" s="1"/>
  <c r="P347" i="1" s="1"/>
  <c r="AE347" i="1"/>
  <c r="AF347" i="1"/>
  <c r="CT347" i="1" s="1"/>
  <c r="S347" i="1" s="1"/>
  <c r="AG347" i="1"/>
  <c r="CU347" i="1" s="1"/>
  <c r="T347" i="1" s="1"/>
  <c r="AH347" i="1"/>
  <c r="CV347" i="1" s="1"/>
  <c r="AI347" i="1"/>
  <c r="AJ347" i="1"/>
  <c r="CX347" i="1" s="1"/>
  <c r="W347" i="1" s="1"/>
  <c r="CR347" i="1"/>
  <c r="Q347" i="1" s="1"/>
  <c r="CS347" i="1"/>
  <c r="CW347" i="1"/>
  <c r="V347" i="1" s="1"/>
  <c r="FR347" i="1"/>
  <c r="GL347" i="1"/>
  <c r="GN347" i="1"/>
  <c r="GO347" i="1"/>
  <c r="GV347" i="1"/>
  <c r="HC347" i="1" s="1"/>
  <c r="D348" i="1"/>
  <c r="AC348" i="1"/>
  <c r="AE348" i="1"/>
  <c r="AF348" i="1"/>
  <c r="AG348" i="1"/>
  <c r="CU348" i="1" s="1"/>
  <c r="T348" i="1" s="1"/>
  <c r="AH348" i="1"/>
  <c r="CV348" i="1" s="1"/>
  <c r="U348" i="1" s="1"/>
  <c r="AI348" i="1"/>
  <c r="CW348" i="1" s="1"/>
  <c r="V348" i="1" s="1"/>
  <c r="AJ348" i="1"/>
  <c r="CX348" i="1" s="1"/>
  <c r="W348" i="1" s="1"/>
  <c r="FR348" i="1"/>
  <c r="GL348" i="1"/>
  <c r="GN348" i="1"/>
  <c r="GO348" i="1"/>
  <c r="GV348" i="1"/>
  <c r="HC348" i="1"/>
  <c r="GX348" i="1" s="1"/>
  <c r="D349" i="1"/>
  <c r="I349" i="1"/>
  <c r="K349" i="1"/>
  <c r="AC349" i="1"/>
  <c r="AE349" i="1"/>
  <c r="AF349" i="1"/>
  <c r="AG349" i="1"/>
  <c r="CU349" i="1" s="1"/>
  <c r="T349" i="1" s="1"/>
  <c r="AH349" i="1"/>
  <c r="CV349" i="1" s="1"/>
  <c r="U349" i="1" s="1"/>
  <c r="AI349" i="1"/>
  <c r="AJ349" i="1"/>
  <c r="CX349" i="1" s="1"/>
  <c r="W349" i="1" s="1"/>
  <c r="CQ349" i="1"/>
  <c r="P349" i="1" s="1"/>
  <c r="CW349" i="1"/>
  <c r="V349" i="1" s="1"/>
  <c r="FR349" i="1"/>
  <c r="GL349" i="1"/>
  <c r="GN349" i="1"/>
  <c r="GO349" i="1"/>
  <c r="GV349" i="1"/>
  <c r="HC349" i="1" s="1"/>
  <c r="GX349" i="1" s="1"/>
  <c r="D350" i="1"/>
  <c r="I350" i="1"/>
  <c r="K350" i="1"/>
  <c r="AC350" i="1"/>
  <c r="AE350" i="1"/>
  <c r="AF350" i="1"/>
  <c r="AG350" i="1"/>
  <c r="CU350" i="1" s="1"/>
  <c r="T350" i="1" s="1"/>
  <c r="AH350" i="1"/>
  <c r="CV350" i="1" s="1"/>
  <c r="U350" i="1" s="1"/>
  <c r="AI350" i="1"/>
  <c r="CW350" i="1" s="1"/>
  <c r="V350" i="1" s="1"/>
  <c r="AJ350" i="1"/>
  <c r="CX350" i="1" s="1"/>
  <c r="W350" i="1" s="1"/>
  <c r="CQ350" i="1"/>
  <c r="P350" i="1" s="1"/>
  <c r="FR350" i="1"/>
  <c r="GL350" i="1"/>
  <c r="GN350" i="1"/>
  <c r="GO350" i="1"/>
  <c r="GV350" i="1"/>
  <c r="HC350" i="1" s="1"/>
  <c r="GX350" i="1" s="1"/>
  <c r="D351" i="1"/>
  <c r="I351" i="1"/>
  <c r="K351" i="1"/>
  <c r="AC351" i="1"/>
  <c r="CQ351" i="1" s="1"/>
  <c r="AE351" i="1"/>
  <c r="AF351" i="1"/>
  <c r="AG351" i="1"/>
  <c r="CU351" i="1" s="1"/>
  <c r="AH351" i="1"/>
  <c r="AI351" i="1"/>
  <c r="CW351" i="1" s="1"/>
  <c r="AJ351" i="1"/>
  <c r="CX351" i="1" s="1"/>
  <c r="CV351" i="1"/>
  <c r="FR351" i="1"/>
  <c r="GL351" i="1"/>
  <c r="GN351" i="1"/>
  <c r="GO351" i="1"/>
  <c r="GV351" i="1"/>
  <c r="HC351" i="1" s="1"/>
  <c r="D352" i="1"/>
  <c r="I352" i="1"/>
  <c r="K352" i="1"/>
  <c r="P352" i="1"/>
  <c r="V352" i="1"/>
  <c r="AC352" i="1"/>
  <c r="CQ352" i="1" s="1"/>
  <c r="AE352" i="1"/>
  <c r="AF352" i="1"/>
  <c r="AG352" i="1"/>
  <c r="AH352" i="1"/>
  <c r="CV352" i="1" s="1"/>
  <c r="U352" i="1" s="1"/>
  <c r="AI352" i="1"/>
  <c r="CW352" i="1" s="1"/>
  <c r="AJ352" i="1"/>
  <c r="CS352" i="1"/>
  <c r="CU352" i="1"/>
  <c r="T352" i="1" s="1"/>
  <c r="CX352" i="1"/>
  <c r="W352" i="1" s="1"/>
  <c r="FR352" i="1"/>
  <c r="GL352" i="1"/>
  <c r="GN352" i="1"/>
  <c r="GO352" i="1"/>
  <c r="GV352" i="1"/>
  <c r="HC352" i="1"/>
  <c r="GX352" i="1" s="1"/>
  <c r="D353" i="1"/>
  <c r="I353" i="1"/>
  <c r="K353" i="1"/>
  <c r="AC353" i="1"/>
  <c r="AE353" i="1"/>
  <c r="AF353" i="1"/>
  <c r="AG353" i="1"/>
  <c r="CU353" i="1" s="1"/>
  <c r="AH353" i="1"/>
  <c r="CV353" i="1" s="1"/>
  <c r="AI353" i="1"/>
  <c r="CW353" i="1" s="1"/>
  <c r="AJ353" i="1"/>
  <c r="CX353" i="1" s="1"/>
  <c r="CQ353" i="1"/>
  <c r="P353" i="1" s="1"/>
  <c r="FR353" i="1"/>
  <c r="GL353" i="1"/>
  <c r="GN353" i="1"/>
  <c r="GO353" i="1"/>
  <c r="GV353" i="1"/>
  <c r="HC353" i="1" s="1"/>
  <c r="GX353" i="1" s="1"/>
  <c r="D354" i="1"/>
  <c r="AC354" i="1"/>
  <c r="CQ354" i="1" s="1"/>
  <c r="P354" i="1" s="1"/>
  <c r="AE354" i="1"/>
  <c r="CR354" i="1" s="1"/>
  <c r="Q354" i="1" s="1"/>
  <c r="AF354" i="1"/>
  <c r="AG354" i="1"/>
  <c r="CU354" i="1" s="1"/>
  <c r="T354" i="1" s="1"/>
  <c r="AH354" i="1"/>
  <c r="CV354" i="1" s="1"/>
  <c r="U354" i="1" s="1"/>
  <c r="AI354" i="1"/>
  <c r="AJ354" i="1"/>
  <c r="CS354" i="1"/>
  <c r="R354" i="1" s="1"/>
  <c r="GK354" i="1" s="1"/>
  <c r="CT354" i="1"/>
  <c r="S354" i="1" s="1"/>
  <c r="CY354" i="1" s="1"/>
  <c r="X354" i="1" s="1"/>
  <c r="CW354" i="1"/>
  <c r="V354" i="1" s="1"/>
  <c r="CX354" i="1"/>
  <c r="W354" i="1" s="1"/>
  <c r="FR354" i="1"/>
  <c r="GL354" i="1"/>
  <c r="GN354" i="1"/>
  <c r="GO354" i="1"/>
  <c r="GV354" i="1"/>
  <c r="HC354" i="1" s="1"/>
  <c r="GX354" i="1" s="1"/>
  <c r="D355" i="1"/>
  <c r="I355" i="1"/>
  <c r="K355" i="1"/>
  <c r="AC355" i="1"/>
  <c r="CQ355" i="1" s="1"/>
  <c r="P355" i="1" s="1"/>
  <c r="AE355" i="1"/>
  <c r="CS355" i="1" s="1"/>
  <c r="AF355" i="1"/>
  <c r="AG355" i="1"/>
  <c r="CU355" i="1" s="1"/>
  <c r="AH355" i="1"/>
  <c r="CV355" i="1" s="1"/>
  <c r="AI355" i="1"/>
  <c r="CW355" i="1" s="1"/>
  <c r="AJ355" i="1"/>
  <c r="CX355" i="1" s="1"/>
  <c r="CT355" i="1"/>
  <c r="FR355" i="1"/>
  <c r="GL355" i="1"/>
  <c r="GN355" i="1"/>
  <c r="GO355" i="1"/>
  <c r="GV355" i="1"/>
  <c r="HC355" i="1" s="1"/>
  <c r="GX355" i="1" s="1"/>
  <c r="D356" i="1"/>
  <c r="P356" i="1"/>
  <c r="AC356" i="1"/>
  <c r="CQ356" i="1" s="1"/>
  <c r="AE356" i="1"/>
  <c r="AF356" i="1"/>
  <c r="AG356" i="1"/>
  <c r="CU356" i="1" s="1"/>
  <c r="T356" i="1" s="1"/>
  <c r="AH356" i="1"/>
  <c r="CV356" i="1" s="1"/>
  <c r="U356" i="1" s="1"/>
  <c r="AI356" i="1"/>
  <c r="CW356" i="1" s="1"/>
  <c r="V356" i="1" s="1"/>
  <c r="AJ356" i="1"/>
  <c r="CX356" i="1"/>
  <c r="W356" i="1" s="1"/>
  <c r="FR356" i="1"/>
  <c r="GL356" i="1"/>
  <c r="GN356" i="1"/>
  <c r="GO356" i="1"/>
  <c r="GV356" i="1"/>
  <c r="HC356" i="1" s="1"/>
  <c r="GX356" i="1" s="1"/>
  <c r="D357" i="1"/>
  <c r="I357" i="1"/>
  <c r="K357" i="1"/>
  <c r="AC357" i="1"/>
  <c r="AE357" i="1"/>
  <c r="AD357" i="1" s="1"/>
  <c r="AF357" i="1"/>
  <c r="CT357" i="1" s="1"/>
  <c r="S357" i="1" s="1"/>
  <c r="AG357" i="1"/>
  <c r="AH357" i="1"/>
  <c r="CV357" i="1" s="1"/>
  <c r="U357" i="1" s="1"/>
  <c r="AI357" i="1"/>
  <c r="CW357" i="1" s="1"/>
  <c r="V357" i="1" s="1"/>
  <c r="AJ357" i="1"/>
  <c r="CX357" i="1" s="1"/>
  <c r="W357" i="1" s="1"/>
  <c r="CQ357" i="1"/>
  <c r="P357" i="1" s="1"/>
  <c r="CU357" i="1"/>
  <c r="T357" i="1" s="1"/>
  <c r="FR357" i="1"/>
  <c r="GL357" i="1"/>
  <c r="GN357" i="1"/>
  <c r="GO357" i="1"/>
  <c r="GV357" i="1"/>
  <c r="HC357" i="1"/>
  <c r="GX357" i="1" s="1"/>
  <c r="D358" i="1"/>
  <c r="I358" i="1"/>
  <c r="K358" i="1"/>
  <c r="AC358" i="1"/>
  <c r="CQ358" i="1" s="1"/>
  <c r="AE358" i="1"/>
  <c r="AF358" i="1"/>
  <c r="AG358" i="1"/>
  <c r="CU358" i="1" s="1"/>
  <c r="AH358" i="1"/>
  <c r="AI358" i="1"/>
  <c r="CW358" i="1" s="1"/>
  <c r="V358" i="1" s="1"/>
  <c r="AJ358" i="1"/>
  <c r="CV358" i="1"/>
  <c r="CX358" i="1"/>
  <c r="W358" i="1" s="1"/>
  <c r="FR358" i="1"/>
  <c r="GL358" i="1"/>
  <c r="GN358" i="1"/>
  <c r="GO358" i="1"/>
  <c r="GV358" i="1"/>
  <c r="HC358" i="1" s="1"/>
  <c r="D359" i="1"/>
  <c r="I359" i="1"/>
  <c r="K359" i="1"/>
  <c r="AC359" i="1"/>
  <c r="CQ359" i="1" s="1"/>
  <c r="P359" i="1" s="1"/>
  <c r="AE359" i="1"/>
  <c r="AF359" i="1"/>
  <c r="AG359" i="1"/>
  <c r="CU359" i="1" s="1"/>
  <c r="T359" i="1" s="1"/>
  <c r="AH359" i="1"/>
  <c r="CV359" i="1" s="1"/>
  <c r="U359" i="1" s="1"/>
  <c r="AI359" i="1"/>
  <c r="AJ359" i="1"/>
  <c r="CX359" i="1" s="1"/>
  <c r="W359" i="1" s="1"/>
  <c r="CS359" i="1"/>
  <c r="CW359" i="1"/>
  <c r="FR359" i="1"/>
  <c r="GL359" i="1"/>
  <c r="GN359" i="1"/>
  <c r="GO359" i="1"/>
  <c r="GV359" i="1"/>
  <c r="HC359" i="1" s="1"/>
  <c r="D360" i="1"/>
  <c r="I360" i="1"/>
  <c r="K360" i="1"/>
  <c r="AC360" i="1"/>
  <c r="CQ360" i="1" s="1"/>
  <c r="AD360" i="1"/>
  <c r="AE360" i="1"/>
  <c r="AF360" i="1"/>
  <c r="CT360" i="1" s="1"/>
  <c r="AG360" i="1"/>
  <c r="CU360" i="1" s="1"/>
  <c r="AH360" i="1"/>
  <c r="CV360" i="1" s="1"/>
  <c r="AI360" i="1"/>
  <c r="CW360" i="1" s="1"/>
  <c r="AJ360" i="1"/>
  <c r="CX360" i="1"/>
  <c r="FR360" i="1"/>
  <c r="GL360" i="1"/>
  <c r="GN360" i="1"/>
  <c r="GO360" i="1"/>
  <c r="GV360" i="1"/>
  <c r="HC360" i="1" s="1"/>
  <c r="D361" i="1"/>
  <c r="I361" i="1"/>
  <c r="U361" i="1" s="1"/>
  <c r="K361" i="1"/>
  <c r="AC361" i="1"/>
  <c r="AE361" i="1"/>
  <c r="AD361" i="1" s="1"/>
  <c r="AF361" i="1"/>
  <c r="CT361" i="1" s="1"/>
  <c r="S361" i="1" s="1"/>
  <c r="AG361" i="1"/>
  <c r="CU361" i="1" s="1"/>
  <c r="AH361" i="1"/>
  <c r="CV361" i="1" s="1"/>
  <c r="AI361" i="1"/>
  <c r="CW361" i="1" s="1"/>
  <c r="V361" i="1" s="1"/>
  <c r="AJ361" i="1"/>
  <c r="CX361" i="1" s="1"/>
  <c r="W361" i="1" s="1"/>
  <c r="CR361" i="1"/>
  <c r="CS361" i="1"/>
  <c r="FR361" i="1"/>
  <c r="GL361" i="1"/>
  <c r="GN361" i="1"/>
  <c r="GO361" i="1"/>
  <c r="GV361" i="1"/>
  <c r="HC361" i="1" s="1"/>
  <c r="D362" i="1"/>
  <c r="I362" i="1"/>
  <c r="K362" i="1"/>
  <c r="AC362" i="1"/>
  <c r="CQ362" i="1" s="1"/>
  <c r="P362" i="1" s="1"/>
  <c r="AE362" i="1"/>
  <c r="AF362" i="1"/>
  <c r="CT362" i="1" s="1"/>
  <c r="S362" i="1" s="1"/>
  <c r="AG362" i="1"/>
  <c r="CU362" i="1" s="1"/>
  <c r="AH362" i="1"/>
  <c r="AI362" i="1"/>
  <c r="CW362" i="1" s="1"/>
  <c r="AJ362" i="1"/>
  <c r="CX362" i="1" s="1"/>
  <c r="W362" i="1" s="1"/>
  <c r="CV362" i="1"/>
  <c r="U362" i="1" s="1"/>
  <c r="FR362" i="1"/>
  <c r="GL362" i="1"/>
  <c r="GN362" i="1"/>
  <c r="GO362" i="1"/>
  <c r="GV362" i="1"/>
  <c r="HC362" i="1" s="1"/>
  <c r="GX362" i="1" s="1"/>
  <c r="D363" i="1"/>
  <c r="I363" i="1"/>
  <c r="K363" i="1"/>
  <c r="AC363" i="1"/>
  <c r="CQ363" i="1" s="1"/>
  <c r="AE363" i="1"/>
  <c r="CR363" i="1" s="1"/>
  <c r="AF363" i="1"/>
  <c r="CT363" i="1" s="1"/>
  <c r="AG363" i="1"/>
  <c r="CU363" i="1" s="1"/>
  <c r="AH363" i="1"/>
  <c r="CV363" i="1" s="1"/>
  <c r="AI363" i="1"/>
  <c r="CW363" i="1" s="1"/>
  <c r="AJ363" i="1"/>
  <c r="CX363" i="1" s="1"/>
  <c r="FR363" i="1"/>
  <c r="GL363" i="1"/>
  <c r="GN363" i="1"/>
  <c r="GO363" i="1"/>
  <c r="GV363" i="1"/>
  <c r="HC363" i="1"/>
  <c r="D366" i="1"/>
  <c r="I366" i="1"/>
  <c r="K366" i="1"/>
  <c r="AC366" i="1"/>
  <c r="CQ366" i="1" s="1"/>
  <c r="P366" i="1" s="1"/>
  <c r="AD366" i="1"/>
  <c r="AE366" i="1"/>
  <c r="AF366" i="1"/>
  <c r="AG366" i="1"/>
  <c r="CU366" i="1" s="1"/>
  <c r="T366" i="1" s="1"/>
  <c r="AH366" i="1"/>
  <c r="AI366" i="1"/>
  <c r="AJ366" i="1"/>
  <c r="CR366" i="1"/>
  <c r="Q366" i="1" s="1"/>
  <c r="CS366" i="1"/>
  <c r="R366" i="1" s="1"/>
  <c r="GK366" i="1" s="1"/>
  <c r="CT366" i="1"/>
  <c r="S366" i="1" s="1"/>
  <c r="CV366" i="1"/>
  <c r="U366" i="1" s="1"/>
  <c r="CW366" i="1"/>
  <c r="V366" i="1" s="1"/>
  <c r="CX366" i="1"/>
  <c r="W366" i="1" s="1"/>
  <c r="FR366" i="1"/>
  <c r="GL366" i="1"/>
  <c r="GN366" i="1"/>
  <c r="GO366" i="1"/>
  <c r="GV366" i="1"/>
  <c r="HC366" i="1" s="1"/>
  <c r="GX366" i="1" s="1"/>
  <c r="D367" i="1"/>
  <c r="I367" i="1"/>
  <c r="K367" i="1"/>
  <c r="AC367" i="1"/>
  <c r="CQ367" i="1" s="1"/>
  <c r="P367" i="1" s="1"/>
  <c r="AE367" i="1"/>
  <c r="AF367" i="1"/>
  <c r="CT367" i="1" s="1"/>
  <c r="S367" i="1" s="1"/>
  <c r="AG367" i="1"/>
  <c r="CU367" i="1" s="1"/>
  <c r="T367" i="1" s="1"/>
  <c r="AH367" i="1"/>
  <c r="CV367" i="1" s="1"/>
  <c r="AI367" i="1"/>
  <c r="AJ367" i="1"/>
  <c r="CX367" i="1" s="1"/>
  <c r="CW367" i="1"/>
  <c r="FR367" i="1"/>
  <c r="GL367" i="1"/>
  <c r="GN367" i="1"/>
  <c r="GO367" i="1"/>
  <c r="GV367" i="1"/>
  <c r="HC367" i="1" s="1"/>
  <c r="GX367" i="1" s="1"/>
  <c r="D368" i="1"/>
  <c r="I368" i="1"/>
  <c r="K368" i="1"/>
  <c r="AC368" i="1"/>
  <c r="AE368" i="1"/>
  <c r="CR368" i="1" s="1"/>
  <c r="Q368" i="1" s="1"/>
  <c r="AF368" i="1"/>
  <c r="CT368" i="1" s="1"/>
  <c r="S368" i="1" s="1"/>
  <c r="AG368" i="1"/>
  <c r="CU368" i="1" s="1"/>
  <c r="T368" i="1" s="1"/>
  <c r="AH368" i="1"/>
  <c r="CV368" i="1" s="1"/>
  <c r="U368" i="1" s="1"/>
  <c r="AI368" i="1"/>
  <c r="CW368" i="1" s="1"/>
  <c r="V368" i="1" s="1"/>
  <c r="AJ368" i="1"/>
  <c r="CX368" i="1" s="1"/>
  <c r="W368" i="1" s="1"/>
  <c r="CQ368" i="1"/>
  <c r="P368" i="1" s="1"/>
  <c r="FR368" i="1"/>
  <c r="GL368" i="1"/>
  <c r="GN368" i="1"/>
  <c r="GO368" i="1"/>
  <c r="GV368" i="1"/>
  <c r="HC368" i="1" s="1"/>
  <c r="GX368" i="1" s="1"/>
  <c r="D369" i="1"/>
  <c r="I369" i="1"/>
  <c r="K369" i="1"/>
  <c r="AC369" i="1"/>
  <c r="AE369" i="1"/>
  <c r="CR369" i="1" s="1"/>
  <c r="AF369" i="1"/>
  <c r="CT369" i="1" s="1"/>
  <c r="S369" i="1" s="1"/>
  <c r="AG369" i="1"/>
  <c r="AH369" i="1"/>
  <c r="CV369" i="1" s="1"/>
  <c r="U369" i="1" s="1"/>
  <c r="AI369" i="1"/>
  <c r="CW369" i="1" s="1"/>
  <c r="V369" i="1" s="1"/>
  <c r="AJ369" i="1"/>
  <c r="CU369" i="1"/>
  <c r="T369" i="1" s="1"/>
  <c r="CX369" i="1"/>
  <c r="FR369" i="1"/>
  <c r="GL369" i="1"/>
  <c r="GN369" i="1"/>
  <c r="GO369" i="1"/>
  <c r="GV369" i="1"/>
  <c r="HC369" i="1" s="1"/>
  <c r="D371" i="1"/>
  <c r="I371" i="1"/>
  <c r="K371" i="1"/>
  <c r="AC371" i="1"/>
  <c r="AD371" i="1"/>
  <c r="AE371" i="1"/>
  <c r="AF371" i="1"/>
  <c r="CT371" i="1" s="1"/>
  <c r="S371" i="1" s="1"/>
  <c r="CY371" i="1" s="1"/>
  <c r="X371" i="1" s="1"/>
  <c r="AG371" i="1"/>
  <c r="CU371" i="1" s="1"/>
  <c r="AH371" i="1"/>
  <c r="CV371" i="1" s="1"/>
  <c r="AI371" i="1"/>
  <c r="CW371" i="1" s="1"/>
  <c r="AJ371" i="1"/>
  <c r="CX371" i="1" s="1"/>
  <c r="FR371" i="1"/>
  <c r="GL371" i="1"/>
  <c r="GN371" i="1"/>
  <c r="GO371" i="1"/>
  <c r="GV371" i="1"/>
  <c r="HC371" i="1" s="1"/>
  <c r="D372" i="1"/>
  <c r="I372" i="1"/>
  <c r="K372" i="1"/>
  <c r="W372" i="1"/>
  <c r="AC372" i="1"/>
  <c r="AE372" i="1"/>
  <c r="AD372" i="1" s="1"/>
  <c r="AF372" i="1"/>
  <c r="CT372" i="1" s="1"/>
  <c r="S372" i="1" s="1"/>
  <c r="AG372" i="1"/>
  <c r="AH372" i="1"/>
  <c r="CV372" i="1" s="1"/>
  <c r="U372" i="1" s="1"/>
  <c r="AI372" i="1"/>
  <c r="AJ372" i="1"/>
  <c r="CX372" i="1" s="1"/>
  <c r="CQ372" i="1"/>
  <c r="P372" i="1" s="1"/>
  <c r="CR372" i="1"/>
  <c r="Q372" i="1" s="1"/>
  <c r="CS372" i="1"/>
  <c r="R372" i="1" s="1"/>
  <c r="GK372" i="1" s="1"/>
  <c r="CU372" i="1"/>
  <c r="T372" i="1" s="1"/>
  <c r="CW372" i="1"/>
  <c r="FR372" i="1"/>
  <c r="GL372" i="1"/>
  <c r="GN372" i="1"/>
  <c r="GO372" i="1"/>
  <c r="GV372" i="1"/>
  <c r="HC372" i="1" s="1"/>
  <c r="GX372" i="1" s="1"/>
  <c r="D373" i="1"/>
  <c r="I373" i="1"/>
  <c r="K373" i="1"/>
  <c r="AC373" i="1"/>
  <c r="CQ373" i="1" s="1"/>
  <c r="P373" i="1" s="1"/>
  <c r="AD373" i="1"/>
  <c r="AE373" i="1"/>
  <c r="AF373" i="1"/>
  <c r="AG373" i="1"/>
  <c r="CU373" i="1" s="1"/>
  <c r="T373" i="1" s="1"/>
  <c r="AH373" i="1"/>
  <c r="AI373" i="1"/>
  <c r="AJ373" i="1"/>
  <c r="CT373" i="1"/>
  <c r="CV373" i="1"/>
  <c r="U373" i="1" s="1"/>
  <c r="CW373" i="1"/>
  <c r="V373" i="1" s="1"/>
  <c r="CX373" i="1"/>
  <c r="W373" i="1" s="1"/>
  <c r="FR373" i="1"/>
  <c r="GL373" i="1"/>
  <c r="GN373" i="1"/>
  <c r="GO373" i="1"/>
  <c r="GV373" i="1"/>
  <c r="HC373" i="1" s="1"/>
  <c r="D374" i="1"/>
  <c r="I374" i="1"/>
  <c r="K374" i="1"/>
  <c r="S374" i="1"/>
  <c r="CY374" i="1" s="1"/>
  <c r="X374" i="1" s="1"/>
  <c r="U374" i="1"/>
  <c r="AC374" i="1"/>
  <c r="CQ374" i="1" s="1"/>
  <c r="P374" i="1" s="1"/>
  <c r="AE374" i="1"/>
  <c r="AF374" i="1"/>
  <c r="CT374" i="1" s="1"/>
  <c r="AG374" i="1"/>
  <c r="CU374" i="1" s="1"/>
  <c r="AH374" i="1"/>
  <c r="CV374" i="1" s="1"/>
  <c r="AI374" i="1"/>
  <c r="AJ374" i="1"/>
  <c r="CX374" i="1" s="1"/>
  <c r="CW374" i="1"/>
  <c r="V374" i="1" s="1"/>
  <c r="FR374" i="1"/>
  <c r="GL374" i="1"/>
  <c r="GN374" i="1"/>
  <c r="GO374" i="1"/>
  <c r="GV374" i="1"/>
  <c r="HC374" i="1" s="1"/>
  <c r="GX374" i="1" s="1"/>
  <c r="D375" i="1"/>
  <c r="I375" i="1"/>
  <c r="K375" i="1"/>
  <c r="AC375" i="1"/>
  <c r="CQ375" i="1" s="1"/>
  <c r="AE375" i="1"/>
  <c r="CR375" i="1" s="1"/>
  <c r="AF375" i="1"/>
  <c r="CT375" i="1" s="1"/>
  <c r="AG375" i="1"/>
  <c r="CU375" i="1" s="1"/>
  <c r="AH375" i="1"/>
  <c r="AI375" i="1"/>
  <c r="AJ375" i="1"/>
  <c r="CX375" i="1" s="1"/>
  <c r="CV375" i="1"/>
  <c r="CW375" i="1"/>
  <c r="FR375" i="1"/>
  <c r="GL375" i="1"/>
  <c r="GN375" i="1"/>
  <c r="GO375" i="1"/>
  <c r="GV375" i="1"/>
  <c r="HC375" i="1" s="1"/>
  <c r="D376" i="1"/>
  <c r="I376" i="1"/>
  <c r="K376" i="1"/>
  <c r="AC376" i="1"/>
  <c r="CQ376" i="1" s="1"/>
  <c r="P376" i="1" s="1"/>
  <c r="AE376" i="1"/>
  <c r="CS376" i="1" s="1"/>
  <c r="AF376" i="1"/>
  <c r="CT376" i="1" s="1"/>
  <c r="AG376" i="1"/>
  <c r="CU376" i="1" s="1"/>
  <c r="T376" i="1" s="1"/>
  <c r="AH376" i="1"/>
  <c r="AI376" i="1"/>
  <c r="CW376" i="1" s="1"/>
  <c r="V376" i="1" s="1"/>
  <c r="AJ376" i="1"/>
  <c r="CX376" i="1" s="1"/>
  <c r="CV376" i="1"/>
  <c r="U376" i="1" s="1"/>
  <c r="FR376" i="1"/>
  <c r="GL376" i="1"/>
  <c r="GN376" i="1"/>
  <c r="GO376" i="1"/>
  <c r="GV376" i="1"/>
  <c r="HC376" i="1" s="1"/>
  <c r="B378" i="1"/>
  <c r="B329" i="1" s="1"/>
  <c r="C378" i="1"/>
  <c r="C329" i="1" s="1"/>
  <c r="D378" i="1"/>
  <c r="D329" i="1" s="1"/>
  <c r="F378" i="1"/>
  <c r="F329" i="1" s="1"/>
  <c r="G378" i="1"/>
  <c r="BX378" i="1"/>
  <c r="AO378" i="1" s="1"/>
  <c r="AO329" i="1" s="1"/>
  <c r="CC378" i="1"/>
  <c r="CK378" i="1"/>
  <c r="CK329" i="1" s="1"/>
  <c r="CL378" i="1"/>
  <c r="CL329" i="1" s="1"/>
  <c r="CM378" i="1"/>
  <c r="CM329" i="1" s="1"/>
  <c r="B408" i="1"/>
  <c r="B204" i="1" s="1"/>
  <c r="C408" i="1"/>
  <c r="C204" i="1" s="1"/>
  <c r="D408" i="1"/>
  <c r="D204" i="1" s="1"/>
  <c r="F408" i="1"/>
  <c r="F204" i="1" s="1"/>
  <c r="G408" i="1"/>
  <c r="D438" i="1"/>
  <c r="E440" i="1"/>
  <c r="Z440" i="1"/>
  <c r="AA440" i="1"/>
  <c r="AB440" i="1"/>
  <c r="AC440" i="1"/>
  <c r="AD440" i="1"/>
  <c r="AE440" i="1"/>
  <c r="AF440" i="1"/>
  <c r="AG440" i="1"/>
  <c r="AH440" i="1"/>
  <c r="AI440" i="1"/>
  <c r="AJ440" i="1"/>
  <c r="AK440" i="1"/>
  <c r="AL440" i="1"/>
  <c r="AM440" i="1"/>
  <c r="AN440" i="1"/>
  <c r="BE440" i="1"/>
  <c r="BF440" i="1"/>
  <c r="BG440" i="1"/>
  <c r="BH440" i="1"/>
  <c r="BI440" i="1"/>
  <c r="BJ440" i="1"/>
  <c r="BK440" i="1"/>
  <c r="BL440" i="1"/>
  <c r="BM440" i="1"/>
  <c r="BN440" i="1"/>
  <c r="BO440" i="1"/>
  <c r="BP440" i="1"/>
  <c r="BQ440" i="1"/>
  <c r="BR440" i="1"/>
  <c r="BS440" i="1"/>
  <c r="BT440" i="1"/>
  <c r="BU440" i="1"/>
  <c r="BV440" i="1"/>
  <c r="BW440" i="1"/>
  <c r="BX440" i="1"/>
  <c r="BY440" i="1"/>
  <c r="BZ440" i="1"/>
  <c r="CA440" i="1"/>
  <c r="CB440" i="1"/>
  <c r="CC440" i="1"/>
  <c r="CD440" i="1"/>
  <c r="CE440" i="1"/>
  <c r="CF440" i="1"/>
  <c r="CG440" i="1"/>
  <c r="CH440" i="1"/>
  <c r="CI440" i="1"/>
  <c r="CJ440" i="1"/>
  <c r="CK440" i="1"/>
  <c r="CL440" i="1"/>
  <c r="CM440" i="1"/>
  <c r="CN440" i="1"/>
  <c r="CO440" i="1"/>
  <c r="CP440" i="1"/>
  <c r="CQ440" i="1"/>
  <c r="CR440" i="1"/>
  <c r="CS440" i="1"/>
  <c r="CT440" i="1"/>
  <c r="CU440" i="1"/>
  <c r="CV440" i="1"/>
  <c r="CW440" i="1"/>
  <c r="CX440" i="1"/>
  <c r="CY440" i="1"/>
  <c r="CZ440" i="1"/>
  <c r="DA440" i="1"/>
  <c r="DB440" i="1"/>
  <c r="DC440" i="1"/>
  <c r="DD440" i="1"/>
  <c r="DE440" i="1"/>
  <c r="DF440" i="1"/>
  <c r="DG440" i="1"/>
  <c r="DH440" i="1"/>
  <c r="DI440" i="1"/>
  <c r="DJ440" i="1"/>
  <c r="DK440" i="1"/>
  <c r="DL440" i="1"/>
  <c r="DM440" i="1"/>
  <c r="DN440" i="1"/>
  <c r="DO440" i="1"/>
  <c r="DP440" i="1"/>
  <c r="DQ440" i="1"/>
  <c r="DR440" i="1"/>
  <c r="DS440" i="1"/>
  <c r="DT440" i="1"/>
  <c r="DU440" i="1"/>
  <c r="DV440" i="1"/>
  <c r="DW440" i="1"/>
  <c r="DX440" i="1"/>
  <c r="DY440" i="1"/>
  <c r="DZ440" i="1"/>
  <c r="EA440" i="1"/>
  <c r="EB440" i="1"/>
  <c r="EC440" i="1"/>
  <c r="ED440" i="1"/>
  <c r="EE440" i="1"/>
  <c r="EF440" i="1"/>
  <c r="EG440" i="1"/>
  <c r="EH440" i="1"/>
  <c r="EI440" i="1"/>
  <c r="EJ440" i="1"/>
  <c r="EK440" i="1"/>
  <c r="EL440" i="1"/>
  <c r="EM440" i="1"/>
  <c r="EN440" i="1"/>
  <c r="EO440" i="1"/>
  <c r="EP440" i="1"/>
  <c r="EQ440" i="1"/>
  <c r="ER440" i="1"/>
  <c r="ES440" i="1"/>
  <c r="ET440" i="1"/>
  <c r="EU440" i="1"/>
  <c r="EV440" i="1"/>
  <c r="EW440" i="1"/>
  <c r="EX440" i="1"/>
  <c r="EY440" i="1"/>
  <c r="EZ440" i="1"/>
  <c r="FA440" i="1"/>
  <c r="FB440" i="1"/>
  <c r="FC440" i="1"/>
  <c r="FD440" i="1"/>
  <c r="FE440" i="1"/>
  <c r="FF440" i="1"/>
  <c r="FG440" i="1"/>
  <c r="FH440" i="1"/>
  <c r="FI440" i="1"/>
  <c r="FJ440" i="1"/>
  <c r="FK440" i="1"/>
  <c r="FL440" i="1"/>
  <c r="FM440" i="1"/>
  <c r="FN440" i="1"/>
  <c r="FO440" i="1"/>
  <c r="FP440" i="1"/>
  <c r="FQ440" i="1"/>
  <c r="FR440" i="1"/>
  <c r="FS440" i="1"/>
  <c r="FT440" i="1"/>
  <c r="FU440" i="1"/>
  <c r="FV440" i="1"/>
  <c r="FW440" i="1"/>
  <c r="FX440" i="1"/>
  <c r="FY440" i="1"/>
  <c r="FZ440" i="1"/>
  <c r="GA440" i="1"/>
  <c r="GB440" i="1"/>
  <c r="GC440" i="1"/>
  <c r="GD440" i="1"/>
  <c r="GE440" i="1"/>
  <c r="GF440" i="1"/>
  <c r="GG440" i="1"/>
  <c r="GH440" i="1"/>
  <c r="GI440" i="1"/>
  <c r="GJ440" i="1"/>
  <c r="GK440" i="1"/>
  <c r="GL440" i="1"/>
  <c r="GM440" i="1"/>
  <c r="GN440" i="1"/>
  <c r="GO440" i="1"/>
  <c r="GP440" i="1"/>
  <c r="GQ440" i="1"/>
  <c r="GR440" i="1"/>
  <c r="GS440" i="1"/>
  <c r="GT440" i="1"/>
  <c r="GU440" i="1"/>
  <c r="GV440" i="1"/>
  <c r="GW440" i="1"/>
  <c r="GX440" i="1"/>
  <c r="D442" i="1"/>
  <c r="E444" i="1"/>
  <c r="Z444" i="1"/>
  <c r="AA444" i="1"/>
  <c r="AM444" i="1"/>
  <c r="AN444" i="1"/>
  <c r="BE444" i="1"/>
  <c r="BF444" i="1"/>
  <c r="BG444" i="1"/>
  <c r="BH444" i="1"/>
  <c r="BI444" i="1"/>
  <c r="BJ444" i="1"/>
  <c r="BK444" i="1"/>
  <c r="BL444" i="1"/>
  <c r="BM444" i="1"/>
  <c r="BN444" i="1"/>
  <c r="BO444" i="1"/>
  <c r="BP444" i="1"/>
  <c r="BQ444" i="1"/>
  <c r="BR444" i="1"/>
  <c r="BS444" i="1"/>
  <c r="BT444" i="1"/>
  <c r="BU444" i="1"/>
  <c r="BV444" i="1"/>
  <c r="BW444" i="1"/>
  <c r="CN444" i="1"/>
  <c r="CO444" i="1"/>
  <c r="CP444" i="1"/>
  <c r="CQ444" i="1"/>
  <c r="CR444" i="1"/>
  <c r="CS444" i="1"/>
  <c r="CT444" i="1"/>
  <c r="CU444" i="1"/>
  <c r="CV444" i="1"/>
  <c r="CW444" i="1"/>
  <c r="CX444" i="1"/>
  <c r="CY444" i="1"/>
  <c r="CZ444" i="1"/>
  <c r="DA444" i="1"/>
  <c r="DB444" i="1"/>
  <c r="DC444" i="1"/>
  <c r="DD444" i="1"/>
  <c r="DE444" i="1"/>
  <c r="DF444" i="1"/>
  <c r="DG444" i="1"/>
  <c r="DH444" i="1"/>
  <c r="DI444" i="1"/>
  <c r="DJ444" i="1"/>
  <c r="DK444" i="1"/>
  <c r="DL444" i="1"/>
  <c r="DM444" i="1"/>
  <c r="DN444" i="1"/>
  <c r="DO444" i="1"/>
  <c r="DP444" i="1"/>
  <c r="DQ444" i="1"/>
  <c r="DR444" i="1"/>
  <c r="DS444" i="1"/>
  <c r="DT444" i="1"/>
  <c r="DU444" i="1"/>
  <c r="DV444" i="1"/>
  <c r="DW444" i="1"/>
  <c r="DX444" i="1"/>
  <c r="DY444" i="1"/>
  <c r="DZ444" i="1"/>
  <c r="EA444" i="1"/>
  <c r="EB444" i="1"/>
  <c r="EC444" i="1"/>
  <c r="ED444" i="1"/>
  <c r="EE444" i="1"/>
  <c r="EF444" i="1"/>
  <c r="EG444" i="1"/>
  <c r="EH444" i="1"/>
  <c r="EI444" i="1"/>
  <c r="EJ444" i="1"/>
  <c r="EK444" i="1"/>
  <c r="EL444" i="1"/>
  <c r="EM444" i="1"/>
  <c r="EN444" i="1"/>
  <c r="EO444" i="1"/>
  <c r="EP444" i="1"/>
  <c r="EQ444" i="1"/>
  <c r="ER444" i="1"/>
  <c r="ES444" i="1"/>
  <c r="ET444" i="1"/>
  <c r="EU444" i="1"/>
  <c r="EV444" i="1"/>
  <c r="EW444" i="1"/>
  <c r="EX444" i="1"/>
  <c r="EY444" i="1"/>
  <c r="EZ444" i="1"/>
  <c r="FA444" i="1"/>
  <c r="FB444" i="1"/>
  <c r="FC444" i="1"/>
  <c r="FD444" i="1"/>
  <c r="FE444" i="1"/>
  <c r="FF444" i="1"/>
  <c r="FG444" i="1"/>
  <c r="FH444" i="1"/>
  <c r="FI444" i="1"/>
  <c r="FJ444" i="1"/>
  <c r="FK444" i="1"/>
  <c r="FL444" i="1"/>
  <c r="FM444" i="1"/>
  <c r="FN444" i="1"/>
  <c r="FO444" i="1"/>
  <c r="FP444" i="1"/>
  <c r="FQ444" i="1"/>
  <c r="FR444" i="1"/>
  <c r="FS444" i="1"/>
  <c r="FT444" i="1"/>
  <c r="FU444" i="1"/>
  <c r="FV444" i="1"/>
  <c r="FW444" i="1"/>
  <c r="FX444" i="1"/>
  <c r="FY444" i="1"/>
  <c r="FZ444" i="1"/>
  <c r="GA444" i="1"/>
  <c r="GB444" i="1"/>
  <c r="GC444" i="1"/>
  <c r="GD444" i="1"/>
  <c r="GE444" i="1"/>
  <c r="GF444" i="1"/>
  <c r="GG444" i="1"/>
  <c r="GH444" i="1"/>
  <c r="GI444" i="1"/>
  <c r="GJ444" i="1"/>
  <c r="GK444" i="1"/>
  <c r="GL444" i="1"/>
  <c r="GM444" i="1"/>
  <c r="GN444" i="1"/>
  <c r="GO444" i="1"/>
  <c r="GP444" i="1"/>
  <c r="GQ444" i="1"/>
  <c r="GR444" i="1"/>
  <c r="GS444" i="1"/>
  <c r="GT444" i="1"/>
  <c r="GU444" i="1"/>
  <c r="GV444" i="1"/>
  <c r="GW444" i="1"/>
  <c r="GX444" i="1"/>
  <c r="D447" i="1"/>
  <c r="I447" i="1"/>
  <c r="K447" i="1"/>
  <c r="U447" i="1"/>
  <c r="V447" i="1"/>
  <c r="AC447" i="1"/>
  <c r="CQ447" i="1" s="1"/>
  <c r="P447" i="1" s="1"/>
  <c r="AE447" i="1"/>
  <c r="AF447" i="1"/>
  <c r="CT447" i="1" s="1"/>
  <c r="S447" i="1" s="1"/>
  <c r="AG447" i="1"/>
  <c r="CU447" i="1" s="1"/>
  <c r="T447" i="1" s="1"/>
  <c r="AH447" i="1"/>
  <c r="AI447" i="1"/>
  <c r="AJ447" i="1"/>
  <c r="CV447" i="1"/>
  <c r="CW447" i="1"/>
  <c r="CX447" i="1"/>
  <c r="W447" i="1" s="1"/>
  <c r="CY447" i="1"/>
  <c r="X447" i="1" s="1"/>
  <c r="CZ447" i="1"/>
  <c r="Y447" i="1" s="1"/>
  <c r="FR447" i="1"/>
  <c r="GL447" i="1"/>
  <c r="GN447" i="1"/>
  <c r="GO447" i="1"/>
  <c r="GV447" i="1"/>
  <c r="HC447" i="1" s="1"/>
  <c r="GX447" i="1" s="1"/>
  <c r="D448" i="1"/>
  <c r="I448" i="1"/>
  <c r="P448" i="1" s="1"/>
  <c r="K448" i="1"/>
  <c r="AC448" i="1"/>
  <c r="AE448" i="1"/>
  <c r="AD448" i="1" s="1"/>
  <c r="AF448" i="1"/>
  <c r="AG448" i="1"/>
  <c r="CU448" i="1" s="1"/>
  <c r="AH448" i="1"/>
  <c r="CV448" i="1" s="1"/>
  <c r="AI448" i="1"/>
  <c r="CW448" i="1" s="1"/>
  <c r="AJ448" i="1"/>
  <c r="CX448" i="1" s="1"/>
  <c r="CQ448" i="1"/>
  <c r="FR448" i="1"/>
  <c r="GL448" i="1"/>
  <c r="GN448" i="1"/>
  <c r="GO448" i="1"/>
  <c r="GV448" i="1"/>
  <c r="HC448" i="1" s="1"/>
  <c r="D449" i="1"/>
  <c r="I449" i="1"/>
  <c r="K449" i="1"/>
  <c r="AC449" i="1"/>
  <c r="CQ449" i="1" s="1"/>
  <c r="AE449" i="1"/>
  <c r="CR449" i="1" s="1"/>
  <c r="AF449" i="1"/>
  <c r="AG449" i="1"/>
  <c r="AH449" i="1"/>
  <c r="AI449" i="1"/>
  <c r="CW449" i="1" s="1"/>
  <c r="V449" i="1" s="1"/>
  <c r="AJ449" i="1"/>
  <c r="CX449" i="1" s="1"/>
  <c r="CT449" i="1"/>
  <c r="CU449" i="1"/>
  <c r="CV449" i="1"/>
  <c r="FR449" i="1"/>
  <c r="GL449" i="1"/>
  <c r="GN449" i="1"/>
  <c r="GO449" i="1"/>
  <c r="GV449" i="1"/>
  <c r="HC449" i="1" s="1"/>
  <c r="D450" i="1"/>
  <c r="I450" i="1"/>
  <c r="P450" i="1" s="1"/>
  <c r="K450" i="1"/>
  <c r="AC450" i="1"/>
  <c r="CQ450" i="1" s="1"/>
  <c r="AE450" i="1"/>
  <c r="AF450" i="1"/>
  <c r="CT450" i="1" s="1"/>
  <c r="AG450" i="1"/>
  <c r="CU450" i="1" s="1"/>
  <c r="AH450" i="1"/>
  <c r="CV450" i="1" s="1"/>
  <c r="AI450" i="1"/>
  <c r="CW450" i="1" s="1"/>
  <c r="AJ450" i="1"/>
  <c r="CX450" i="1" s="1"/>
  <c r="FR450" i="1"/>
  <c r="GL450" i="1"/>
  <c r="GN450" i="1"/>
  <c r="GO450" i="1"/>
  <c r="GV450" i="1"/>
  <c r="HC450" i="1" s="1"/>
  <c r="D451" i="1"/>
  <c r="I451" i="1"/>
  <c r="K451" i="1"/>
  <c r="AC451" i="1"/>
  <c r="CQ451" i="1" s="1"/>
  <c r="P451" i="1" s="1"/>
  <c r="AE451" i="1"/>
  <c r="AD451" i="1" s="1"/>
  <c r="AF451" i="1"/>
  <c r="CT451" i="1" s="1"/>
  <c r="S451" i="1" s="1"/>
  <c r="AG451" i="1"/>
  <c r="CU451" i="1" s="1"/>
  <c r="T451" i="1" s="1"/>
  <c r="AH451" i="1"/>
  <c r="CV451" i="1" s="1"/>
  <c r="U451" i="1" s="1"/>
  <c r="AI451" i="1"/>
  <c r="AJ451" i="1"/>
  <c r="CS451" i="1"/>
  <c r="R451" i="1" s="1"/>
  <c r="GK451" i="1" s="1"/>
  <c r="CW451" i="1"/>
  <c r="V451" i="1" s="1"/>
  <c r="CX451" i="1"/>
  <c r="W451" i="1" s="1"/>
  <c r="FR451" i="1"/>
  <c r="GL451" i="1"/>
  <c r="GN451" i="1"/>
  <c r="GO451" i="1"/>
  <c r="GV451" i="1"/>
  <c r="HC451" i="1" s="1"/>
  <c r="GX451" i="1" s="1"/>
  <c r="D452" i="1"/>
  <c r="I452" i="1"/>
  <c r="K452" i="1"/>
  <c r="AC452" i="1"/>
  <c r="CQ452" i="1" s="1"/>
  <c r="P452" i="1" s="1"/>
  <c r="AE452" i="1"/>
  <c r="AD452" i="1" s="1"/>
  <c r="AF452" i="1"/>
  <c r="AG452" i="1"/>
  <c r="CU452" i="1" s="1"/>
  <c r="T452" i="1" s="1"/>
  <c r="AH452" i="1"/>
  <c r="CV452" i="1" s="1"/>
  <c r="U452" i="1" s="1"/>
  <c r="AI452" i="1"/>
  <c r="CW452" i="1" s="1"/>
  <c r="V452" i="1" s="1"/>
  <c r="AJ452" i="1"/>
  <c r="CX452" i="1" s="1"/>
  <c r="W452" i="1" s="1"/>
  <c r="FR452" i="1"/>
  <c r="GL452" i="1"/>
  <c r="GN452" i="1"/>
  <c r="GO452" i="1"/>
  <c r="GV452" i="1"/>
  <c r="HC452" i="1" s="1"/>
  <c r="GX452" i="1" s="1"/>
  <c r="D453" i="1"/>
  <c r="I453" i="1"/>
  <c r="K453" i="1"/>
  <c r="AC453" i="1"/>
  <c r="AE453" i="1"/>
  <c r="AF453" i="1"/>
  <c r="AG453" i="1"/>
  <c r="AH453" i="1"/>
  <c r="AI453" i="1"/>
  <c r="CW453" i="1" s="1"/>
  <c r="V453" i="1" s="1"/>
  <c r="AJ453" i="1"/>
  <c r="CR453" i="1"/>
  <c r="CS453" i="1"/>
  <c r="CT453" i="1"/>
  <c r="S453" i="1" s="1"/>
  <c r="CU453" i="1"/>
  <c r="T453" i="1" s="1"/>
  <c r="CV453" i="1"/>
  <c r="CX453" i="1"/>
  <c r="W453" i="1" s="1"/>
  <c r="FR453" i="1"/>
  <c r="GL453" i="1"/>
  <c r="GN453" i="1"/>
  <c r="GO453" i="1"/>
  <c r="GV453" i="1"/>
  <c r="HC453" i="1"/>
  <c r="D454" i="1"/>
  <c r="I454" i="1"/>
  <c r="K454" i="1"/>
  <c r="AC454" i="1"/>
  <c r="CQ454" i="1" s="1"/>
  <c r="AE454" i="1"/>
  <c r="AF454" i="1"/>
  <c r="CT454" i="1" s="1"/>
  <c r="AG454" i="1"/>
  <c r="CU454" i="1" s="1"/>
  <c r="AH454" i="1"/>
  <c r="CV454" i="1" s="1"/>
  <c r="AI454" i="1"/>
  <c r="CW454" i="1" s="1"/>
  <c r="AJ454" i="1"/>
  <c r="CX454" i="1" s="1"/>
  <c r="FR454" i="1"/>
  <c r="GL454" i="1"/>
  <c r="GN454" i="1"/>
  <c r="GO454" i="1"/>
  <c r="GV454" i="1"/>
  <c r="HC454" i="1" s="1"/>
  <c r="D455" i="1"/>
  <c r="I455" i="1"/>
  <c r="K455" i="1"/>
  <c r="AC455" i="1"/>
  <c r="CQ455" i="1" s="1"/>
  <c r="P455" i="1" s="1"/>
  <c r="AE455" i="1"/>
  <c r="AF455" i="1"/>
  <c r="CT455" i="1" s="1"/>
  <c r="S455" i="1" s="1"/>
  <c r="CY455" i="1" s="1"/>
  <c r="X455" i="1" s="1"/>
  <c r="AG455" i="1"/>
  <c r="CU455" i="1" s="1"/>
  <c r="T455" i="1" s="1"/>
  <c r="AH455" i="1"/>
  <c r="CV455" i="1" s="1"/>
  <c r="U455" i="1" s="1"/>
  <c r="AI455" i="1"/>
  <c r="AJ455" i="1"/>
  <c r="CW455" i="1"/>
  <c r="V455" i="1" s="1"/>
  <c r="CX455" i="1"/>
  <c r="W455" i="1" s="1"/>
  <c r="CZ455" i="1"/>
  <c r="Y455" i="1" s="1"/>
  <c r="FR455" i="1"/>
  <c r="GL455" i="1"/>
  <c r="GN455" i="1"/>
  <c r="GO455" i="1"/>
  <c r="GV455" i="1"/>
  <c r="HC455" i="1" s="1"/>
  <c r="GX455" i="1" s="1"/>
  <c r="D456" i="1"/>
  <c r="I456" i="1"/>
  <c r="K456" i="1"/>
  <c r="AC456" i="1"/>
  <c r="CQ456" i="1" s="1"/>
  <c r="P456" i="1" s="1"/>
  <c r="AE456" i="1"/>
  <c r="AF456" i="1"/>
  <c r="CT456" i="1" s="1"/>
  <c r="S456" i="1" s="1"/>
  <c r="AG456" i="1"/>
  <c r="CU456" i="1" s="1"/>
  <c r="T456" i="1" s="1"/>
  <c r="AH456" i="1"/>
  <c r="CV456" i="1" s="1"/>
  <c r="AI456" i="1"/>
  <c r="CW456" i="1" s="1"/>
  <c r="AJ456" i="1"/>
  <c r="CX456" i="1" s="1"/>
  <c r="FR456" i="1"/>
  <c r="GL456" i="1"/>
  <c r="GN456" i="1"/>
  <c r="GO456" i="1"/>
  <c r="GV456" i="1"/>
  <c r="HC456" i="1" s="1"/>
  <c r="GX456" i="1" s="1"/>
  <c r="D457" i="1"/>
  <c r="I457" i="1"/>
  <c r="K457" i="1"/>
  <c r="AC457" i="1"/>
  <c r="CQ457" i="1" s="1"/>
  <c r="AE457" i="1"/>
  <c r="CR457" i="1" s="1"/>
  <c r="Q457" i="1" s="1"/>
  <c r="AF457" i="1"/>
  <c r="AG457" i="1"/>
  <c r="AH457" i="1"/>
  <c r="CV457" i="1" s="1"/>
  <c r="U457" i="1" s="1"/>
  <c r="AI457" i="1"/>
  <c r="AJ457" i="1"/>
  <c r="CX457" i="1" s="1"/>
  <c r="W457" i="1" s="1"/>
  <c r="CS457" i="1"/>
  <c r="CT457" i="1"/>
  <c r="S457" i="1" s="1"/>
  <c r="CU457" i="1"/>
  <c r="T457" i="1" s="1"/>
  <c r="CW457" i="1"/>
  <c r="FR457" i="1"/>
  <c r="GL457" i="1"/>
  <c r="GN457" i="1"/>
  <c r="GO457" i="1"/>
  <c r="GV457" i="1"/>
  <c r="HC457" i="1" s="1"/>
  <c r="GX457" i="1" s="1"/>
  <c r="D458" i="1"/>
  <c r="I458" i="1"/>
  <c r="K458" i="1"/>
  <c r="AC458" i="1"/>
  <c r="CQ458" i="1" s="1"/>
  <c r="AE458" i="1"/>
  <c r="AF458" i="1"/>
  <c r="AG458" i="1"/>
  <c r="CU458" i="1" s="1"/>
  <c r="AH458" i="1"/>
  <c r="CV458" i="1" s="1"/>
  <c r="AI458" i="1"/>
  <c r="CW458" i="1" s="1"/>
  <c r="AJ458" i="1"/>
  <c r="CX458" i="1" s="1"/>
  <c r="FR458" i="1"/>
  <c r="GL458" i="1"/>
  <c r="GN458" i="1"/>
  <c r="GO458" i="1"/>
  <c r="GV458" i="1"/>
  <c r="HC458" i="1" s="1"/>
  <c r="D459" i="1"/>
  <c r="I459" i="1"/>
  <c r="K459" i="1"/>
  <c r="AC459" i="1"/>
  <c r="AE459" i="1"/>
  <c r="AF459" i="1"/>
  <c r="AG459" i="1"/>
  <c r="CU459" i="1" s="1"/>
  <c r="T459" i="1" s="1"/>
  <c r="AH459" i="1"/>
  <c r="CV459" i="1" s="1"/>
  <c r="U459" i="1" s="1"/>
  <c r="AI459" i="1"/>
  <c r="CW459" i="1" s="1"/>
  <c r="V459" i="1" s="1"/>
  <c r="AJ459" i="1"/>
  <c r="CR459" i="1"/>
  <c r="Q459" i="1" s="1"/>
  <c r="CS459" i="1"/>
  <c r="CX459" i="1"/>
  <c r="W459" i="1" s="1"/>
  <c r="FR459" i="1"/>
  <c r="GL459" i="1"/>
  <c r="GN459" i="1"/>
  <c r="GO459" i="1"/>
  <c r="GV459" i="1"/>
  <c r="HC459" i="1" s="1"/>
  <c r="GX459" i="1" s="1"/>
  <c r="D460" i="1"/>
  <c r="I460" i="1"/>
  <c r="K460" i="1"/>
  <c r="P460" i="1"/>
  <c r="AC460" i="1"/>
  <c r="AE460" i="1"/>
  <c r="AF460" i="1"/>
  <c r="CT460" i="1" s="1"/>
  <c r="AG460" i="1"/>
  <c r="CU460" i="1" s="1"/>
  <c r="AH460" i="1"/>
  <c r="CV460" i="1" s="1"/>
  <c r="AI460" i="1"/>
  <c r="CW460" i="1" s="1"/>
  <c r="AJ460" i="1"/>
  <c r="CX460" i="1" s="1"/>
  <c r="W460" i="1" s="1"/>
  <c r="CQ460" i="1"/>
  <c r="FR460" i="1"/>
  <c r="GL460" i="1"/>
  <c r="GN460" i="1"/>
  <c r="GO460" i="1"/>
  <c r="GV460" i="1"/>
  <c r="HC460" i="1" s="1"/>
  <c r="D461" i="1"/>
  <c r="I461" i="1"/>
  <c r="K461" i="1"/>
  <c r="V461" i="1"/>
  <c r="W461" i="1"/>
  <c r="AC461" i="1"/>
  <c r="AE461" i="1"/>
  <c r="AD461" i="1" s="1"/>
  <c r="AF461" i="1"/>
  <c r="AG461" i="1"/>
  <c r="CU461" i="1" s="1"/>
  <c r="T461" i="1" s="1"/>
  <c r="AH461" i="1"/>
  <c r="AI461" i="1"/>
  <c r="CW461" i="1" s="1"/>
  <c r="AJ461" i="1"/>
  <c r="CX461" i="1" s="1"/>
  <c r="CQ461" i="1"/>
  <c r="P461" i="1" s="1"/>
  <c r="CS461" i="1"/>
  <c r="R461" i="1" s="1"/>
  <c r="GK461" i="1" s="1"/>
  <c r="CT461" i="1"/>
  <c r="S461" i="1" s="1"/>
  <c r="CV461" i="1"/>
  <c r="U461" i="1" s="1"/>
  <c r="FR461" i="1"/>
  <c r="GL461" i="1"/>
  <c r="GN461" i="1"/>
  <c r="GO461" i="1"/>
  <c r="GV461" i="1"/>
  <c r="HC461" i="1" s="1"/>
  <c r="GX461" i="1" s="1"/>
  <c r="D462" i="1"/>
  <c r="I462" i="1"/>
  <c r="K462" i="1"/>
  <c r="AC462" i="1"/>
  <c r="CQ462" i="1" s="1"/>
  <c r="AE462" i="1"/>
  <c r="AF462" i="1"/>
  <c r="CT462" i="1" s="1"/>
  <c r="S462" i="1" s="1"/>
  <c r="AG462" i="1"/>
  <c r="AH462" i="1"/>
  <c r="CV462" i="1" s="1"/>
  <c r="U462" i="1" s="1"/>
  <c r="AI462" i="1"/>
  <c r="AJ462" i="1"/>
  <c r="CU462" i="1"/>
  <c r="T462" i="1" s="1"/>
  <c r="CW462" i="1"/>
  <c r="V462" i="1" s="1"/>
  <c r="CX462" i="1"/>
  <c r="W462" i="1" s="1"/>
  <c r="FR462" i="1"/>
  <c r="GL462" i="1"/>
  <c r="GN462" i="1"/>
  <c r="GO462" i="1"/>
  <c r="GV462" i="1"/>
  <c r="HC462" i="1" s="1"/>
  <c r="D464" i="1"/>
  <c r="R464" i="1"/>
  <c r="GK464" i="1" s="1"/>
  <c r="T464" i="1"/>
  <c r="AC464" i="1"/>
  <c r="CQ464" i="1" s="1"/>
  <c r="P464" i="1" s="1"/>
  <c r="AE464" i="1"/>
  <c r="AD464" i="1" s="1"/>
  <c r="AF464" i="1"/>
  <c r="CT464" i="1" s="1"/>
  <c r="S464" i="1" s="1"/>
  <c r="AG464" i="1"/>
  <c r="CU464" i="1" s="1"/>
  <c r="AH464" i="1"/>
  <c r="CV464" i="1" s="1"/>
  <c r="U464" i="1" s="1"/>
  <c r="AI464" i="1"/>
  <c r="CW464" i="1" s="1"/>
  <c r="V464" i="1" s="1"/>
  <c r="AJ464" i="1"/>
  <c r="CX464" i="1" s="1"/>
  <c r="W464" i="1" s="1"/>
  <c r="CR464" i="1"/>
  <c r="Q464" i="1" s="1"/>
  <c r="CS464" i="1"/>
  <c r="FR464" i="1"/>
  <c r="GL464" i="1"/>
  <c r="GN464" i="1"/>
  <c r="GO464" i="1"/>
  <c r="GV464" i="1"/>
  <c r="HC464" i="1"/>
  <c r="GX464" i="1" s="1"/>
  <c r="D465" i="1"/>
  <c r="AC465" i="1"/>
  <c r="CQ465" i="1" s="1"/>
  <c r="P465" i="1" s="1"/>
  <c r="AE465" i="1"/>
  <c r="AD465" i="1" s="1"/>
  <c r="AF465" i="1"/>
  <c r="CT465" i="1" s="1"/>
  <c r="S465" i="1" s="1"/>
  <c r="AG465" i="1"/>
  <c r="CU465" i="1" s="1"/>
  <c r="T465" i="1" s="1"/>
  <c r="AH465" i="1"/>
  <c r="AI465" i="1"/>
  <c r="CW465" i="1" s="1"/>
  <c r="V465" i="1" s="1"/>
  <c r="AJ465" i="1"/>
  <c r="CV465" i="1"/>
  <c r="U465" i="1" s="1"/>
  <c r="CX465" i="1"/>
  <c r="W465" i="1" s="1"/>
  <c r="FR465" i="1"/>
  <c r="GL465" i="1"/>
  <c r="GN465" i="1"/>
  <c r="GO465" i="1"/>
  <c r="GV465" i="1"/>
  <c r="HC465" i="1" s="1"/>
  <c r="GX465" i="1" s="1"/>
  <c r="D466" i="1"/>
  <c r="Q466" i="1"/>
  <c r="AC466" i="1"/>
  <c r="AE466" i="1"/>
  <c r="AF466" i="1"/>
  <c r="AG466" i="1"/>
  <c r="CU466" i="1" s="1"/>
  <c r="T466" i="1" s="1"/>
  <c r="AH466" i="1"/>
  <c r="CV466" i="1" s="1"/>
  <c r="U466" i="1" s="1"/>
  <c r="AI466" i="1"/>
  <c r="CW466" i="1" s="1"/>
  <c r="V466" i="1" s="1"/>
  <c r="AJ466" i="1"/>
  <c r="CX466" i="1" s="1"/>
  <c r="W466" i="1" s="1"/>
  <c r="CQ466" i="1"/>
  <c r="P466" i="1" s="1"/>
  <c r="CR466" i="1"/>
  <c r="FR466" i="1"/>
  <c r="GL466" i="1"/>
  <c r="GN466" i="1"/>
  <c r="GO466" i="1"/>
  <c r="GV466" i="1"/>
  <c r="HC466" i="1" s="1"/>
  <c r="GX466" i="1" s="1"/>
  <c r="D467" i="1"/>
  <c r="W467" i="1"/>
  <c r="AC467" i="1"/>
  <c r="CQ467" i="1" s="1"/>
  <c r="P467" i="1" s="1"/>
  <c r="AE467" i="1"/>
  <c r="AF467" i="1"/>
  <c r="CT467" i="1" s="1"/>
  <c r="S467" i="1" s="1"/>
  <c r="AG467" i="1"/>
  <c r="AH467" i="1"/>
  <c r="CV467" i="1" s="1"/>
  <c r="U467" i="1" s="1"/>
  <c r="AI467" i="1"/>
  <c r="AJ467" i="1"/>
  <c r="CU467" i="1"/>
  <c r="T467" i="1" s="1"/>
  <c r="CW467" i="1"/>
  <c r="V467" i="1" s="1"/>
  <c r="CX467" i="1"/>
  <c r="FR467" i="1"/>
  <c r="GL467" i="1"/>
  <c r="GN467" i="1"/>
  <c r="GO467" i="1"/>
  <c r="GV467" i="1"/>
  <c r="HC467" i="1"/>
  <c r="GX467" i="1" s="1"/>
  <c r="D468" i="1"/>
  <c r="I468" i="1"/>
  <c r="U468" i="1" s="1"/>
  <c r="K468" i="1"/>
  <c r="S468" i="1"/>
  <c r="CY468" i="1" s="1"/>
  <c r="X468" i="1" s="1"/>
  <c r="T468" i="1"/>
  <c r="AC468" i="1"/>
  <c r="AE468" i="1"/>
  <c r="AF468" i="1"/>
  <c r="CT468" i="1" s="1"/>
  <c r="AG468" i="1"/>
  <c r="CU468" i="1" s="1"/>
  <c r="AH468" i="1"/>
  <c r="AI468" i="1"/>
  <c r="CW468" i="1" s="1"/>
  <c r="AJ468" i="1"/>
  <c r="CX468" i="1" s="1"/>
  <c r="CQ468" i="1"/>
  <c r="P468" i="1" s="1"/>
  <c r="CV468" i="1"/>
  <c r="FR468" i="1"/>
  <c r="GL468" i="1"/>
  <c r="GN468" i="1"/>
  <c r="GO468" i="1"/>
  <c r="GV468" i="1"/>
  <c r="HC468" i="1" s="1"/>
  <c r="D469" i="1"/>
  <c r="I469" i="1"/>
  <c r="K469" i="1"/>
  <c r="P469" i="1"/>
  <c r="AC469" i="1"/>
  <c r="CQ469" i="1" s="1"/>
  <c r="AE469" i="1"/>
  <c r="AF469" i="1"/>
  <c r="CT469" i="1" s="1"/>
  <c r="S469" i="1" s="1"/>
  <c r="AG469" i="1"/>
  <c r="CU469" i="1" s="1"/>
  <c r="T469" i="1" s="1"/>
  <c r="AH469" i="1"/>
  <c r="AI469" i="1"/>
  <c r="CW469" i="1" s="1"/>
  <c r="V469" i="1" s="1"/>
  <c r="AJ469" i="1"/>
  <c r="CV469" i="1"/>
  <c r="U469" i="1" s="1"/>
  <c r="CX469" i="1"/>
  <c r="W469" i="1" s="1"/>
  <c r="FR469" i="1"/>
  <c r="GL469" i="1"/>
  <c r="GN469" i="1"/>
  <c r="GO469" i="1"/>
  <c r="GV469" i="1"/>
  <c r="HC469" i="1"/>
  <c r="GX469" i="1" s="1"/>
  <c r="D470" i="1"/>
  <c r="AC470" i="1"/>
  <c r="CQ470" i="1" s="1"/>
  <c r="P470" i="1" s="1"/>
  <c r="AE470" i="1"/>
  <c r="AF470" i="1"/>
  <c r="CT470" i="1" s="1"/>
  <c r="S470" i="1" s="1"/>
  <c r="CY470" i="1" s="1"/>
  <c r="X470" i="1" s="1"/>
  <c r="AG470" i="1"/>
  <c r="CU470" i="1" s="1"/>
  <c r="T470" i="1" s="1"/>
  <c r="AH470" i="1"/>
  <c r="CV470" i="1" s="1"/>
  <c r="U470" i="1" s="1"/>
  <c r="AI470" i="1"/>
  <c r="CW470" i="1" s="1"/>
  <c r="V470" i="1" s="1"/>
  <c r="AJ470" i="1"/>
  <c r="CX470" i="1" s="1"/>
  <c r="W470" i="1" s="1"/>
  <c r="FR470" i="1"/>
  <c r="GL470" i="1"/>
  <c r="GN470" i="1"/>
  <c r="GO470" i="1"/>
  <c r="GV470" i="1"/>
  <c r="HC470" i="1" s="1"/>
  <c r="GX470" i="1" s="1"/>
  <c r="D471" i="1"/>
  <c r="V471" i="1"/>
  <c r="W471" i="1"/>
  <c r="AC471" i="1"/>
  <c r="AE471" i="1"/>
  <c r="AD471" i="1" s="1"/>
  <c r="AF471" i="1"/>
  <c r="AG471" i="1"/>
  <c r="CU471" i="1" s="1"/>
  <c r="T471" i="1" s="1"/>
  <c r="AH471" i="1"/>
  <c r="CV471" i="1" s="1"/>
  <c r="U471" i="1" s="1"/>
  <c r="AI471" i="1"/>
  <c r="CW471" i="1" s="1"/>
  <c r="AJ471" i="1"/>
  <c r="CX471" i="1" s="1"/>
  <c r="CQ471" i="1"/>
  <c r="P471" i="1" s="1"/>
  <c r="CS471" i="1"/>
  <c r="R471" i="1" s="1"/>
  <c r="GK471" i="1" s="1"/>
  <c r="CT471" i="1"/>
  <c r="S471" i="1" s="1"/>
  <c r="FR471" i="1"/>
  <c r="GL471" i="1"/>
  <c r="GN471" i="1"/>
  <c r="GO471" i="1"/>
  <c r="GV471" i="1"/>
  <c r="HC471" i="1" s="1"/>
  <c r="GX471" i="1" s="1"/>
  <c r="D472" i="1"/>
  <c r="AC472" i="1"/>
  <c r="CQ472" i="1" s="1"/>
  <c r="P472" i="1" s="1"/>
  <c r="AE472" i="1"/>
  <c r="CR472" i="1" s="1"/>
  <c r="Q472" i="1" s="1"/>
  <c r="AF472" i="1"/>
  <c r="AG472" i="1"/>
  <c r="CU472" i="1" s="1"/>
  <c r="T472" i="1" s="1"/>
  <c r="AH472" i="1"/>
  <c r="CV472" i="1" s="1"/>
  <c r="U472" i="1" s="1"/>
  <c r="AI472" i="1"/>
  <c r="CW472" i="1" s="1"/>
  <c r="V472" i="1" s="1"/>
  <c r="AJ472" i="1"/>
  <c r="CT472" i="1"/>
  <c r="S472" i="1" s="1"/>
  <c r="CY472" i="1" s="1"/>
  <c r="X472" i="1" s="1"/>
  <c r="CX472" i="1"/>
  <c r="W472" i="1" s="1"/>
  <c r="CZ472" i="1"/>
  <c r="Y472" i="1" s="1"/>
  <c r="FR472" i="1"/>
  <c r="GL472" i="1"/>
  <c r="GN472" i="1"/>
  <c r="GO472" i="1"/>
  <c r="GV472" i="1"/>
  <c r="HC472" i="1" s="1"/>
  <c r="GX472" i="1" s="1"/>
  <c r="D473" i="1"/>
  <c r="AC473" i="1"/>
  <c r="CQ473" i="1" s="1"/>
  <c r="P473" i="1" s="1"/>
  <c r="AE473" i="1"/>
  <c r="AF473" i="1"/>
  <c r="CT473" i="1" s="1"/>
  <c r="S473" i="1" s="1"/>
  <c r="AG473" i="1"/>
  <c r="CU473" i="1" s="1"/>
  <c r="T473" i="1" s="1"/>
  <c r="AH473" i="1"/>
  <c r="CV473" i="1" s="1"/>
  <c r="U473" i="1" s="1"/>
  <c r="AI473" i="1"/>
  <c r="CW473" i="1" s="1"/>
  <c r="V473" i="1" s="1"/>
  <c r="AJ473" i="1"/>
  <c r="CX473" i="1" s="1"/>
  <c r="W473" i="1" s="1"/>
  <c r="FR473" i="1"/>
  <c r="GL473" i="1"/>
  <c r="GN473" i="1"/>
  <c r="GO473" i="1"/>
  <c r="GV473" i="1"/>
  <c r="HC473" i="1" s="1"/>
  <c r="GX473" i="1" s="1"/>
  <c r="D474" i="1"/>
  <c r="Q474" i="1"/>
  <c r="AC474" i="1"/>
  <c r="AE474" i="1"/>
  <c r="AF474" i="1"/>
  <c r="AG474" i="1"/>
  <c r="CU474" i="1" s="1"/>
  <c r="T474" i="1" s="1"/>
  <c r="AH474" i="1"/>
  <c r="CV474" i="1" s="1"/>
  <c r="U474" i="1" s="1"/>
  <c r="AI474" i="1"/>
  <c r="CW474" i="1" s="1"/>
  <c r="V474" i="1" s="1"/>
  <c r="AJ474" i="1"/>
  <c r="CX474" i="1" s="1"/>
  <c r="W474" i="1" s="1"/>
  <c r="CR474" i="1"/>
  <c r="FR474" i="1"/>
  <c r="GL474" i="1"/>
  <c r="GN474" i="1"/>
  <c r="GO474" i="1"/>
  <c r="GV474" i="1"/>
  <c r="HC474" i="1" s="1"/>
  <c r="GX474" i="1" s="1"/>
  <c r="D475" i="1"/>
  <c r="AC475" i="1"/>
  <c r="CQ475" i="1" s="1"/>
  <c r="P475" i="1" s="1"/>
  <c r="AE475" i="1"/>
  <c r="CR475" i="1" s="1"/>
  <c r="Q475" i="1" s="1"/>
  <c r="AF475" i="1"/>
  <c r="AG475" i="1"/>
  <c r="CU475" i="1" s="1"/>
  <c r="T475" i="1" s="1"/>
  <c r="AH475" i="1"/>
  <c r="AI475" i="1"/>
  <c r="CW475" i="1" s="1"/>
  <c r="V475" i="1" s="1"/>
  <c r="AJ475" i="1"/>
  <c r="CS475" i="1"/>
  <c r="R475" i="1" s="1"/>
  <c r="GK475" i="1" s="1"/>
  <c r="CT475" i="1"/>
  <c r="S475" i="1" s="1"/>
  <c r="CY475" i="1" s="1"/>
  <c r="X475" i="1" s="1"/>
  <c r="CV475" i="1"/>
  <c r="U475" i="1" s="1"/>
  <c r="CX475" i="1"/>
  <c r="W475" i="1" s="1"/>
  <c r="FR475" i="1"/>
  <c r="GL475" i="1"/>
  <c r="GN475" i="1"/>
  <c r="GO475" i="1"/>
  <c r="GV475" i="1"/>
  <c r="HC475" i="1"/>
  <c r="GX475" i="1" s="1"/>
  <c r="D476" i="1"/>
  <c r="AC476" i="1"/>
  <c r="CQ476" i="1" s="1"/>
  <c r="P476" i="1" s="1"/>
  <c r="AE476" i="1"/>
  <c r="CS476" i="1" s="1"/>
  <c r="R476" i="1" s="1"/>
  <c r="GK476" i="1" s="1"/>
  <c r="AF476" i="1"/>
  <c r="CT476" i="1" s="1"/>
  <c r="S476" i="1" s="1"/>
  <c r="AG476" i="1"/>
  <c r="CU476" i="1" s="1"/>
  <c r="T476" i="1" s="1"/>
  <c r="AH476" i="1"/>
  <c r="CV476" i="1" s="1"/>
  <c r="U476" i="1" s="1"/>
  <c r="AI476" i="1"/>
  <c r="CW476" i="1" s="1"/>
  <c r="V476" i="1" s="1"/>
  <c r="AJ476" i="1"/>
  <c r="CX476" i="1" s="1"/>
  <c r="W476" i="1" s="1"/>
  <c r="FR476" i="1"/>
  <c r="GL476" i="1"/>
  <c r="GN476" i="1"/>
  <c r="GO476" i="1"/>
  <c r="GV476" i="1"/>
  <c r="HC476" i="1" s="1"/>
  <c r="GX476" i="1" s="1"/>
  <c r="D477" i="1"/>
  <c r="AC477" i="1"/>
  <c r="AE477" i="1"/>
  <c r="AD477" i="1" s="1"/>
  <c r="AF477" i="1"/>
  <c r="CT477" i="1" s="1"/>
  <c r="S477" i="1" s="1"/>
  <c r="AG477" i="1"/>
  <c r="AH477" i="1"/>
  <c r="CV477" i="1" s="1"/>
  <c r="U477" i="1" s="1"/>
  <c r="AI477" i="1"/>
  <c r="AJ477" i="1"/>
  <c r="CX477" i="1" s="1"/>
  <c r="W477" i="1" s="1"/>
  <c r="CQ477" i="1"/>
  <c r="P477" i="1" s="1"/>
  <c r="CR477" i="1"/>
  <c r="Q477" i="1" s="1"/>
  <c r="CS477" i="1"/>
  <c r="R477" i="1" s="1"/>
  <c r="GK477" i="1" s="1"/>
  <c r="CU477" i="1"/>
  <c r="T477" i="1" s="1"/>
  <c r="CW477" i="1"/>
  <c r="V477" i="1" s="1"/>
  <c r="FR477" i="1"/>
  <c r="GL477" i="1"/>
  <c r="GN477" i="1"/>
  <c r="GO477" i="1"/>
  <c r="GV477" i="1"/>
  <c r="HC477" i="1"/>
  <c r="GX477" i="1" s="1"/>
  <c r="D478" i="1"/>
  <c r="AC478" i="1"/>
  <c r="CQ478" i="1" s="1"/>
  <c r="P478" i="1" s="1"/>
  <c r="AE478" i="1"/>
  <c r="AF478" i="1"/>
  <c r="AG478" i="1"/>
  <c r="CU478" i="1" s="1"/>
  <c r="T478" i="1" s="1"/>
  <c r="AH478" i="1"/>
  <c r="AI478" i="1"/>
  <c r="AJ478" i="1"/>
  <c r="CX478" i="1" s="1"/>
  <c r="W478" i="1" s="1"/>
  <c r="CV478" i="1"/>
  <c r="U478" i="1" s="1"/>
  <c r="CW478" i="1"/>
  <c r="V478" i="1" s="1"/>
  <c r="FR478" i="1"/>
  <c r="GL478" i="1"/>
  <c r="GN478" i="1"/>
  <c r="GO478" i="1"/>
  <c r="GV478" i="1"/>
  <c r="HC478" i="1"/>
  <c r="GX478" i="1" s="1"/>
  <c r="D479" i="1"/>
  <c r="AC479" i="1"/>
  <c r="CQ479" i="1" s="1"/>
  <c r="P479" i="1" s="1"/>
  <c r="AE479" i="1"/>
  <c r="AD479" i="1" s="1"/>
  <c r="AF479" i="1"/>
  <c r="CT479" i="1" s="1"/>
  <c r="S479" i="1" s="1"/>
  <c r="AG479" i="1"/>
  <c r="CU479" i="1" s="1"/>
  <c r="T479" i="1" s="1"/>
  <c r="AH479" i="1"/>
  <c r="CV479" i="1" s="1"/>
  <c r="U479" i="1" s="1"/>
  <c r="AI479" i="1"/>
  <c r="CW479" i="1" s="1"/>
  <c r="V479" i="1" s="1"/>
  <c r="AJ479" i="1"/>
  <c r="CX479" i="1" s="1"/>
  <c r="W479" i="1" s="1"/>
  <c r="CR479" i="1"/>
  <c r="Q479" i="1" s="1"/>
  <c r="CS479" i="1"/>
  <c r="R479" i="1" s="1"/>
  <c r="GK479" i="1" s="1"/>
  <c r="FR479" i="1"/>
  <c r="GL479" i="1"/>
  <c r="GN479" i="1"/>
  <c r="GO479" i="1"/>
  <c r="GV479" i="1"/>
  <c r="HC479" i="1" s="1"/>
  <c r="GX479" i="1" s="1"/>
  <c r="D480" i="1"/>
  <c r="I480" i="1"/>
  <c r="K480" i="1"/>
  <c r="Q480" i="1"/>
  <c r="AC480" i="1"/>
  <c r="CQ480" i="1" s="1"/>
  <c r="P480" i="1" s="1"/>
  <c r="AE480" i="1"/>
  <c r="AD480" i="1" s="1"/>
  <c r="AF480" i="1"/>
  <c r="CT480" i="1" s="1"/>
  <c r="S480" i="1" s="1"/>
  <c r="AG480" i="1"/>
  <c r="AH480" i="1"/>
  <c r="CV480" i="1" s="1"/>
  <c r="U480" i="1" s="1"/>
  <c r="AI480" i="1"/>
  <c r="CW480" i="1" s="1"/>
  <c r="V480" i="1" s="1"/>
  <c r="AJ480" i="1"/>
  <c r="CX480" i="1" s="1"/>
  <c r="W480" i="1" s="1"/>
  <c r="CR480" i="1"/>
  <c r="CS480" i="1"/>
  <c r="R480" i="1" s="1"/>
  <c r="GK480" i="1" s="1"/>
  <c r="CU480" i="1"/>
  <c r="T480" i="1" s="1"/>
  <c r="FR480" i="1"/>
  <c r="GL480" i="1"/>
  <c r="GN480" i="1"/>
  <c r="GO480" i="1"/>
  <c r="GV480" i="1"/>
  <c r="HC480" i="1" s="1"/>
  <c r="GX480" i="1" s="1"/>
  <c r="D481" i="1"/>
  <c r="I481" i="1"/>
  <c r="K481" i="1"/>
  <c r="AC481" i="1"/>
  <c r="CQ481" i="1" s="1"/>
  <c r="AE481" i="1"/>
  <c r="AF481" i="1"/>
  <c r="CT481" i="1" s="1"/>
  <c r="S481" i="1" s="1"/>
  <c r="AG481" i="1"/>
  <c r="CU481" i="1" s="1"/>
  <c r="T481" i="1" s="1"/>
  <c r="AH481" i="1"/>
  <c r="AI481" i="1"/>
  <c r="AJ481" i="1"/>
  <c r="CV481" i="1"/>
  <c r="U481" i="1" s="1"/>
  <c r="CW481" i="1"/>
  <c r="V481" i="1" s="1"/>
  <c r="CX481" i="1"/>
  <c r="W481" i="1" s="1"/>
  <c r="FR481" i="1"/>
  <c r="GL481" i="1"/>
  <c r="GN481" i="1"/>
  <c r="GO481" i="1"/>
  <c r="GV481" i="1"/>
  <c r="HC481" i="1"/>
  <c r="GX481" i="1" s="1"/>
  <c r="D482" i="1"/>
  <c r="I482" i="1"/>
  <c r="K482" i="1"/>
  <c r="S482" i="1"/>
  <c r="CZ482" i="1" s="1"/>
  <c r="Y482" i="1" s="1"/>
  <c r="AC482" i="1"/>
  <c r="CQ482" i="1" s="1"/>
  <c r="AD482" i="1"/>
  <c r="AE482" i="1"/>
  <c r="AF482" i="1"/>
  <c r="CT482" i="1" s="1"/>
  <c r="AG482" i="1"/>
  <c r="CU482" i="1" s="1"/>
  <c r="AH482" i="1"/>
  <c r="AI482" i="1"/>
  <c r="CW482" i="1" s="1"/>
  <c r="V482" i="1" s="1"/>
  <c r="AJ482" i="1"/>
  <c r="CV482" i="1"/>
  <c r="U482" i="1" s="1"/>
  <c r="CX482" i="1"/>
  <c r="W482" i="1" s="1"/>
  <c r="CY482" i="1"/>
  <c r="X482" i="1" s="1"/>
  <c r="FR482" i="1"/>
  <c r="GL482" i="1"/>
  <c r="GN482" i="1"/>
  <c r="GO482" i="1"/>
  <c r="GV482" i="1"/>
  <c r="HC482" i="1"/>
  <c r="B484" i="1"/>
  <c r="B444" i="1" s="1"/>
  <c r="C484" i="1"/>
  <c r="C444" i="1" s="1"/>
  <c r="D484" i="1"/>
  <c r="D444" i="1" s="1"/>
  <c r="F484" i="1"/>
  <c r="F444" i="1" s="1"/>
  <c r="G484" i="1"/>
  <c r="BX484" i="1"/>
  <c r="BX444" i="1" s="1"/>
  <c r="CK484" i="1"/>
  <c r="CL484" i="1"/>
  <c r="CM484" i="1"/>
  <c r="CM444" i="1" s="1"/>
  <c r="D514" i="1"/>
  <c r="E516" i="1"/>
  <c r="Z516" i="1"/>
  <c r="AA516" i="1"/>
  <c r="AM516" i="1"/>
  <c r="AN516" i="1"/>
  <c r="BE516" i="1"/>
  <c r="BF516" i="1"/>
  <c r="BG516" i="1"/>
  <c r="BH516" i="1"/>
  <c r="BI516" i="1"/>
  <c r="BJ516" i="1"/>
  <c r="BK516" i="1"/>
  <c r="BL516" i="1"/>
  <c r="BM516" i="1"/>
  <c r="BN516" i="1"/>
  <c r="BO516" i="1"/>
  <c r="BP516" i="1"/>
  <c r="BQ516" i="1"/>
  <c r="BR516" i="1"/>
  <c r="BS516" i="1"/>
  <c r="BT516" i="1"/>
  <c r="BU516" i="1"/>
  <c r="BV516" i="1"/>
  <c r="BW516" i="1"/>
  <c r="CN516" i="1"/>
  <c r="CO516" i="1"/>
  <c r="CP516" i="1"/>
  <c r="CQ516" i="1"/>
  <c r="CR516" i="1"/>
  <c r="CS516" i="1"/>
  <c r="CT516" i="1"/>
  <c r="CU516" i="1"/>
  <c r="CV516" i="1"/>
  <c r="CW516" i="1"/>
  <c r="CX516" i="1"/>
  <c r="CY516" i="1"/>
  <c r="CZ516" i="1"/>
  <c r="DA516" i="1"/>
  <c r="DB516" i="1"/>
  <c r="DC516" i="1"/>
  <c r="DD516" i="1"/>
  <c r="DE516" i="1"/>
  <c r="DF516" i="1"/>
  <c r="DG516" i="1"/>
  <c r="DH516" i="1"/>
  <c r="DI516" i="1"/>
  <c r="DJ516" i="1"/>
  <c r="DK516" i="1"/>
  <c r="DL516" i="1"/>
  <c r="DM516" i="1"/>
  <c r="DN516" i="1"/>
  <c r="DO516" i="1"/>
  <c r="DP516" i="1"/>
  <c r="DQ516" i="1"/>
  <c r="DR516" i="1"/>
  <c r="DS516" i="1"/>
  <c r="DT516" i="1"/>
  <c r="DU516" i="1"/>
  <c r="DV516" i="1"/>
  <c r="DW516" i="1"/>
  <c r="DX516" i="1"/>
  <c r="DY516" i="1"/>
  <c r="DZ516" i="1"/>
  <c r="EA516" i="1"/>
  <c r="EB516" i="1"/>
  <c r="EC516" i="1"/>
  <c r="ED516" i="1"/>
  <c r="EE516" i="1"/>
  <c r="EF516" i="1"/>
  <c r="EG516" i="1"/>
  <c r="EH516" i="1"/>
  <c r="EI516" i="1"/>
  <c r="EJ516" i="1"/>
  <c r="EK516" i="1"/>
  <c r="EL516" i="1"/>
  <c r="EM516" i="1"/>
  <c r="EN516" i="1"/>
  <c r="EO516" i="1"/>
  <c r="EP516" i="1"/>
  <c r="EQ516" i="1"/>
  <c r="ER516" i="1"/>
  <c r="ES516" i="1"/>
  <c r="ET516" i="1"/>
  <c r="EU516" i="1"/>
  <c r="EV516" i="1"/>
  <c r="EW516" i="1"/>
  <c r="EX516" i="1"/>
  <c r="EY516" i="1"/>
  <c r="EZ516" i="1"/>
  <c r="FA516" i="1"/>
  <c r="FB516" i="1"/>
  <c r="FC516" i="1"/>
  <c r="FD516" i="1"/>
  <c r="FE516" i="1"/>
  <c r="FF516" i="1"/>
  <c r="FG516" i="1"/>
  <c r="FH516" i="1"/>
  <c r="FI516" i="1"/>
  <c r="FJ516" i="1"/>
  <c r="FK516" i="1"/>
  <c r="FL516" i="1"/>
  <c r="FM516" i="1"/>
  <c r="FN516" i="1"/>
  <c r="FO516" i="1"/>
  <c r="FP516" i="1"/>
  <c r="FQ516" i="1"/>
  <c r="FR516" i="1"/>
  <c r="FS516" i="1"/>
  <c r="FT516" i="1"/>
  <c r="FU516" i="1"/>
  <c r="FV516" i="1"/>
  <c r="FW516" i="1"/>
  <c r="FX516" i="1"/>
  <c r="FY516" i="1"/>
  <c r="FZ516" i="1"/>
  <c r="GA516" i="1"/>
  <c r="GB516" i="1"/>
  <c r="GC516" i="1"/>
  <c r="GD516" i="1"/>
  <c r="GE516" i="1"/>
  <c r="GF516" i="1"/>
  <c r="GG516" i="1"/>
  <c r="GH516" i="1"/>
  <c r="GI516" i="1"/>
  <c r="GJ516" i="1"/>
  <c r="GK516" i="1"/>
  <c r="GL516" i="1"/>
  <c r="GM516" i="1"/>
  <c r="GN516" i="1"/>
  <c r="GO516" i="1"/>
  <c r="GP516" i="1"/>
  <c r="GQ516" i="1"/>
  <c r="GR516" i="1"/>
  <c r="GS516" i="1"/>
  <c r="GT516" i="1"/>
  <c r="GU516" i="1"/>
  <c r="GV516" i="1"/>
  <c r="GW516" i="1"/>
  <c r="GX516" i="1"/>
  <c r="D519" i="1"/>
  <c r="I519" i="1"/>
  <c r="K519" i="1"/>
  <c r="AC519" i="1"/>
  <c r="AE519" i="1"/>
  <c r="AD519" i="1" s="1"/>
  <c r="AF519" i="1"/>
  <c r="CT519" i="1" s="1"/>
  <c r="S519" i="1" s="1"/>
  <c r="AG519" i="1"/>
  <c r="CU519" i="1" s="1"/>
  <c r="T519" i="1" s="1"/>
  <c r="AH519" i="1"/>
  <c r="CV519" i="1" s="1"/>
  <c r="AI519" i="1"/>
  <c r="CW519" i="1" s="1"/>
  <c r="V519" i="1" s="1"/>
  <c r="AJ519" i="1"/>
  <c r="CX519" i="1" s="1"/>
  <c r="W519" i="1" s="1"/>
  <c r="CQ519" i="1"/>
  <c r="P519" i="1" s="1"/>
  <c r="CR519" i="1"/>
  <c r="Q519" i="1" s="1"/>
  <c r="CS519" i="1"/>
  <c r="R519" i="1" s="1"/>
  <c r="GK519" i="1" s="1"/>
  <c r="FR519" i="1"/>
  <c r="GL519" i="1"/>
  <c r="GN519" i="1"/>
  <c r="GO519" i="1"/>
  <c r="GV519" i="1"/>
  <c r="HC519" i="1" s="1"/>
  <c r="GX519" i="1" s="1"/>
  <c r="D520" i="1"/>
  <c r="I520" i="1"/>
  <c r="K520" i="1"/>
  <c r="AC520" i="1"/>
  <c r="CQ520" i="1" s="1"/>
  <c r="P520" i="1" s="1"/>
  <c r="AE520" i="1"/>
  <c r="AF520" i="1"/>
  <c r="AG520" i="1"/>
  <c r="AH520" i="1"/>
  <c r="CV520" i="1" s="1"/>
  <c r="U520" i="1" s="1"/>
  <c r="AI520" i="1"/>
  <c r="AJ520" i="1"/>
  <c r="CX520" i="1" s="1"/>
  <c r="W520" i="1" s="1"/>
  <c r="CU520" i="1"/>
  <c r="T520" i="1" s="1"/>
  <c r="CW520" i="1"/>
  <c r="V520" i="1" s="1"/>
  <c r="FR520" i="1"/>
  <c r="GL520" i="1"/>
  <c r="GN520" i="1"/>
  <c r="GO520" i="1"/>
  <c r="GV520" i="1"/>
  <c r="HC520" i="1"/>
  <c r="D521" i="1"/>
  <c r="I521" i="1"/>
  <c r="K521" i="1"/>
  <c r="AC521" i="1"/>
  <c r="CQ521" i="1" s="1"/>
  <c r="P521" i="1" s="1"/>
  <c r="AE521" i="1"/>
  <c r="AD521" i="1" s="1"/>
  <c r="AF521" i="1"/>
  <c r="AG521" i="1"/>
  <c r="CU521" i="1" s="1"/>
  <c r="AH521" i="1"/>
  <c r="CV521" i="1" s="1"/>
  <c r="AI521" i="1"/>
  <c r="CW521" i="1" s="1"/>
  <c r="AJ521" i="1"/>
  <c r="CX521" i="1" s="1"/>
  <c r="CT521" i="1"/>
  <c r="S521" i="1" s="1"/>
  <c r="CY521" i="1" s="1"/>
  <c r="X521" i="1" s="1"/>
  <c r="FR521" i="1"/>
  <c r="GL521" i="1"/>
  <c r="GN521" i="1"/>
  <c r="GO521" i="1"/>
  <c r="GV521" i="1"/>
  <c r="HC521" i="1"/>
  <c r="D522" i="1"/>
  <c r="I522" i="1"/>
  <c r="K522" i="1"/>
  <c r="AC522" i="1"/>
  <c r="CQ522" i="1" s="1"/>
  <c r="AE522" i="1"/>
  <c r="AF522" i="1"/>
  <c r="AG522" i="1"/>
  <c r="CU522" i="1" s="1"/>
  <c r="T522" i="1" s="1"/>
  <c r="AH522" i="1"/>
  <c r="AI522" i="1"/>
  <c r="CW522" i="1" s="1"/>
  <c r="V522" i="1" s="1"/>
  <c r="AJ522" i="1"/>
  <c r="CV522" i="1"/>
  <c r="U522" i="1" s="1"/>
  <c r="CX522" i="1"/>
  <c r="W522" i="1" s="1"/>
  <c r="FR522" i="1"/>
  <c r="GL522" i="1"/>
  <c r="GN522" i="1"/>
  <c r="GO522" i="1"/>
  <c r="GV522" i="1"/>
  <c r="HC522" i="1" s="1"/>
  <c r="GX522" i="1" s="1"/>
  <c r="D523" i="1"/>
  <c r="I523" i="1"/>
  <c r="K523" i="1"/>
  <c r="AC523" i="1"/>
  <c r="AE523" i="1"/>
  <c r="AD523" i="1" s="1"/>
  <c r="AB523" i="1" s="1"/>
  <c r="AF523" i="1"/>
  <c r="CT523" i="1" s="1"/>
  <c r="S523" i="1" s="1"/>
  <c r="AG523" i="1"/>
  <c r="CU523" i="1" s="1"/>
  <c r="T523" i="1" s="1"/>
  <c r="AH523" i="1"/>
  <c r="CV523" i="1" s="1"/>
  <c r="U523" i="1" s="1"/>
  <c r="AI523" i="1"/>
  <c r="CW523" i="1" s="1"/>
  <c r="V523" i="1" s="1"/>
  <c r="AJ523" i="1"/>
  <c r="CX523" i="1" s="1"/>
  <c r="W523" i="1" s="1"/>
  <c r="CQ523" i="1"/>
  <c r="P523" i="1" s="1"/>
  <c r="CR523" i="1"/>
  <c r="Q523" i="1" s="1"/>
  <c r="CS523" i="1"/>
  <c r="R523" i="1" s="1"/>
  <c r="GK523" i="1" s="1"/>
  <c r="FR523" i="1"/>
  <c r="GL523" i="1"/>
  <c r="GN523" i="1"/>
  <c r="GO523" i="1"/>
  <c r="GV523" i="1"/>
  <c r="HC523" i="1" s="1"/>
  <c r="GX523" i="1" s="1"/>
  <c r="D525" i="1"/>
  <c r="AC525" i="1"/>
  <c r="CQ525" i="1" s="1"/>
  <c r="P525" i="1" s="1"/>
  <c r="AE525" i="1"/>
  <c r="AF525" i="1"/>
  <c r="CT525" i="1" s="1"/>
  <c r="S525" i="1" s="1"/>
  <c r="CY525" i="1" s="1"/>
  <c r="X525" i="1" s="1"/>
  <c r="AG525" i="1"/>
  <c r="CU525" i="1" s="1"/>
  <c r="T525" i="1" s="1"/>
  <c r="AH525" i="1"/>
  <c r="CV525" i="1" s="1"/>
  <c r="U525" i="1" s="1"/>
  <c r="AI525" i="1"/>
  <c r="CW525" i="1" s="1"/>
  <c r="V525" i="1" s="1"/>
  <c r="AJ525" i="1"/>
  <c r="CX525" i="1"/>
  <c r="W525" i="1" s="1"/>
  <c r="FR525" i="1"/>
  <c r="GL525" i="1"/>
  <c r="GN525" i="1"/>
  <c r="GO525" i="1"/>
  <c r="GV525" i="1"/>
  <c r="HC525" i="1" s="1"/>
  <c r="GX525" i="1" s="1"/>
  <c r="D526" i="1"/>
  <c r="AC526" i="1"/>
  <c r="CQ526" i="1" s="1"/>
  <c r="P526" i="1" s="1"/>
  <c r="AE526" i="1"/>
  <c r="AF526" i="1"/>
  <c r="AG526" i="1"/>
  <c r="CU526" i="1" s="1"/>
  <c r="T526" i="1" s="1"/>
  <c r="AH526" i="1"/>
  <c r="AI526" i="1"/>
  <c r="CW526" i="1" s="1"/>
  <c r="V526" i="1" s="1"/>
  <c r="AJ526" i="1"/>
  <c r="CX526" i="1" s="1"/>
  <c r="W526" i="1" s="1"/>
  <c r="CR526" i="1"/>
  <c r="Q526" i="1" s="1"/>
  <c r="CV526" i="1"/>
  <c r="U526" i="1" s="1"/>
  <c r="FR526" i="1"/>
  <c r="GL526" i="1"/>
  <c r="GN526" i="1"/>
  <c r="CB536" i="1" s="1"/>
  <c r="GO526" i="1"/>
  <c r="GV526" i="1"/>
  <c r="HC526" i="1" s="1"/>
  <c r="GX526" i="1" s="1"/>
  <c r="D527" i="1"/>
  <c r="P527" i="1"/>
  <c r="AC527" i="1"/>
  <c r="CQ527" i="1" s="1"/>
  <c r="AE527" i="1"/>
  <c r="CR527" i="1" s="1"/>
  <c r="Q527" i="1" s="1"/>
  <c r="AF527" i="1"/>
  <c r="CT527" i="1" s="1"/>
  <c r="S527" i="1" s="1"/>
  <c r="AG527" i="1"/>
  <c r="CU527" i="1" s="1"/>
  <c r="T527" i="1" s="1"/>
  <c r="AH527" i="1"/>
  <c r="CV527" i="1" s="1"/>
  <c r="U527" i="1" s="1"/>
  <c r="AI527" i="1"/>
  <c r="CW527" i="1" s="1"/>
  <c r="V527" i="1" s="1"/>
  <c r="AJ527" i="1"/>
  <c r="CX527" i="1" s="1"/>
  <c r="W527" i="1" s="1"/>
  <c r="CS527" i="1"/>
  <c r="R527" i="1" s="1"/>
  <c r="GK527" i="1" s="1"/>
  <c r="FR527" i="1"/>
  <c r="GL527" i="1"/>
  <c r="GN527" i="1"/>
  <c r="GO527" i="1"/>
  <c r="GV527" i="1"/>
  <c r="HC527" i="1" s="1"/>
  <c r="GX527" i="1" s="1"/>
  <c r="D528" i="1"/>
  <c r="AC528" i="1"/>
  <c r="CQ528" i="1" s="1"/>
  <c r="P528" i="1" s="1"/>
  <c r="AE528" i="1"/>
  <c r="AD528" i="1" s="1"/>
  <c r="AF528" i="1"/>
  <c r="AG528" i="1"/>
  <c r="CU528" i="1" s="1"/>
  <c r="T528" i="1" s="1"/>
  <c r="AH528" i="1"/>
  <c r="CV528" i="1" s="1"/>
  <c r="U528" i="1" s="1"/>
  <c r="AI528" i="1"/>
  <c r="AJ528" i="1"/>
  <c r="CR528" i="1"/>
  <c r="Q528" i="1" s="1"/>
  <c r="CS528" i="1"/>
  <c r="R528" i="1" s="1"/>
  <c r="GK528" i="1" s="1"/>
  <c r="CT528" i="1"/>
  <c r="S528" i="1" s="1"/>
  <c r="CY528" i="1" s="1"/>
  <c r="X528" i="1" s="1"/>
  <c r="CW528" i="1"/>
  <c r="V528" i="1" s="1"/>
  <c r="CX528" i="1"/>
  <c r="W528" i="1" s="1"/>
  <c r="CZ528" i="1"/>
  <c r="Y528" i="1" s="1"/>
  <c r="FR528" i="1"/>
  <c r="GL528" i="1"/>
  <c r="GN528" i="1"/>
  <c r="GO528" i="1"/>
  <c r="GV528" i="1"/>
  <c r="HC528" i="1" s="1"/>
  <c r="GX528" i="1" s="1"/>
  <c r="D529" i="1"/>
  <c r="AC529" i="1"/>
  <c r="AE529" i="1"/>
  <c r="AF529" i="1"/>
  <c r="AG529" i="1"/>
  <c r="CU529" i="1" s="1"/>
  <c r="T529" i="1" s="1"/>
  <c r="AH529" i="1"/>
  <c r="CV529" i="1" s="1"/>
  <c r="U529" i="1" s="1"/>
  <c r="AI529" i="1"/>
  <c r="CW529" i="1" s="1"/>
  <c r="V529" i="1" s="1"/>
  <c r="AJ529" i="1"/>
  <c r="CX529" i="1" s="1"/>
  <c r="W529" i="1" s="1"/>
  <c r="CQ529" i="1"/>
  <c r="P529" i="1" s="1"/>
  <c r="FR529" i="1"/>
  <c r="GL529" i="1"/>
  <c r="GN529" i="1"/>
  <c r="GO529" i="1"/>
  <c r="GV529" i="1"/>
  <c r="HC529" i="1" s="1"/>
  <c r="GX529" i="1" s="1"/>
  <c r="D530" i="1"/>
  <c r="AC530" i="1"/>
  <c r="CQ530" i="1" s="1"/>
  <c r="P530" i="1" s="1"/>
  <c r="AE530" i="1"/>
  <c r="AF530" i="1"/>
  <c r="CT530" i="1" s="1"/>
  <c r="S530" i="1" s="1"/>
  <c r="CY530" i="1" s="1"/>
  <c r="X530" i="1" s="1"/>
  <c r="AG530" i="1"/>
  <c r="CU530" i="1" s="1"/>
  <c r="T530" i="1" s="1"/>
  <c r="AH530" i="1"/>
  <c r="AI530" i="1"/>
  <c r="AJ530" i="1"/>
  <c r="CX530" i="1" s="1"/>
  <c r="W530" i="1" s="1"/>
  <c r="CV530" i="1"/>
  <c r="U530" i="1" s="1"/>
  <c r="CW530" i="1"/>
  <c r="V530" i="1" s="1"/>
  <c r="FR530" i="1"/>
  <c r="GL530" i="1"/>
  <c r="GN530" i="1"/>
  <c r="GO530" i="1"/>
  <c r="GV530" i="1"/>
  <c r="HC530" i="1"/>
  <c r="GX530" i="1" s="1"/>
  <c r="D531" i="1"/>
  <c r="AC531" i="1"/>
  <c r="CQ531" i="1" s="1"/>
  <c r="P531" i="1" s="1"/>
  <c r="AE531" i="1"/>
  <c r="AF531" i="1"/>
  <c r="AG531" i="1"/>
  <c r="CU531" i="1" s="1"/>
  <c r="T531" i="1" s="1"/>
  <c r="AH531" i="1"/>
  <c r="CV531" i="1" s="1"/>
  <c r="U531" i="1" s="1"/>
  <c r="AI531" i="1"/>
  <c r="AJ531" i="1"/>
  <c r="CX531" i="1" s="1"/>
  <c r="W531" i="1" s="1"/>
  <c r="CT531" i="1"/>
  <c r="S531" i="1" s="1"/>
  <c r="CW531" i="1"/>
  <c r="V531" i="1" s="1"/>
  <c r="FR531" i="1"/>
  <c r="GL531" i="1"/>
  <c r="GN531" i="1"/>
  <c r="GO531" i="1"/>
  <c r="GV531" i="1"/>
  <c r="HC531" i="1" s="1"/>
  <c r="GX531" i="1" s="1"/>
  <c r="D532" i="1"/>
  <c r="AC532" i="1"/>
  <c r="CQ532" i="1" s="1"/>
  <c r="P532" i="1" s="1"/>
  <c r="AE532" i="1"/>
  <c r="AD532" i="1" s="1"/>
  <c r="AF532" i="1"/>
  <c r="CT532" i="1" s="1"/>
  <c r="S532" i="1" s="1"/>
  <c r="AG532" i="1"/>
  <c r="CU532" i="1" s="1"/>
  <c r="T532" i="1" s="1"/>
  <c r="AH532" i="1"/>
  <c r="CV532" i="1" s="1"/>
  <c r="U532" i="1" s="1"/>
  <c r="AI532" i="1"/>
  <c r="CW532" i="1" s="1"/>
  <c r="V532" i="1" s="1"/>
  <c r="AJ532" i="1"/>
  <c r="CX532" i="1" s="1"/>
  <c r="W532" i="1" s="1"/>
  <c r="FR532" i="1"/>
  <c r="GL532" i="1"/>
  <c r="GN532" i="1"/>
  <c r="GO532" i="1"/>
  <c r="GV532" i="1"/>
  <c r="HC532" i="1" s="1"/>
  <c r="GX532" i="1" s="1"/>
  <c r="D533" i="1"/>
  <c r="I533" i="1"/>
  <c r="K533" i="1"/>
  <c r="AC533" i="1"/>
  <c r="CQ533" i="1" s="1"/>
  <c r="AE533" i="1"/>
  <c r="AF533" i="1"/>
  <c r="AG533" i="1"/>
  <c r="CU533" i="1" s="1"/>
  <c r="T533" i="1" s="1"/>
  <c r="AH533" i="1"/>
  <c r="CV533" i="1" s="1"/>
  <c r="U533" i="1" s="1"/>
  <c r="AI533" i="1"/>
  <c r="CW533" i="1" s="1"/>
  <c r="V533" i="1" s="1"/>
  <c r="AJ533" i="1"/>
  <c r="CS533" i="1"/>
  <c r="CX533" i="1"/>
  <c r="FR533" i="1"/>
  <c r="GL533" i="1"/>
  <c r="GN533" i="1"/>
  <c r="GO533" i="1"/>
  <c r="GV533" i="1"/>
  <c r="HC533" i="1"/>
  <c r="D534" i="1"/>
  <c r="I534" i="1"/>
  <c r="K534" i="1"/>
  <c r="AC534" i="1"/>
  <c r="CQ534" i="1" s="1"/>
  <c r="AE534" i="1"/>
  <c r="AF534" i="1"/>
  <c r="CT534" i="1" s="1"/>
  <c r="AG534" i="1"/>
  <c r="CU534" i="1" s="1"/>
  <c r="AH534" i="1"/>
  <c r="CV534" i="1" s="1"/>
  <c r="AI534" i="1"/>
  <c r="CW534" i="1" s="1"/>
  <c r="AJ534" i="1"/>
  <c r="CX534" i="1" s="1"/>
  <c r="FR534" i="1"/>
  <c r="GL534" i="1"/>
  <c r="GN534" i="1"/>
  <c r="GO534" i="1"/>
  <c r="GV534" i="1"/>
  <c r="HC534" i="1" s="1"/>
  <c r="B536" i="1"/>
  <c r="B516" i="1" s="1"/>
  <c r="C536" i="1"/>
  <c r="C516" i="1" s="1"/>
  <c r="D536" i="1"/>
  <c r="D516" i="1" s="1"/>
  <c r="F536" i="1"/>
  <c r="F516" i="1" s="1"/>
  <c r="G536" i="1"/>
  <c r="BX536" i="1"/>
  <c r="CK536" i="1"/>
  <c r="CK516" i="1" s="1"/>
  <c r="CL536" i="1"/>
  <c r="CL516" i="1" s="1"/>
  <c r="CM536" i="1"/>
  <c r="CM516" i="1" s="1"/>
  <c r="B566" i="1"/>
  <c r="B440" i="1" s="1"/>
  <c r="C566" i="1"/>
  <c r="C440" i="1" s="1"/>
  <c r="D566" i="1"/>
  <c r="D440" i="1" s="1"/>
  <c r="F566" i="1"/>
  <c r="F440" i="1" s="1"/>
  <c r="G566" i="1"/>
  <c r="D596" i="1"/>
  <c r="E598" i="1"/>
  <c r="Z598" i="1"/>
  <c r="AA598" i="1"/>
  <c r="AB598" i="1"/>
  <c r="AC598" i="1"/>
  <c r="AD598" i="1"/>
  <c r="AE598" i="1"/>
  <c r="AF598" i="1"/>
  <c r="AG598" i="1"/>
  <c r="AH598" i="1"/>
  <c r="AI598" i="1"/>
  <c r="AJ598" i="1"/>
  <c r="AK598" i="1"/>
  <c r="AL598" i="1"/>
  <c r="AM598" i="1"/>
  <c r="AN598" i="1"/>
  <c r="BE598" i="1"/>
  <c r="BF598" i="1"/>
  <c r="BG598" i="1"/>
  <c r="BH598" i="1"/>
  <c r="BI598" i="1"/>
  <c r="BJ598" i="1"/>
  <c r="BK598" i="1"/>
  <c r="BL598" i="1"/>
  <c r="BM598" i="1"/>
  <c r="BN598" i="1"/>
  <c r="BO598" i="1"/>
  <c r="BP598" i="1"/>
  <c r="BQ598" i="1"/>
  <c r="BR598" i="1"/>
  <c r="BS598" i="1"/>
  <c r="BT598" i="1"/>
  <c r="BU598" i="1"/>
  <c r="BV598" i="1"/>
  <c r="BW598" i="1"/>
  <c r="BX598" i="1"/>
  <c r="BY598" i="1"/>
  <c r="BZ598" i="1"/>
  <c r="CA598" i="1"/>
  <c r="CB598" i="1"/>
  <c r="CC598" i="1"/>
  <c r="CD598" i="1"/>
  <c r="CE598" i="1"/>
  <c r="CF598" i="1"/>
  <c r="CG598" i="1"/>
  <c r="CH598" i="1"/>
  <c r="CI598" i="1"/>
  <c r="CJ598" i="1"/>
  <c r="CK598" i="1"/>
  <c r="CL598" i="1"/>
  <c r="CM598" i="1"/>
  <c r="CN598" i="1"/>
  <c r="CO598" i="1"/>
  <c r="CP598" i="1"/>
  <c r="CQ598" i="1"/>
  <c r="CR598" i="1"/>
  <c r="CS598" i="1"/>
  <c r="CT598" i="1"/>
  <c r="CU598" i="1"/>
  <c r="CV598" i="1"/>
  <c r="CW598" i="1"/>
  <c r="CX598" i="1"/>
  <c r="CY598" i="1"/>
  <c r="CZ598" i="1"/>
  <c r="DA598" i="1"/>
  <c r="DB598" i="1"/>
  <c r="DC598" i="1"/>
  <c r="DD598" i="1"/>
  <c r="DE598" i="1"/>
  <c r="DF598" i="1"/>
  <c r="DG598" i="1"/>
  <c r="DH598" i="1"/>
  <c r="DI598" i="1"/>
  <c r="DJ598" i="1"/>
  <c r="DK598" i="1"/>
  <c r="DL598" i="1"/>
  <c r="DM598" i="1"/>
  <c r="DN598" i="1"/>
  <c r="DO598" i="1"/>
  <c r="DP598" i="1"/>
  <c r="DQ598" i="1"/>
  <c r="DR598" i="1"/>
  <c r="DS598" i="1"/>
  <c r="DT598" i="1"/>
  <c r="DU598" i="1"/>
  <c r="DV598" i="1"/>
  <c r="DW598" i="1"/>
  <c r="DX598" i="1"/>
  <c r="DY598" i="1"/>
  <c r="DZ598" i="1"/>
  <c r="EA598" i="1"/>
  <c r="EB598" i="1"/>
  <c r="EC598" i="1"/>
  <c r="ED598" i="1"/>
  <c r="EE598" i="1"/>
  <c r="EF598" i="1"/>
  <c r="EG598" i="1"/>
  <c r="EH598" i="1"/>
  <c r="EI598" i="1"/>
  <c r="EJ598" i="1"/>
  <c r="EK598" i="1"/>
  <c r="EL598" i="1"/>
  <c r="EM598" i="1"/>
  <c r="EN598" i="1"/>
  <c r="EO598" i="1"/>
  <c r="EP598" i="1"/>
  <c r="EQ598" i="1"/>
  <c r="ER598" i="1"/>
  <c r="ES598" i="1"/>
  <c r="ET598" i="1"/>
  <c r="EU598" i="1"/>
  <c r="EV598" i="1"/>
  <c r="EW598" i="1"/>
  <c r="EX598" i="1"/>
  <c r="EY598" i="1"/>
  <c r="EZ598" i="1"/>
  <c r="FA598" i="1"/>
  <c r="FB598" i="1"/>
  <c r="FC598" i="1"/>
  <c r="FD598" i="1"/>
  <c r="FE598" i="1"/>
  <c r="FF598" i="1"/>
  <c r="FG598" i="1"/>
  <c r="FH598" i="1"/>
  <c r="FI598" i="1"/>
  <c r="FJ598" i="1"/>
  <c r="FK598" i="1"/>
  <c r="FL598" i="1"/>
  <c r="FM598" i="1"/>
  <c r="FN598" i="1"/>
  <c r="FO598" i="1"/>
  <c r="FP598" i="1"/>
  <c r="FQ598" i="1"/>
  <c r="FR598" i="1"/>
  <c r="FS598" i="1"/>
  <c r="FT598" i="1"/>
  <c r="FU598" i="1"/>
  <c r="FV598" i="1"/>
  <c r="FW598" i="1"/>
  <c r="FX598" i="1"/>
  <c r="FY598" i="1"/>
  <c r="FZ598" i="1"/>
  <c r="GA598" i="1"/>
  <c r="GB598" i="1"/>
  <c r="GC598" i="1"/>
  <c r="GD598" i="1"/>
  <c r="GE598" i="1"/>
  <c r="GF598" i="1"/>
  <c r="GG598" i="1"/>
  <c r="GH598" i="1"/>
  <c r="GI598" i="1"/>
  <c r="GJ598" i="1"/>
  <c r="GK598" i="1"/>
  <c r="GL598" i="1"/>
  <c r="GM598" i="1"/>
  <c r="GN598" i="1"/>
  <c r="GO598" i="1"/>
  <c r="GP598" i="1"/>
  <c r="GQ598" i="1"/>
  <c r="GR598" i="1"/>
  <c r="GS598" i="1"/>
  <c r="GT598" i="1"/>
  <c r="GU598" i="1"/>
  <c r="GV598" i="1"/>
  <c r="GW598" i="1"/>
  <c r="GX598" i="1"/>
  <c r="D600" i="1"/>
  <c r="E602" i="1"/>
  <c r="Z602" i="1"/>
  <c r="AA602" i="1"/>
  <c r="AM602" i="1"/>
  <c r="AN602" i="1"/>
  <c r="BE602" i="1"/>
  <c r="BF602" i="1"/>
  <c r="BG602" i="1"/>
  <c r="BH602" i="1"/>
  <c r="BI602" i="1"/>
  <c r="BJ602" i="1"/>
  <c r="BK602" i="1"/>
  <c r="BL602" i="1"/>
  <c r="BM602" i="1"/>
  <c r="BN602" i="1"/>
  <c r="BO602" i="1"/>
  <c r="BP602" i="1"/>
  <c r="BQ602" i="1"/>
  <c r="BR602" i="1"/>
  <c r="BS602" i="1"/>
  <c r="BT602" i="1"/>
  <c r="BU602" i="1"/>
  <c r="BV602" i="1"/>
  <c r="BW602" i="1"/>
  <c r="CN602" i="1"/>
  <c r="CO602" i="1"/>
  <c r="CP602" i="1"/>
  <c r="CQ602" i="1"/>
  <c r="CR602" i="1"/>
  <c r="CS602" i="1"/>
  <c r="CT602" i="1"/>
  <c r="CU602" i="1"/>
  <c r="CV602" i="1"/>
  <c r="CW602" i="1"/>
  <c r="CX602" i="1"/>
  <c r="CY602" i="1"/>
  <c r="CZ602" i="1"/>
  <c r="DA602" i="1"/>
  <c r="DB602" i="1"/>
  <c r="DC602" i="1"/>
  <c r="DD602" i="1"/>
  <c r="DE602" i="1"/>
  <c r="DF602" i="1"/>
  <c r="DG602" i="1"/>
  <c r="DH602" i="1"/>
  <c r="DI602" i="1"/>
  <c r="DJ602" i="1"/>
  <c r="DK602" i="1"/>
  <c r="DL602" i="1"/>
  <c r="DM602" i="1"/>
  <c r="DN602" i="1"/>
  <c r="DO602" i="1"/>
  <c r="DP602" i="1"/>
  <c r="DQ602" i="1"/>
  <c r="DR602" i="1"/>
  <c r="DS602" i="1"/>
  <c r="DT602" i="1"/>
  <c r="DU602" i="1"/>
  <c r="DV602" i="1"/>
  <c r="DW602" i="1"/>
  <c r="DX602" i="1"/>
  <c r="DY602" i="1"/>
  <c r="DZ602" i="1"/>
  <c r="EA602" i="1"/>
  <c r="EB602" i="1"/>
  <c r="EC602" i="1"/>
  <c r="ED602" i="1"/>
  <c r="EE602" i="1"/>
  <c r="EF602" i="1"/>
  <c r="EG602" i="1"/>
  <c r="EH602" i="1"/>
  <c r="EI602" i="1"/>
  <c r="EJ602" i="1"/>
  <c r="EK602" i="1"/>
  <c r="EL602" i="1"/>
  <c r="EM602" i="1"/>
  <c r="EN602" i="1"/>
  <c r="EO602" i="1"/>
  <c r="EP602" i="1"/>
  <c r="EQ602" i="1"/>
  <c r="ER602" i="1"/>
  <c r="ES602" i="1"/>
  <c r="ET602" i="1"/>
  <c r="EU602" i="1"/>
  <c r="EV602" i="1"/>
  <c r="EW602" i="1"/>
  <c r="EX602" i="1"/>
  <c r="EY602" i="1"/>
  <c r="EZ602" i="1"/>
  <c r="FA602" i="1"/>
  <c r="FB602" i="1"/>
  <c r="FC602" i="1"/>
  <c r="FD602" i="1"/>
  <c r="FE602" i="1"/>
  <c r="FF602" i="1"/>
  <c r="FG602" i="1"/>
  <c r="FH602" i="1"/>
  <c r="FI602" i="1"/>
  <c r="FJ602" i="1"/>
  <c r="FK602" i="1"/>
  <c r="FL602" i="1"/>
  <c r="FM602" i="1"/>
  <c r="FN602" i="1"/>
  <c r="FO602" i="1"/>
  <c r="FP602" i="1"/>
  <c r="FQ602" i="1"/>
  <c r="FR602" i="1"/>
  <c r="FS602" i="1"/>
  <c r="FT602" i="1"/>
  <c r="FU602" i="1"/>
  <c r="FV602" i="1"/>
  <c r="FW602" i="1"/>
  <c r="FX602" i="1"/>
  <c r="FY602" i="1"/>
  <c r="FZ602" i="1"/>
  <c r="GA602" i="1"/>
  <c r="GB602" i="1"/>
  <c r="GC602" i="1"/>
  <c r="GD602" i="1"/>
  <c r="GE602" i="1"/>
  <c r="GF602" i="1"/>
  <c r="GG602" i="1"/>
  <c r="GH602" i="1"/>
  <c r="GI602" i="1"/>
  <c r="GJ602" i="1"/>
  <c r="GK602" i="1"/>
  <c r="GL602" i="1"/>
  <c r="GM602" i="1"/>
  <c r="GN602" i="1"/>
  <c r="GO602" i="1"/>
  <c r="GP602" i="1"/>
  <c r="GQ602" i="1"/>
  <c r="GR602" i="1"/>
  <c r="GS602" i="1"/>
  <c r="GT602" i="1"/>
  <c r="GU602" i="1"/>
  <c r="GV602" i="1"/>
  <c r="GW602" i="1"/>
  <c r="GX602" i="1"/>
  <c r="D605" i="1"/>
  <c r="I605" i="1"/>
  <c r="K605" i="1"/>
  <c r="AC605" i="1"/>
  <c r="AE605" i="1"/>
  <c r="AF605" i="1"/>
  <c r="AG605" i="1"/>
  <c r="CU605" i="1" s="1"/>
  <c r="T605" i="1" s="1"/>
  <c r="AH605" i="1"/>
  <c r="CV605" i="1" s="1"/>
  <c r="U605" i="1" s="1"/>
  <c r="AI605" i="1"/>
  <c r="CW605" i="1" s="1"/>
  <c r="AJ605" i="1"/>
  <c r="CX605" i="1"/>
  <c r="FR605" i="1"/>
  <c r="GL605" i="1"/>
  <c r="GN605" i="1"/>
  <c r="GO605" i="1"/>
  <c r="GV605" i="1"/>
  <c r="HC605" i="1"/>
  <c r="GX605" i="1" s="1"/>
  <c r="D606" i="1"/>
  <c r="I606" i="1"/>
  <c r="K606" i="1"/>
  <c r="AC606" i="1"/>
  <c r="AE606" i="1"/>
  <c r="AF606" i="1"/>
  <c r="CT606" i="1" s="1"/>
  <c r="S606" i="1" s="1"/>
  <c r="AG606" i="1"/>
  <c r="CU606" i="1" s="1"/>
  <c r="T606" i="1" s="1"/>
  <c r="AH606" i="1"/>
  <c r="CV606" i="1" s="1"/>
  <c r="U606" i="1" s="1"/>
  <c r="AI606" i="1"/>
  <c r="CW606" i="1" s="1"/>
  <c r="V606" i="1" s="1"/>
  <c r="AJ606" i="1"/>
  <c r="CX606" i="1" s="1"/>
  <c r="CQ606" i="1"/>
  <c r="P606" i="1" s="1"/>
  <c r="CR606" i="1"/>
  <c r="Q606" i="1" s="1"/>
  <c r="FR606" i="1"/>
  <c r="GL606" i="1"/>
  <c r="GN606" i="1"/>
  <c r="GO606" i="1"/>
  <c r="GV606" i="1"/>
  <c r="HC606" i="1" s="1"/>
  <c r="GX606" i="1" s="1"/>
  <c r="D607" i="1"/>
  <c r="I607" i="1"/>
  <c r="K607" i="1"/>
  <c r="AC607" i="1"/>
  <c r="AD607" i="1"/>
  <c r="AE607" i="1"/>
  <c r="AF607" i="1"/>
  <c r="CT607" i="1" s="1"/>
  <c r="S607" i="1" s="1"/>
  <c r="AG607" i="1"/>
  <c r="AH607" i="1"/>
  <c r="AI607" i="1"/>
  <c r="AJ607" i="1"/>
  <c r="CR607" i="1"/>
  <c r="CS607" i="1"/>
  <c r="CU607" i="1"/>
  <c r="CV607" i="1"/>
  <c r="U607" i="1" s="1"/>
  <c r="CW607" i="1"/>
  <c r="V607" i="1" s="1"/>
  <c r="CX607" i="1"/>
  <c r="W607" i="1" s="1"/>
  <c r="FR607" i="1"/>
  <c r="GL607" i="1"/>
  <c r="GN607" i="1"/>
  <c r="GO607" i="1"/>
  <c r="GV607" i="1"/>
  <c r="HC607" i="1" s="1"/>
  <c r="GX607" i="1" s="1"/>
  <c r="D608" i="1"/>
  <c r="I608" i="1"/>
  <c r="K608" i="1"/>
  <c r="AC608" i="1"/>
  <c r="CQ608" i="1" s="1"/>
  <c r="P608" i="1" s="1"/>
  <c r="AE608" i="1"/>
  <c r="AF608" i="1"/>
  <c r="CT608" i="1" s="1"/>
  <c r="AG608" i="1"/>
  <c r="CU608" i="1" s="1"/>
  <c r="AH608" i="1"/>
  <c r="CV608" i="1" s="1"/>
  <c r="AI608" i="1"/>
  <c r="AJ608" i="1"/>
  <c r="CX608" i="1" s="1"/>
  <c r="W608" i="1" s="1"/>
  <c r="CW608" i="1"/>
  <c r="FR608" i="1"/>
  <c r="GL608" i="1"/>
  <c r="GN608" i="1"/>
  <c r="GO608" i="1"/>
  <c r="GV608" i="1"/>
  <c r="HC608" i="1" s="1"/>
  <c r="D609" i="1"/>
  <c r="I609" i="1"/>
  <c r="W609" i="1" s="1"/>
  <c r="K609" i="1"/>
  <c r="AC609" i="1"/>
  <c r="AD609" i="1"/>
  <c r="AE609" i="1"/>
  <c r="AF609" i="1"/>
  <c r="AG609" i="1"/>
  <c r="CU609" i="1" s="1"/>
  <c r="T609" i="1" s="1"/>
  <c r="AH609" i="1"/>
  <c r="AI609" i="1"/>
  <c r="CW609" i="1" s="1"/>
  <c r="V609" i="1" s="1"/>
  <c r="AJ609" i="1"/>
  <c r="CX609" i="1" s="1"/>
  <c r="CQ609" i="1"/>
  <c r="P609" i="1" s="1"/>
  <c r="CV609" i="1"/>
  <c r="FR609" i="1"/>
  <c r="GL609" i="1"/>
  <c r="GN609" i="1"/>
  <c r="CB641" i="1" s="1"/>
  <c r="GO609" i="1"/>
  <c r="GV609" i="1"/>
  <c r="HC609" i="1" s="1"/>
  <c r="D610" i="1"/>
  <c r="I610" i="1"/>
  <c r="K610" i="1"/>
  <c r="AC610" i="1"/>
  <c r="CQ610" i="1" s="1"/>
  <c r="P610" i="1" s="1"/>
  <c r="AE610" i="1"/>
  <c r="AF610" i="1"/>
  <c r="CT610" i="1" s="1"/>
  <c r="S610" i="1" s="1"/>
  <c r="AG610" i="1"/>
  <c r="CU610" i="1" s="1"/>
  <c r="T610" i="1" s="1"/>
  <c r="AH610" i="1"/>
  <c r="CV610" i="1" s="1"/>
  <c r="U610" i="1" s="1"/>
  <c r="AI610" i="1"/>
  <c r="CW610" i="1" s="1"/>
  <c r="V610" i="1" s="1"/>
  <c r="AJ610" i="1"/>
  <c r="CX610" i="1" s="1"/>
  <c r="W610" i="1" s="1"/>
  <c r="FR610" i="1"/>
  <c r="GL610" i="1"/>
  <c r="GN610" i="1"/>
  <c r="GO610" i="1"/>
  <c r="GV610" i="1"/>
  <c r="HC610" i="1" s="1"/>
  <c r="D611" i="1"/>
  <c r="I611" i="1"/>
  <c r="K611" i="1"/>
  <c r="AC611" i="1"/>
  <c r="AE611" i="1"/>
  <c r="CR611" i="1" s="1"/>
  <c r="Q611" i="1" s="1"/>
  <c r="AF611" i="1"/>
  <c r="CT611" i="1" s="1"/>
  <c r="S611" i="1" s="1"/>
  <c r="AG611" i="1"/>
  <c r="CU611" i="1" s="1"/>
  <c r="T611" i="1" s="1"/>
  <c r="AH611" i="1"/>
  <c r="CV611" i="1" s="1"/>
  <c r="U611" i="1" s="1"/>
  <c r="AI611" i="1"/>
  <c r="CW611" i="1" s="1"/>
  <c r="AJ611" i="1"/>
  <c r="CX611" i="1" s="1"/>
  <c r="W611" i="1" s="1"/>
  <c r="FR611" i="1"/>
  <c r="GL611" i="1"/>
  <c r="GN611" i="1"/>
  <c r="GO611" i="1"/>
  <c r="GV611" i="1"/>
  <c r="HC611" i="1" s="1"/>
  <c r="D613" i="1"/>
  <c r="AC613" i="1"/>
  <c r="AE613" i="1"/>
  <c r="AF613" i="1"/>
  <c r="AG613" i="1"/>
  <c r="CU613" i="1" s="1"/>
  <c r="T613" i="1" s="1"/>
  <c r="AH613" i="1"/>
  <c r="CV613" i="1" s="1"/>
  <c r="U613" i="1" s="1"/>
  <c r="AI613" i="1"/>
  <c r="CW613" i="1" s="1"/>
  <c r="V613" i="1" s="1"/>
  <c r="AJ613" i="1"/>
  <c r="CX613" i="1" s="1"/>
  <c r="W613" i="1" s="1"/>
  <c r="CR613" i="1"/>
  <c r="Q613" i="1" s="1"/>
  <c r="CS613" i="1"/>
  <c r="CT613" i="1"/>
  <c r="S613" i="1" s="1"/>
  <c r="FR613" i="1"/>
  <c r="GL613" i="1"/>
  <c r="GN613" i="1"/>
  <c r="GO613" i="1"/>
  <c r="GV613" i="1"/>
  <c r="HC613" i="1"/>
  <c r="GX613" i="1" s="1"/>
  <c r="D614" i="1"/>
  <c r="AC614" i="1"/>
  <c r="CQ614" i="1" s="1"/>
  <c r="P614" i="1" s="1"/>
  <c r="AE614" i="1"/>
  <c r="AD614" i="1" s="1"/>
  <c r="AF614" i="1"/>
  <c r="CT614" i="1" s="1"/>
  <c r="S614" i="1" s="1"/>
  <c r="CY614" i="1" s="1"/>
  <c r="X614" i="1" s="1"/>
  <c r="AG614" i="1"/>
  <c r="AH614" i="1"/>
  <c r="CV614" i="1" s="1"/>
  <c r="U614" i="1" s="1"/>
  <c r="AI614" i="1"/>
  <c r="CW614" i="1" s="1"/>
  <c r="V614" i="1" s="1"/>
  <c r="AJ614" i="1"/>
  <c r="CX614" i="1" s="1"/>
  <c r="W614" i="1" s="1"/>
  <c r="CU614" i="1"/>
  <c r="T614" i="1" s="1"/>
  <c r="FR614" i="1"/>
  <c r="GL614" i="1"/>
  <c r="GN614" i="1"/>
  <c r="GO614" i="1"/>
  <c r="GV614" i="1"/>
  <c r="HC614" i="1" s="1"/>
  <c r="GX614" i="1" s="1"/>
  <c r="D615" i="1"/>
  <c r="P615" i="1"/>
  <c r="AC615" i="1"/>
  <c r="AE615" i="1"/>
  <c r="AF615" i="1"/>
  <c r="AG615" i="1"/>
  <c r="CU615" i="1" s="1"/>
  <c r="T615" i="1" s="1"/>
  <c r="AH615" i="1"/>
  <c r="CV615" i="1" s="1"/>
  <c r="U615" i="1" s="1"/>
  <c r="AI615" i="1"/>
  <c r="CW615" i="1" s="1"/>
  <c r="V615" i="1" s="1"/>
  <c r="AJ615" i="1"/>
  <c r="CX615" i="1" s="1"/>
  <c r="W615" i="1" s="1"/>
  <c r="CQ615" i="1"/>
  <c r="CR615" i="1"/>
  <c r="Q615" i="1" s="1"/>
  <c r="FR615" i="1"/>
  <c r="GL615" i="1"/>
  <c r="GN615" i="1"/>
  <c r="GO615" i="1"/>
  <c r="GV615" i="1"/>
  <c r="HC615" i="1" s="1"/>
  <c r="GX615" i="1" s="1"/>
  <c r="D616" i="1"/>
  <c r="AC616" i="1"/>
  <c r="CQ616" i="1" s="1"/>
  <c r="P616" i="1" s="1"/>
  <c r="AE616" i="1"/>
  <c r="AD616" i="1" s="1"/>
  <c r="AF616" i="1"/>
  <c r="AG616" i="1"/>
  <c r="AH616" i="1"/>
  <c r="AI616" i="1"/>
  <c r="AJ616" i="1"/>
  <c r="CX616" i="1" s="1"/>
  <c r="W616" i="1" s="1"/>
  <c r="CR616" i="1"/>
  <c r="Q616" i="1" s="1"/>
  <c r="CS616" i="1"/>
  <c r="R616" i="1" s="1"/>
  <c r="GK616" i="1" s="1"/>
  <c r="CT616" i="1"/>
  <c r="S616" i="1" s="1"/>
  <c r="CU616" i="1"/>
  <c r="T616" i="1" s="1"/>
  <c r="CV616" i="1"/>
  <c r="U616" i="1" s="1"/>
  <c r="CW616" i="1"/>
  <c r="V616" i="1" s="1"/>
  <c r="FR616" i="1"/>
  <c r="GL616" i="1"/>
  <c r="GN616" i="1"/>
  <c r="GO616" i="1"/>
  <c r="GV616" i="1"/>
  <c r="HC616" i="1" s="1"/>
  <c r="GX616" i="1" s="1"/>
  <c r="D617" i="1"/>
  <c r="AC617" i="1"/>
  <c r="CQ617" i="1" s="1"/>
  <c r="P617" i="1" s="1"/>
  <c r="AE617" i="1"/>
  <c r="AD617" i="1" s="1"/>
  <c r="AF617" i="1"/>
  <c r="AG617" i="1"/>
  <c r="AH617" i="1"/>
  <c r="CV617" i="1" s="1"/>
  <c r="U617" i="1" s="1"/>
  <c r="AI617" i="1"/>
  <c r="AJ617" i="1"/>
  <c r="CX617" i="1" s="1"/>
  <c r="W617" i="1" s="1"/>
  <c r="CU617" i="1"/>
  <c r="T617" i="1" s="1"/>
  <c r="CW617" i="1"/>
  <c r="V617" i="1" s="1"/>
  <c r="FR617" i="1"/>
  <c r="GL617" i="1"/>
  <c r="GN617" i="1"/>
  <c r="GO617" i="1"/>
  <c r="GV617" i="1"/>
  <c r="HC617" i="1"/>
  <c r="GX617" i="1" s="1"/>
  <c r="D618" i="1"/>
  <c r="I618" i="1"/>
  <c r="K618" i="1"/>
  <c r="T618" i="1"/>
  <c r="AC618" i="1"/>
  <c r="CQ618" i="1" s="1"/>
  <c r="P618" i="1" s="1"/>
  <c r="AD618" i="1"/>
  <c r="AE618" i="1"/>
  <c r="CS618" i="1" s="1"/>
  <c r="R618" i="1" s="1"/>
  <c r="GK618" i="1" s="1"/>
  <c r="AF618" i="1"/>
  <c r="CT618" i="1" s="1"/>
  <c r="S618" i="1" s="1"/>
  <c r="CY618" i="1" s="1"/>
  <c r="X618" i="1" s="1"/>
  <c r="AG618" i="1"/>
  <c r="CU618" i="1" s="1"/>
  <c r="AH618" i="1"/>
  <c r="CV618" i="1" s="1"/>
  <c r="U618" i="1" s="1"/>
  <c r="AI618" i="1"/>
  <c r="CW618" i="1" s="1"/>
  <c r="V618" i="1" s="1"/>
  <c r="AJ618" i="1"/>
  <c r="CX618" i="1" s="1"/>
  <c r="W618" i="1" s="1"/>
  <c r="FR618" i="1"/>
  <c r="GL618" i="1"/>
  <c r="GN618" i="1"/>
  <c r="GO618" i="1"/>
  <c r="GV618" i="1"/>
  <c r="HC618" i="1" s="1"/>
  <c r="D619" i="1"/>
  <c r="I619" i="1"/>
  <c r="V619" i="1" s="1"/>
  <c r="K619" i="1"/>
  <c r="AC619" i="1"/>
  <c r="AE619" i="1"/>
  <c r="AF619" i="1"/>
  <c r="AG619" i="1"/>
  <c r="CU619" i="1" s="1"/>
  <c r="T619" i="1" s="1"/>
  <c r="AH619" i="1"/>
  <c r="CV619" i="1" s="1"/>
  <c r="U619" i="1" s="1"/>
  <c r="AI619" i="1"/>
  <c r="CW619" i="1" s="1"/>
  <c r="AJ619" i="1"/>
  <c r="CX619" i="1" s="1"/>
  <c r="W619" i="1" s="1"/>
  <c r="CR619" i="1"/>
  <c r="Q619" i="1" s="1"/>
  <c r="FR619" i="1"/>
  <c r="GL619" i="1"/>
  <c r="GN619" i="1"/>
  <c r="GO619" i="1"/>
  <c r="GV619" i="1"/>
  <c r="HC619" i="1"/>
  <c r="GX619" i="1" s="1"/>
  <c r="D620" i="1"/>
  <c r="I620" i="1"/>
  <c r="K620" i="1"/>
  <c r="AC620" i="1"/>
  <c r="AE620" i="1"/>
  <c r="AD620" i="1" s="1"/>
  <c r="AF620" i="1"/>
  <c r="CT620" i="1" s="1"/>
  <c r="S620" i="1" s="1"/>
  <c r="CY620" i="1" s="1"/>
  <c r="X620" i="1" s="1"/>
  <c r="AG620" i="1"/>
  <c r="CU620" i="1" s="1"/>
  <c r="T620" i="1" s="1"/>
  <c r="AH620" i="1"/>
  <c r="CV620" i="1" s="1"/>
  <c r="U620" i="1" s="1"/>
  <c r="AI620" i="1"/>
  <c r="AJ620" i="1"/>
  <c r="CQ620" i="1"/>
  <c r="CR620" i="1"/>
  <c r="Q620" i="1" s="1"/>
  <c r="CW620" i="1"/>
  <c r="CX620" i="1"/>
  <c r="W620" i="1" s="1"/>
  <c r="FR620" i="1"/>
  <c r="GL620" i="1"/>
  <c r="GN620" i="1"/>
  <c r="GO620" i="1"/>
  <c r="GV620" i="1"/>
  <c r="HC620" i="1"/>
  <c r="GX620" i="1" s="1"/>
  <c r="D621" i="1"/>
  <c r="I621" i="1"/>
  <c r="K621" i="1"/>
  <c r="AC621" i="1"/>
  <c r="CQ621" i="1" s="1"/>
  <c r="P621" i="1" s="1"/>
  <c r="AE621" i="1"/>
  <c r="AF621" i="1"/>
  <c r="CT621" i="1" s="1"/>
  <c r="AG621" i="1"/>
  <c r="AH621" i="1"/>
  <c r="AI621" i="1"/>
  <c r="CW621" i="1" s="1"/>
  <c r="V621" i="1" s="1"/>
  <c r="AJ621" i="1"/>
  <c r="CU621" i="1"/>
  <c r="T621" i="1" s="1"/>
  <c r="CV621" i="1"/>
  <c r="U621" i="1" s="1"/>
  <c r="CX621" i="1"/>
  <c r="W621" i="1" s="1"/>
  <c r="FR621" i="1"/>
  <c r="GL621" i="1"/>
  <c r="GN621" i="1"/>
  <c r="GO621" i="1"/>
  <c r="GV621" i="1"/>
  <c r="HC621" i="1" s="1"/>
  <c r="D623" i="1"/>
  <c r="I623" i="1"/>
  <c r="K623" i="1"/>
  <c r="AC623" i="1"/>
  <c r="CQ623" i="1" s="1"/>
  <c r="P623" i="1" s="1"/>
  <c r="AE623" i="1"/>
  <c r="CS623" i="1" s="1"/>
  <c r="R623" i="1" s="1"/>
  <c r="GK623" i="1" s="1"/>
  <c r="AF623" i="1"/>
  <c r="CT623" i="1" s="1"/>
  <c r="AG623" i="1"/>
  <c r="CU623" i="1" s="1"/>
  <c r="T623" i="1" s="1"/>
  <c r="AH623" i="1"/>
  <c r="CV623" i="1" s="1"/>
  <c r="U623" i="1" s="1"/>
  <c r="AI623" i="1"/>
  <c r="CW623" i="1" s="1"/>
  <c r="V623" i="1" s="1"/>
  <c r="AJ623" i="1"/>
  <c r="CX623" i="1" s="1"/>
  <c r="W623" i="1" s="1"/>
  <c r="CR623" i="1"/>
  <c r="Q623" i="1" s="1"/>
  <c r="FR623" i="1"/>
  <c r="GL623" i="1"/>
  <c r="GN623" i="1"/>
  <c r="GO623" i="1"/>
  <c r="GV623" i="1"/>
  <c r="HC623" i="1" s="1"/>
  <c r="D624" i="1"/>
  <c r="I624" i="1"/>
  <c r="K624" i="1"/>
  <c r="AC624" i="1"/>
  <c r="AE624" i="1"/>
  <c r="AF624" i="1"/>
  <c r="AG624" i="1"/>
  <c r="AH624" i="1"/>
  <c r="CV624" i="1" s="1"/>
  <c r="AI624" i="1"/>
  <c r="CW624" i="1" s="1"/>
  <c r="AJ624" i="1"/>
  <c r="CX624" i="1" s="1"/>
  <c r="W624" i="1" s="1"/>
  <c r="CQ624" i="1"/>
  <c r="CR624" i="1"/>
  <c r="Q624" i="1" s="1"/>
  <c r="CU624" i="1"/>
  <c r="FR624" i="1"/>
  <c r="GL624" i="1"/>
  <c r="GN624" i="1"/>
  <c r="GO624" i="1"/>
  <c r="GV624" i="1"/>
  <c r="HC624" i="1" s="1"/>
  <c r="GX624" i="1" s="1"/>
  <c r="D625" i="1"/>
  <c r="I625" i="1"/>
  <c r="K625" i="1"/>
  <c r="AC625" i="1"/>
  <c r="CQ625" i="1" s="1"/>
  <c r="AE625" i="1"/>
  <c r="CR625" i="1" s="1"/>
  <c r="AF625" i="1"/>
  <c r="CT625" i="1" s="1"/>
  <c r="AG625" i="1"/>
  <c r="AH625" i="1"/>
  <c r="CV625" i="1" s="1"/>
  <c r="AI625" i="1"/>
  <c r="AJ625" i="1"/>
  <c r="CU625" i="1"/>
  <c r="CW625" i="1"/>
  <c r="V625" i="1" s="1"/>
  <c r="CX625" i="1"/>
  <c r="W625" i="1" s="1"/>
  <c r="FR625" i="1"/>
  <c r="GL625" i="1"/>
  <c r="GN625" i="1"/>
  <c r="GO625" i="1"/>
  <c r="GV625" i="1"/>
  <c r="HC625" i="1" s="1"/>
  <c r="GX625" i="1" s="1"/>
  <c r="D626" i="1"/>
  <c r="I626" i="1"/>
  <c r="K626" i="1"/>
  <c r="AC626" i="1"/>
  <c r="CQ626" i="1" s="1"/>
  <c r="P626" i="1" s="1"/>
  <c r="AE626" i="1"/>
  <c r="AF626" i="1"/>
  <c r="AG626" i="1"/>
  <c r="CU626" i="1" s="1"/>
  <c r="T626" i="1" s="1"/>
  <c r="AH626" i="1"/>
  <c r="CV626" i="1" s="1"/>
  <c r="AI626" i="1"/>
  <c r="AJ626" i="1"/>
  <c r="CX626" i="1" s="1"/>
  <c r="W626" i="1" s="1"/>
  <c r="CW626" i="1"/>
  <c r="FR626" i="1"/>
  <c r="GL626" i="1"/>
  <c r="GN626" i="1"/>
  <c r="GO626" i="1"/>
  <c r="GV626" i="1"/>
  <c r="HC626" i="1"/>
  <c r="D628" i="1"/>
  <c r="I628" i="1"/>
  <c r="K628" i="1"/>
  <c r="AC628" i="1"/>
  <c r="AE628" i="1"/>
  <c r="AF628" i="1"/>
  <c r="AG628" i="1"/>
  <c r="CU628" i="1" s="1"/>
  <c r="T628" i="1" s="1"/>
  <c r="AH628" i="1"/>
  <c r="CV628" i="1" s="1"/>
  <c r="U628" i="1" s="1"/>
  <c r="AI628" i="1"/>
  <c r="CW628" i="1" s="1"/>
  <c r="AJ628" i="1"/>
  <c r="CX628" i="1" s="1"/>
  <c r="W628" i="1" s="1"/>
  <c r="CQ628" i="1"/>
  <c r="P628" i="1" s="1"/>
  <c r="FR628" i="1"/>
  <c r="GL628" i="1"/>
  <c r="GN628" i="1"/>
  <c r="GO628" i="1"/>
  <c r="GV628" i="1"/>
  <c r="HC628" i="1" s="1"/>
  <c r="GX628" i="1" s="1"/>
  <c r="D629" i="1"/>
  <c r="I629" i="1"/>
  <c r="K629" i="1"/>
  <c r="W629" i="1"/>
  <c r="AC629" i="1"/>
  <c r="AD629" i="1"/>
  <c r="AE629" i="1"/>
  <c r="CR629" i="1" s="1"/>
  <c r="Q629" i="1" s="1"/>
  <c r="AF629" i="1"/>
  <c r="AG629" i="1"/>
  <c r="AH629" i="1"/>
  <c r="AI629" i="1"/>
  <c r="CW629" i="1" s="1"/>
  <c r="V629" i="1" s="1"/>
  <c r="AJ629" i="1"/>
  <c r="CX629" i="1" s="1"/>
  <c r="CT629" i="1"/>
  <c r="S629" i="1" s="1"/>
  <c r="CU629" i="1"/>
  <c r="T629" i="1" s="1"/>
  <c r="CV629" i="1"/>
  <c r="U629" i="1" s="1"/>
  <c r="FR629" i="1"/>
  <c r="GL629" i="1"/>
  <c r="GN629" i="1"/>
  <c r="GO629" i="1"/>
  <c r="GV629" i="1"/>
  <c r="HC629" i="1" s="1"/>
  <c r="GX629" i="1" s="1"/>
  <c r="D630" i="1"/>
  <c r="I630" i="1"/>
  <c r="K630" i="1"/>
  <c r="AC630" i="1"/>
  <c r="CQ630" i="1" s="1"/>
  <c r="P630" i="1" s="1"/>
  <c r="AE630" i="1"/>
  <c r="AF630" i="1"/>
  <c r="AG630" i="1"/>
  <c r="CU630" i="1" s="1"/>
  <c r="T630" i="1" s="1"/>
  <c r="AH630" i="1"/>
  <c r="CV630" i="1" s="1"/>
  <c r="U630" i="1" s="1"/>
  <c r="AI630" i="1"/>
  <c r="AJ630" i="1"/>
  <c r="CR630" i="1"/>
  <c r="CW630" i="1"/>
  <c r="V630" i="1" s="1"/>
  <c r="CX630" i="1"/>
  <c r="W630" i="1" s="1"/>
  <c r="FR630" i="1"/>
  <c r="GL630" i="1"/>
  <c r="GN630" i="1"/>
  <c r="GO630" i="1"/>
  <c r="GV630" i="1"/>
  <c r="HC630" i="1" s="1"/>
  <c r="GX630" i="1" s="1"/>
  <c r="D631" i="1"/>
  <c r="I631" i="1"/>
  <c r="K631" i="1"/>
  <c r="AC631" i="1"/>
  <c r="CQ631" i="1" s="1"/>
  <c r="AD631" i="1"/>
  <c r="AE631" i="1"/>
  <c r="AF631" i="1"/>
  <c r="AG631" i="1"/>
  <c r="AH631" i="1"/>
  <c r="AI631" i="1"/>
  <c r="CW631" i="1" s="1"/>
  <c r="AJ631" i="1"/>
  <c r="CU631" i="1"/>
  <c r="T631" i="1" s="1"/>
  <c r="CV631" i="1"/>
  <c r="CX631" i="1"/>
  <c r="FR631" i="1"/>
  <c r="GL631" i="1"/>
  <c r="GN631" i="1"/>
  <c r="GO631" i="1"/>
  <c r="CC641" i="1" s="1"/>
  <c r="AT641" i="1" s="1"/>
  <c r="GV631" i="1"/>
  <c r="HC631" i="1" s="1"/>
  <c r="D632" i="1"/>
  <c r="I632" i="1"/>
  <c r="K632" i="1"/>
  <c r="AC632" i="1"/>
  <c r="CQ632" i="1" s="1"/>
  <c r="P632" i="1" s="1"/>
  <c r="AE632" i="1"/>
  <c r="AF632" i="1"/>
  <c r="AG632" i="1"/>
  <c r="CU632" i="1" s="1"/>
  <c r="T632" i="1" s="1"/>
  <c r="AH632" i="1"/>
  <c r="CV632" i="1" s="1"/>
  <c r="U632" i="1" s="1"/>
  <c r="AI632" i="1"/>
  <c r="CW632" i="1" s="1"/>
  <c r="AJ632" i="1"/>
  <c r="CX632" i="1" s="1"/>
  <c r="W632" i="1" s="1"/>
  <c r="FR632" i="1"/>
  <c r="GL632" i="1"/>
  <c r="GN632" i="1"/>
  <c r="GO632" i="1"/>
  <c r="GV632" i="1"/>
  <c r="HC632" i="1" s="1"/>
  <c r="D633" i="1"/>
  <c r="I633" i="1"/>
  <c r="K633" i="1"/>
  <c r="AC633" i="1"/>
  <c r="AD633" i="1"/>
  <c r="AE633" i="1"/>
  <c r="CR633" i="1" s="1"/>
  <c r="Q633" i="1" s="1"/>
  <c r="AF633" i="1"/>
  <c r="CT633" i="1" s="1"/>
  <c r="S633" i="1" s="1"/>
  <c r="AG633" i="1"/>
  <c r="CU633" i="1" s="1"/>
  <c r="T633" i="1" s="1"/>
  <c r="AH633" i="1"/>
  <c r="CV633" i="1" s="1"/>
  <c r="U633" i="1" s="1"/>
  <c r="AI633" i="1"/>
  <c r="CW633" i="1" s="1"/>
  <c r="V633" i="1" s="1"/>
  <c r="AJ633" i="1"/>
  <c r="CX633" i="1" s="1"/>
  <c r="W633" i="1" s="1"/>
  <c r="CQ633" i="1"/>
  <c r="P633" i="1" s="1"/>
  <c r="FR633" i="1"/>
  <c r="GL633" i="1"/>
  <c r="GN633" i="1"/>
  <c r="GO633" i="1"/>
  <c r="GV633" i="1"/>
  <c r="HC633" i="1" s="1"/>
  <c r="GX633" i="1" s="1"/>
  <c r="D634" i="1"/>
  <c r="I634" i="1"/>
  <c r="K634" i="1"/>
  <c r="AC634" i="1"/>
  <c r="AD634" i="1"/>
  <c r="AE634" i="1"/>
  <c r="AF634" i="1"/>
  <c r="AG634" i="1"/>
  <c r="CU634" i="1" s="1"/>
  <c r="T634" i="1" s="1"/>
  <c r="AH634" i="1"/>
  <c r="CV634" i="1" s="1"/>
  <c r="U634" i="1" s="1"/>
  <c r="AI634" i="1"/>
  <c r="AJ634" i="1"/>
  <c r="CQ634" i="1"/>
  <c r="P634" i="1" s="1"/>
  <c r="CW634" i="1"/>
  <c r="V634" i="1" s="1"/>
  <c r="CX634" i="1"/>
  <c r="FR634" i="1"/>
  <c r="GL634" i="1"/>
  <c r="GN634" i="1"/>
  <c r="GO634" i="1"/>
  <c r="GV634" i="1"/>
  <c r="GX634" i="1"/>
  <c r="HC634" i="1"/>
  <c r="D635" i="1"/>
  <c r="I635" i="1"/>
  <c r="K635" i="1"/>
  <c r="AC635" i="1"/>
  <c r="CQ635" i="1" s="1"/>
  <c r="P635" i="1" s="1"/>
  <c r="AE635" i="1"/>
  <c r="AF635" i="1"/>
  <c r="AG635" i="1"/>
  <c r="CU635" i="1" s="1"/>
  <c r="AH635" i="1"/>
  <c r="CV635" i="1" s="1"/>
  <c r="U635" i="1" s="1"/>
  <c r="AI635" i="1"/>
  <c r="CW635" i="1" s="1"/>
  <c r="AJ635" i="1"/>
  <c r="CX635" i="1" s="1"/>
  <c r="W635" i="1" s="1"/>
  <c r="FR635" i="1"/>
  <c r="GL635" i="1"/>
  <c r="GN635" i="1"/>
  <c r="GO635" i="1"/>
  <c r="GV635" i="1"/>
  <c r="HC635" i="1"/>
  <c r="GX635" i="1" s="1"/>
  <c r="D636" i="1"/>
  <c r="I636" i="1"/>
  <c r="K636" i="1"/>
  <c r="AC636" i="1"/>
  <c r="CQ636" i="1" s="1"/>
  <c r="P636" i="1" s="1"/>
  <c r="AD636" i="1"/>
  <c r="AE636" i="1"/>
  <c r="CS636" i="1" s="1"/>
  <c r="AF636" i="1"/>
  <c r="CT636" i="1" s="1"/>
  <c r="S636" i="1" s="1"/>
  <c r="AG636" i="1"/>
  <c r="CU636" i="1" s="1"/>
  <c r="AH636" i="1"/>
  <c r="CV636" i="1" s="1"/>
  <c r="U636" i="1" s="1"/>
  <c r="AI636" i="1"/>
  <c r="CW636" i="1" s="1"/>
  <c r="V636" i="1" s="1"/>
  <c r="AJ636" i="1"/>
  <c r="CX636" i="1" s="1"/>
  <c r="W636" i="1" s="1"/>
  <c r="FR636" i="1"/>
  <c r="GL636" i="1"/>
  <c r="GN636" i="1"/>
  <c r="GO636" i="1"/>
  <c r="GV636" i="1"/>
  <c r="HC636" i="1" s="1"/>
  <c r="GX636" i="1" s="1"/>
  <c r="D637" i="1"/>
  <c r="I637" i="1"/>
  <c r="K637" i="1"/>
  <c r="V637" i="1"/>
  <c r="W637" i="1"/>
  <c r="AC637" i="1"/>
  <c r="AE637" i="1"/>
  <c r="AF637" i="1"/>
  <c r="AG637" i="1"/>
  <c r="CU637" i="1" s="1"/>
  <c r="T637" i="1" s="1"/>
  <c r="AH637" i="1"/>
  <c r="CV637" i="1" s="1"/>
  <c r="U637" i="1" s="1"/>
  <c r="AI637" i="1"/>
  <c r="CW637" i="1" s="1"/>
  <c r="AJ637" i="1"/>
  <c r="CX637" i="1" s="1"/>
  <c r="CR637" i="1"/>
  <c r="Q637" i="1" s="1"/>
  <c r="CS637" i="1"/>
  <c r="CT637" i="1"/>
  <c r="S637" i="1" s="1"/>
  <c r="FR637" i="1"/>
  <c r="GL637" i="1"/>
  <c r="GN637" i="1"/>
  <c r="GO637" i="1"/>
  <c r="GV637" i="1"/>
  <c r="HC637" i="1" s="1"/>
  <c r="GX637" i="1" s="1"/>
  <c r="D638" i="1"/>
  <c r="I638" i="1"/>
  <c r="K638" i="1"/>
  <c r="W638" i="1"/>
  <c r="AC638" i="1"/>
  <c r="AE638" i="1"/>
  <c r="AF638" i="1"/>
  <c r="AG638" i="1"/>
  <c r="AH638" i="1"/>
  <c r="CV638" i="1" s="1"/>
  <c r="U638" i="1" s="1"/>
  <c r="AI638" i="1"/>
  <c r="CW638" i="1" s="1"/>
  <c r="V638" i="1" s="1"/>
  <c r="AJ638" i="1"/>
  <c r="CQ638" i="1"/>
  <c r="P638" i="1" s="1"/>
  <c r="CR638" i="1"/>
  <c r="Q638" i="1" s="1"/>
  <c r="CS638" i="1"/>
  <c r="CT638" i="1"/>
  <c r="S638" i="1" s="1"/>
  <c r="CU638" i="1"/>
  <c r="T638" i="1" s="1"/>
  <c r="CX638" i="1"/>
  <c r="FR638" i="1"/>
  <c r="GL638" i="1"/>
  <c r="GN638" i="1"/>
  <c r="GO638" i="1"/>
  <c r="GV638" i="1"/>
  <c r="HC638" i="1"/>
  <c r="GX638" i="1" s="1"/>
  <c r="D639" i="1"/>
  <c r="I639" i="1"/>
  <c r="K639" i="1"/>
  <c r="AC639" i="1"/>
  <c r="CQ639" i="1" s="1"/>
  <c r="AD639" i="1"/>
  <c r="AE639" i="1"/>
  <c r="AF639" i="1"/>
  <c r="CT639" i="1" s="1"/>
  <c r="S639" i="1" s="1"/>
  <c r="AG639" i="1"/>
  <c r="CU639" i="1" s="1"/>
  <c r="AH639" i="1"/>
  <c r="CV639" i="1" s="1"/>
  <c r="AI639" i="1"/>
  <c r="CW639" i="1" s="1"/>
  <c r="AJ639" i="1"/>
  <c r="CX639" i="1"/>
  <c r="FR639" i="1"/>
  <c r="GL639" i="1"/>
  <c r="GN639" i="1"/>
  <c r="GO639" i="1"/>
  <c r="GV639" i="1"/>
  <c r="HC639" i="1"/>
  <c r="B641" i="1"/>
  <c r="B602" i="1" s="1"/>
  <c r="C641" i="1"/>
  <c r="C602" i="1" s="1"/>
  <c r="D641" i="1"/>
  <c r="D602" i="1" s="1"/>
  <c r="F641" i="1"/>
  <c r="F602" i="1" s="1"/>
  <c r="G641" i="1"/>
  <c r="BB641" i="1"/>
  <c r="BB602" i="1" s="1"/>
  <c r="BC641" i="1"/>
  <c r="BC602" i="1" s="1"/>
  <c r="BX641" i="1"/>
  <c r="CK641" i="1"/>
  <c r="CK602" i="1" s="1"/>
  <c r="CL641" i="1"/>
  <c r="CL602" i="1" s="1"/>
  <c r="CM641" i="1"/>
  <c r="CM602" i="1" s="1"/>
  <c r="D671" i="1"/>
  <c r="D673" i="1"/>
  <c r="E673" i="1"/>
  <c r="Z673" i="1"/>
  <c r="AA673" i="1"/>
  <c r="AM673" i="1"/>
  <c r="AN673" i="1"/>
  <c r="BE673" i="1"/>
  <c r="BF673" i="1"/>
  <c r="BG673" i="1"/>
  <c r="BH673" i="1"/>
  <c r="BI673" i="1"/>
  <c r="BJ673" i="1"/>
  <c r="BK673" i="1"/>
  <c r="BL673" i="1"/>
  <c r="BM673" i="1"/>
  <c r="BN673" i="1"/>
  <c r="BO673" i="1"/>
  <c r="BP673" i="1"/>
  <c r="BQ673" i="1"/>
  <c r="BR673" i="1"/>
  <c r="BS673" i="1"/>
  <c r="BT673" i="1"/>
  <c r="BU673" i="1"/>
  <c r="BV673" i="1"/>
  <c r="BW673" i="1"/>
  <c r="CK673" i="1"/>
  <c r="CN673" i="1"/>
  <c r="CO673" i="1"/>
  <c r="CP673" i="1"/>
  <c r="CQ673" i="1"/>
  <c r="CR673" i="1"/>
  <c r="CS673" i="1"/>
  <c r="CT673" i="1"/>
  <c r="CU673" i="1"/>
  <c r="CV673" i="1"/>
  <c r="CW673" i="1"/>
  <c r="CX673" i="1"/>
  <c r="CY673" i="1"/>
  <c r="CZ673" i="1"/>
  <c r="DA673" i="1"/>
  <c r="DB673" i="1"/>
  <c r="DC673" i="1"/>
  <c r="DD673" i="1"/>
  <c r="DE673" i="1"/>
  <c r="DF673" i="1"/>
  <c r="DG673" i="1"/>
  <c r="DH673" i="1"/>
  <c r="DI673" i="1"/>
  <c r="DJ673" i="1"/>
  <c r="DK673" i="1"/>
  <c r="DL673" i="1"/>
  <c r="DM673" i="1"/>
  <c r="DN673" i="1"/>
  <c r="DO673" i="1"/>
  <c r="DP673" i="1"/>
  <c r="DQ673" i="1"/>
  <c r="DR673" i="1"/>
  <c r="DS673" i="1"/>
  <c r="DT673" i="1"/>
  <c r="DU673" i="1"/>
  <c r="DV673" i="1"/>
  <c r="DW673" i="1"/>
  <c r="DX673" i="1"/>
  <c r="DY673" i="1"/>
  <c r="DZ673" i="1"/>
  <c r="EA673" i="1"/>
  <c r="EB673" i="1"/>
  <c r="EC673" i="1"/>
  <c r="ED673" i="1"/>
  <c r="EE673" i="1"/>
  <c r="EF673" i="1"/>
  <c r="EG673" i="1"/>
  <c r="EH673" i="1"/>
  <c r="EI673" i="1"/>
  <c r="EJ673" i="1"/>
  <c r="EK673" i="1"/>
  <c r="EL673" i="1"/>
  <c r="EM673" i="1"/>
  <c r="EN673" i="1"/>
  <c r="EO673" i="1"/>
  <c r="EP673" i="1"/>
  <c r="EQ673" i="1"/>
  <c r="ER673" i="1"/>
  <c r="ES673" i="1"/>
  <c r="ET673" i="1"/>
  <c r="EU673" i="1"/>
  <c r="EV673" i="1"/>
  <c r="EW673" i="1"/>
  <c r="EX673" i="1"/>
  <c r="EY673" i="1"/>
  <c r="EZ673" i="1"/>
  <c r="FA673" i="1"/>
  <c r="FB673" i="1"/>
  <c r="FC673" i="1"/>
  <c r="FD673" i="1"/>
  <c r="FE673" i="1"/>
  <c r="FF673" i="1"/>
  <c r="FG673" i="1"/>
  <c r="FH673" i="1"/>
  <c r="FI673" i="1"/>
  <c r="FJ673" i="1"/>
  <c r="FK673" i="1"/>
  <c r="FL673" i="1"/>
  <c r="FM673" i="1"/>
  <c r="FN673" i="1"/>
  <c r="FO673" i="1"/>
  <c r="FP673" i="1"/>
  <c r="FQ673" i="1"/>
  <c r="FR673" i="1"/>
  <c r="FS673" i="1"/>
  <c r="FT673" i="1"/>
  <c r="FU673" i="1"/>
  <c r="FV673" i="1"/>
  <c r="FW673" i="1"/>
  <c r="FX673" i="1"/>
  <c r="FY673" i="1"/>
  <c r="FZ673" i="1"/>
  <c r="GA673" i="1"/>
  <c r="GB673" i="1"/>
  <c r="GC673" i="1"/>
  <c r="GD673" i="1"/>
  <c r="GE673" i="1"/>
  <c r="GF673" i="1"/>
  <c r="GG673" i="1"/>
  <c r="GH673" i="1"/>
  <c r="GI673" i="1"/>
  <c r="GJ673" i="1"/>
  <c r="GK673" i="1"/>
  <c r="GL673" i="1"/>
  <c r="GM673" i="1"/>
  <c r="GN673" i="1"/>
  <c r="GO673" i="1"/>
  <c r="GP673" i="1"/>
  <c r="GQ673" i="1"/>
  <c r="GR673" i="1"/>
  <c r="GS673" i="1"/>
  <c r="GT673" i="1"/>
  <c r="GU673" i="1"/>
  <c r="GV673" i="1"/>
  <c r="GW673" i="1"/>
  <c r="GX673" i="1"/>
  <c r="D676" i="1"/>
  <c r="I676" i="1"/>
  <c r="U676" i="1" s="1"/>
  <c r="K676" i="1"/>
  <c r="AC676" i="1"/>
  <c r="AE676" i="1"/>
  <c r="CR676" i="1" s="1"/>
  <c r="Q676" i="1" s="1"/>
  <c r="AF676" i="1"/>
  <c r="AG676" i="1"/>
  <c r="CU676" i="1" s="1"/>
  <c r="T676" i="1" s="1"/>
  <c r="AH676" i="1"/>
  <c r="CV676" i="1" s="1"/>
  <c r="AI676" i="1"/>
  <c r="CW676" i="1" s="1"/>
  <c r="V676" i="1" s="1"/>
  <c r="AJ676" i="1"/>
  <c r="CX676" i="1" s="1"/>
  <c r="W676" i="1" s="1"/>
  <c r="CS676" i="1"/>
  <c r="R676" i="1" s="1"/>
  <c r="GK676" i="1" s="1"/>
  <c r="CT676" i="1"/>
  <c r="FR676" i="1"/>
  <c r="GL676" i="1"/>
  <c r="GN676" i="1"/>
  <c r="GO676" i="1"/>
  <c r="GV676" i="1"/>
  <c r="HC676" i="1"/>
  <c r="GX676" i="1" s="1"/>
  <c r="D677" i="1"/>
  <c r="I677" i="1"/>
  <c r="K677" i="1"/>
  <c r="AC677" i="1"/>
  <c r="CQ677" i="1" s="1"/>
  <c r="P677" i="1" s="1"/>
  <c r="AE677" i="1"/>
  <c r="AF677" i="1"/>
  <c r="AG677" i="1"/>
  <c r="CU677" i="1" s="1"/>
  <c r="T677" i="1" s="1"/>
  <c r="AH677" i="1"/>
  <c r="CV677" i="1" s="1"/>
  <c r="AI677" i="1"/>
  <c r="CW677" i="1" s="1"/>
  <c r="V677" i="1" s="1"/>
  <c r="AJ677" i="1"/>
  <c r="CX677" i="1" s="1"/>
  <c r="CR677" i="1"/>
  <c r="CT677" i="1"/>
  <c r="S677" i="1" s="1"/>
  <c r="FR677" i="1"/>
  <c r="GL677" i="1"/>
  <c r="GN677" i="1"/>
  <c r="GO677" i="1"/>
  <c r="GV677" i="1"/>
  <c r="HC677" i="1"/>
  <c r="GX677" i="1" s="1"/>
  <c r="D678" i="1"/>
  <c r="I678" i="1"/>
  <c r="K678" i="1"/>
  <c r="AC678" i="1"/>
  <c r="AE678" i="1"/>
  <c r="AF678" i="1"/>
  <c r="AG678" i="1"/>
  <c r="AH678" i="1"/>
  <c r="AI678" i="1"/>
  <c r="CW678" i="1" s="1"/>
  <c r="V678" i="1" s="1"/>
  <c r="AJ678" i="1"/>
  <c r="CU678" i="1"/>
  <c r="T678" i="1" s="1"/>
  <c r="CV678" i="1"/>
  <c r="U678" i="1" s="1"/>
  <c r="CX678" i="1"/>
  <c r="W678" i="1" s="1"/>
  <c r="FR678" i="1"/>
  <c r="GL678" i="1"/>
  <c r="GN678" i="1"/>
  <c r="GO678" i="1"/>
  <c r="GV678" i="1"/>
  <c r="HC678" i="1" s="1"/>
  <c r="GX678" i="1" s="1"/>
  <c r="D679" i="1"/>
  <c r="I679" i="1"/>
  <c r="K679" i="1"/>
  <c r="AC679" i="1"/>
  <c r="CQ679" i="1" s="1"/>
  <c r="P679" i="1" s="1"/>
  <c r="AE679" i="1"/>
  <c r="AD679" i="1" s="1"/>
  <c r="AF679" i="1"/>
  <c r="AG679" i="1"/>
  <c r="AH679" i="1"/>
  <c r="CV679" i="1" s="1"/>
  <c r="AI679" i="1"/>
  <c r="CW679" i="1" s="1"/>
  <c r="V679" i="1" s="1"/>
  <c r="AJ679" i="1"/>
  <c r="CX679" i="1" s="1"/>
  <c r="W679" i="1" s="1"/>
  <c r="CT679" i="1"/>
  <c r="S679" i="1" s="1"/>
  <c r="CU679" i="1"/>
  <c r="T679" i="1" s="1"/>
  <c r="FR679" i="1"/>
  <c r="GL679" i="1"/>
  <c r="GN679" i="1"/>
  <c r="GO679" i="1"/>
  <c r="GV679" i="1"/>
  <c r="HC679" i="1"/>
  <c r="D680" i="1"/>
  <c r="I680" i="1"/>
  <c r="K680" i="1"/>
  <c r="R680" i="1"/>
  <c r="GK680" i="1" s="1"/>
  <c r="AC680" i="1"/>
  <c r="AE680" i="1"/>
  <c r="CR680" i="1" s="1"/>
  <c r="Q680" i="1" s="1"/>
  <c r="AF680" i="1"/>
  <c r="AG680" i="1"/>
  <c r="CU680" i="1" s="1"/>
  <c r="T680" i="1" s="1"/>
  <c r="AH680" i="1"/>
  <c r="CV680" i="1" s="1"/>
  <c r="AI680" i="1"/>
  <c r="CW680" i="1" s="1"/>
  <c r="AJ680" i="1"/>
  <c r="CS680" i="1"/>
  <c r="CX680" i="1"/>
  <c r="FR680" i="1"/>
  <c r="GL680" i="1"/>
  <c r="GN680" i="1"/>
  <c r="GO680" i="1"/>
  <c r="GV680" i="1"/>
  <c r="HC680" i="1" s="1"/>
  <c r="GX680" i="1" s="1"/>
  <c r="D681" i="1"/>
  <c r="I681" i="1"/>
  <c r="K681" i="1"/>
  <c r="W681" i="1"/>
  <c r="AC681" i="1"/>
  <c r="AB681" i="1" s="1"/>
  <c r="AD681" i="1"/>
  <c r="AE681" i="1"/>
  <c r="AF681" i="1"/>
  <c r="CT681" i="1" s="1"/>
  <c r="S681" i="1" s="1"/>
  <c r="AG681" i="1"/>
  <c r="AH681" i="1"/>
  <c r="CV681" i="1" s="1"/>
  <c r="U681" i="1" s="1"/>
  <c r="AI681" i="1"/>
  <c r="CW681" i="1" s="1"/>
  <c r="V681" i="1" s="1"/>
  <c r="AJ681" i="1"/>
  <c r="CX681" i="1" s="1"/>
  <c r="CR681" i="1"/>
  <c r="CS681" i="1"/>
  <c r="CU681" i="1"/>
  <c r="T681" i="1" s="1"/>
  <c r="FR681" i="1"/>
  <c r="GL681" i="1"/>
  <c r="GN681" i="1"/>
  <c r="GO681" i="1"/>
  <c r="GV681" i="1"/>
  <c r="GX681" i="1"/>
  <c r="HC681" i="1"/>
  <c r="D682" i="1"/>
  <c r="I682" i="1"/>
  <c r="K682" i="1"/>
  <c r="AC682" i="1"/>
  <c r="CQ682" i="1" s="1"/>
  <c r="AE682" i="1"/>
  <c r="AF682" i="1"/>
  <c r="AG682" i="1"/>
  <c r="CU682" i="1" s="1"/>
  <c r="AH682" i="1"/>
  <c r="CV682" i="1" s="1"/>
  <c r="U682" i="1" s="1"/>
  <c r="AI682" i="1"/>
  <c r="AJ682" i="1"/>
  <c r="CW682" i="1"/>
  <c r="CX682" i="1"/>
  <c r="FR682" i="1"/>
  <c r="GL682" i="1"/>
  <c r="GN682" i="1"/>
  <c r="GO682" i="1"/>
  <c r="GV682" i="1"/>
  <c r="HC682" i="1"/>
  <c r="D683" i="1"/>
  <c r="I683" i="1"/>
  <c r="K683" i="1"/>
  <c r="AC683" i="1"/>
  <c r="CQ683" i="1" s="1"/>
  <c r="AE683" i="1"/>
  <c r="AF683" i="1"/>
  <c r="AG683" i="1"/>
  <c r="CU683" i="1" s="1"/>
  <c r="T683" i="1" s="1"/>
  <c r="AH683" i="1"/>
  <c r="CV683" i="1" s="1"/>
  <c r="AI683" i="1"/>
  <c r="AJ683" i="1"/>
  <c r="CX683" i="1" s="1"/>
  <c r="W683" i="1" s="1"/>
  <c r="CW683" i="1"/>
  <c r="FR683" i="1"/>
  <c r="GL683" i="1"/>
  <c r="GN683" i="1"/>
  <c r="GO683" i="1"/>
  <c r="GV683" i="1"/>
  <c r="HC683" i="1" s="1"/>
  <c r="GX683" i="1" s="1"/>
  <c r="D684" i="1"/>
  <c r="I684" i="1"/>
  <c r="K684" i="1"/>
  <c r="AC684" i="1"/>
  <c r="CQ684" i="1" s="1"/>
  <c r="P684" i="1" s="1"/>
  <c r="AE684" i="1"/>
  <c r="AF684" i="1"/>
  <c r="AG684" i="1"/>
  <c r="CU684" i="1" s="1"/>
  <c r="T684" i="1" s="1"/>
  <c r="AH684" i="1"/>
  <c r="CV684" i="1" s="1"/>
  <c r="U684" i="1" s="1"/>
  <c r="AI684" i="1"/>
  <c r="CW684" i="1" s="1"/>
  <c r="AJ684" i="1"/>
  <c r="CX684" i="1" s="1"/>
  <c r="W684" i="1" s="1"/>
  <c r="CR684" i="1"/>
  <c r="Q684" i="1" s="1"/>
  <c r="FR684" i="1"/>
  <c r="GL684" i="1"/>
  <c r="GN684" i="1"/>
  <c r="GO684" i="1"/>
  <c r="GV684" i="1"/>
  <c r="HC684" i="1"/>
  <c r="GX684" i="1" s="1"/>
  <c r="D685" i="1"/>
  <c r="AC685" i="1"/>
  <c r="AE685" i="1"/>
  <c r="AF685" i="1"/>
  <c r="AG685" i="1"/>
  <c r="CU685" i="1" s="1"/>
  <c r="T685" i="1" s="1"/>
  <c r="AH685" i="1"/>
  <c r="AI685" i="1"/>
  <c r="AJ685" i="1"/>
  <c r="CV685" i="1"/>
  <c r="U685" i="1" s="1"/>
  <c r="CW685" i="1"/>
  <c r="V685" i="1" s="1"/>
  <c r="CX685" i="1"/>
  <c r="W685" i="1" s="1"/>
  <c r="FR685" i="1"/>
  <c r="GL685" i="1"/>
  <c r="GN685" i="1"/>
  <c r="GO685" i="1"/>
  <c r="GV685" i="1"/>
  <c r="HC685" i="1" s="1"/>
  <c r="GX685" i="1" s="1"/>
  <c r="B687" i="1"/>
  <c r="B673" i="1" s="1"/>
  <c r="C687" i="1"/>
  <c r="C673" i="1" s="1"/>
  <c r="D687" i="1"/>
  <c r="F687" i="1"/>
  <c r="F673" i="1" s="1"/>
  <c r="G687" i="1"/>
  <c r="BD687" i="1"/>
  <c r="F712" i="1" s="1"/>
  <c r="BX687" i="1"/>
  <c r="CK687" i="1"/>
  <c r="BB687" i="1" s="1"/>
  <c r="F700" i="1" s="1"/>
  <c r="CL687" i="1"/>
  <c r="BC687" i="1" s="1"/>
  <c r="F703" i="1" s="1"/>
  <c r="CM687" i="1"/>
  <c r="CM673" i="1" s="1"/>
  <c r="D717" i="1"/>
  <c r="E719" i="1"/>
  <c r="Z719" i="1"/>
  <c r="AA719" i="1"/>
  <c r="AM719" i="1"/>
  <c r="AN719" i="1"/>
  <c r="BE719" i="1"/>
  <c r="BF719" i="1"/>
  <c r="BG719" i="1"/>
  <c r="BH719" i="1"/>
  <c r="BI719" i="1"/>
  <c r="BJ719" i="1"/>
  <c r="BK719" i="1"/>
  <c r="BL719" i="1"/>
  <c r="BM719" i="1"/>
  <c r="BN719" i="1"/>
  <c r="BO719" i="1"/>
  <c r="BP719" i="1"/>
  <c r="BQ719" i="1"/>
  <c r="BR719" i="1"/>
  <c r="BS719" i="1"/>
  <c r="BT719" i="1"/>
  <c r="BU719" i="1"/>
  <c r="BV719" i="1"/>
  <c r="BW719" i="1"/>
  <c r="CN719" i="1"/>
  <c r="CO719" i="1"/>
  <c r="CP719" i="1"/>
  <c r="CQ719" i="1"/>
  <c r="CR719" i="1"/>
  <c r="CS719" i="1"/>
  <c r="CT719" i="1"/>
  <c r="CU719" i="1"/>
  <c r="CV719" i="1"/>
  <c r="CW719" i="1"/>
  <c r="CX719" i="1"/>
  <c r="CY719" i="1"/>
  <c r="CZ719" i="1"/>
  <c r="DA719" i="1"/>
  <c r="DB719" i="1"/>
  <c r="DC719" i="1"/>
  <c r="DD719" i="1"/>
  <c r="DE719" i="1"/>
  <c r="DF719" i="1"/>
  <c r="DG719" i="1"/>
  <c r="DH719" i="1"/>
  <c r="DI719" i="1"/>
  <c r="DJ719" i="1"/>
  <c r="DK719" i="1"/>
  <c r="DL719" i="1"/>
  <c r="DM719" i="1"/>
  <c r="DN719" i="1"/>
  <c r="DO719" i="1"/>
  <c r="DP719" i="1"/>
  <c r="DQ719" i="1"/>
  <c r="DR719" i="1"/>
  <c r="DS719" i="1"/>
  <c r="DT719" i="1"/>
  <c r="DU719" i="1"/>
  <c r="DV719" i="1"/>
  <c r="DW719" i="1"/>
  <c r="DX719" i="1"/>
  <c r="DY719" i="1"/>
  <c r="DZ719" i="1"/>
  <c r="EA719" i="1"/>
  <c r="EB719" i="1"/>
  <c r="EC719" i="1"/>
  <c r="ED719" i="1"/>
  <c r="EE719" i="1"/>
  <c r="EF719" i="1"/>
  <c r="EG719" i="1"/>
  <c r="EH719" i="1"/>
  <c r="EI719" i="1"/>
  <c r="EJ719" i="1"/>
  <c r="EK719" i="1"/>
  <c r="EL719" i="1"/>
  <c r="EM719" i="1"/>
  <c r="EN719" i="1"/>
  <c r="EO719" i="1"/>
  <c r="EP719" i="1"/>
  <c r="EQ719" i="1"/>
  <c r="ER719" i="1"/>
  <c r="ES719" i="1"/>
  <c r="ET719" i="1"/>
  <c r="EU719" i="1"/>
  <c r="EV719" i="1"/>
  <c r="EW719" i="1"/>
  <c r="EX719" i="1"/>
  <c r="EY719" i="1"/>
  <c r="EZ719" i="1"/>
  <c r="FA719" i="1"/>
  <c r="FB719" i="1"/>
  <c r="FC719" i="1"/>
  <c r="FD719" i="1"/>
  <c r="FE719" i="1"/>
  <c r="FF719" i="1"/>
  <c r="FG719" i="1"/>
  <c r="FH719" i="1"/>
  <c r="FI719" i="1"/>
  <c r="FJ719" i="1"/>
  <c r="FK719" i="1"/>
  <c r="FL719" i="1"/>
  <c r="FM719" i="1"/>
  <c r="FN719" i="1"/>
  <c r="FO719" i="1"/>
  <c r="FP719" i="1"/>
  <c r="FQ719" i="1"/>
  <c r="FR719" i="1"/>
  <c r="FS719" i="1"/>
  <c r="FT719" i="1"/>
  <c r="FU719" i="1"/>
  <c r="FV719" i="1"/>
  <c r="FW719" i="1"/>
  <c r="FX719" i="1"/>
  <c r="FY719" i="1"/>
  <c r="FZ719" i="1"/>
  <c r="GA719" i="1"/>
  <c r="GB719" i="1"/>
  <c r="GC719" i="1"/>
  <c r="GD719" i="1"/>
  <c r="GE719" i="1"/>
  <c r="GF719" i="1"/>
  <c r="GG719" i="1"/>
  <c r="GH719" i="1"/>
  <c r="GI719" i="1"/>
  <c r="GJ719" i="1"/>
  <c r="GK719" i="1"/>
  <c r="GL719" i="1"/>
  <c r="GM719" i="1"/>
  <c r="GN719" i="1"/>
  <c r="GO719" i="1"/>
  <c r="GP719" i="1"/>
  <c r="GQ719" i="1"/>
  <c r="GR719" i="1"/>
  <c r="GS719" i="1"/>
  <c r="GT719" i="1"/>
  <c r="GU719" i="1"/>
  <c r="GV719" i="1"/>
  <c r="GW719" i="1"/>
  <c r="GX719" i="1"/>
  <c r="D722" i="1"/>
  <c r="I722" i="1"/>
  <c r="K722" i="1"/>
  <c r="AC722" i="1"/>
  <c r="CQ722" i="1" s="1"/>
  <c r="P722" i="1" s="1"/>
  <c r="AE722" i="1"/>
  <c r="AF722" i="1"/>
  <c r="AG722" i="1"/>
  <c r="CU722" i="1" s="1"/>
  <c r="T722" i="1" s="1"/>
  <c r="AH722" i="1"/>
  <c r="CV722" i="1" s="1"/>
  <c r="U722" i="1" s="1"/>
  <c r="AI722" i="1"/>
  <c r="CW722" i="1" s="1"/>
  <c r="V722" i="1" s="1"/>
  <c r="AJ722" i="1"/>
  <c r="CX722" i="1" s="1"/>
  <c r="W722" i="1" s="1"/>
  <c r="CR722" i="1"/>
  <c r="Q722" i="1" s="1"/>
  <c r="FR722" i="1"/>
  <c r="GL722" i="1"/>
  <c r="GN722" i="1"/>
  <c r="GO722" i="1"/>
  <c r="GV722" i="1"/>
  <c r="HC722" i="1" s="1"/>
  <c r="GX722" i="1" s="1"/>
  <c r="D723" i="1"/>
  <c r="I723" i="1"/>
  <c r="V723" i="1" s="1"/>
  <c r="K723" i="1"/>
  <c r="AC723" i="1"/>
  <c r="AD723" i="1"/>
  <c r="AE723" i="1"/>
  <c r="AF723" i="1"/>
  <c r="AG723" i="1"/>
  <c r="AH723" i="1"/>
  <c r="CV723" i="1" s="1"/>
  <c r="U723" i="1" s="1"/>
  <c r="AI723" i="1"/>
  <c r="CW723" i="1" s="1"/>
  <c r="AJ723" i="1"/>
  <c r="CR723" i="1"/>
  <c r="Q723" i="1" s="1"/>
  <c r="CS723" i="1"/>
  <c r="CT723" i="1"/>
  <c r="S723" i="1" s="1"/>
  <c r="CU723" i="1"/>
  <c r="CX723" i="1"/>
  <c r="W723" i="1" s="1"/>
  <c r="FR723" i="1"/>
  <c r="GL723" i="1"/>
  <c r="GN723" i="1"/>
  <c r="GO723" i="1"/>
  <c r="GV723" i="1"/>
  <c r="HC723" i="1" s="1"/>
  <c r="GX723" i="1" s="1"/>
  <c r="D724" i="1"/>
  <c r="I724" i="1"/>
  <c r="K724" i="1"/>
  <c r="AC724" i="1"/>
  <c r="AE724" i="1"/>
  <c r="AF724" i="1"/>
  <c r="CT724" i="1" s="1"/>
  <c r="AG724" i="1"/>
  <c r="CU724" i="1" s="1"/>
  <c r="AH724" i="1"/>
  <c r="CV724" i="1" s="1"/>
  <c r="AI724" i="1"/>
  <c r="CW724" i="1" s="1"/>
  <c r="AJ724" i="1"/>
  <c r="CX724" i="1"/>
  <c r="FR724" i="1"/>
  <c r="BY729" i="1" s="1"/>
  <c r="GL724" i="1"/>
  <c r="GN724" i="1"/>
  <c r="GO724" i="1"/>
  <c r="GV724" i="1"/>
  <c r="HC724" i="1" s="1"/>
  <c r="D725" i="1"/>
  <c r="I725" i="1"/>
  <c r="K725" i="1"/>
  <c r="AC725" i="1"/>
  <c r="AE725" i="1"/>
  <c r="AD725" i="1" s="1"/>
  <c r="AF725" i="1"/>
  <c r="CT725" i="1" s="1"/>
  <c r="S725" i="1" s="1"/>
  <c r="AG725" i="1"/>
  <c r="CU725" i="1" s="1"/>
  <c r="T725" i="1" s="1"/>
  <c r="AH725" i="1"/>
  <c r="CV725" i="1" s="1"/>
  <c r="U725" i="1" s="1"/>
  <c r="AI725" i="1"/>
  <c r="CW725" i="1" s="1"/>
  <c r="V725" i="1" s="1"/>
  <c r="AJ725" i="1"/>
  <c r="CQ725" i="1"/>
  <c r="P725" i="1" s="1"/>
  <c r="CR725" i="1"/>
  <c r="Q725" i="1" s="1"/>
  <c r="CS725" i="1"/>
  <c r="R725" i="1" s="1"/>
  <c r="GK725" i="1" s="1"/>
  <c r="CX725" i="1"/>
  <c r="W725" i="1" s="1"/>
  <c r="FR725" i="1"/>
  <c r="GL725" i="1"/>
  <c r="GN725" i="1"/>
  <c r="GO725" i="1"/>
  <c r="GV725" i="1"/>
  <c r="HC725" i="1" s="1"/>
  <c r="GX725" i="1"/>
  <c r="D726" i="1"/>
  <c r="I726" i="1"/>
  <c r="K726" i="1"/>
  <c r="AC726" i="1"/>
  <c r="CQ726" i="1" s="1"/>
  <c r="P726" i="1" s="1"/>
  <c r="AE726" i="1"/>
  <c r="AF726" i="1"/>
  <c r="AG726" i="1"/>
  <c r="AH726" i="1"/>
  <c r="CV726" i="1" s="1"/>
  <c r="U726" i="1" s="1"/>
  <c r="AI726" i="1"/>
  <c r="AJ726" i="1"/>
  <c r="CX726" i="1" s="1"/>
  <c r="W726" i="1" s="1"/>
  <c r="CR726" i="1"/>
  <c r="Q726" i="1" s="1"/>
  <c r="CU726" i="1"/>
  <c r="T726" i="1" s="1"/>
  <c r="CW726" i="1"/>
  <c r="V726" i="1" s="1"/>
  <c r="FR726" i="1"/>
  <c r="GL726" i="1"/>
  <c r="GN726" i="1"/>
  <c r="GO726" i="1"/>
  <c r="GV726" i="1"/>
  <c r="HC726" i="1"/>
  <c r="GX726" i="1" s="1"/>
  <c r="D727" i="1"/>
  <c r="I727" i="1"/>
  <c r="K727" i="1"/>
  <c r="AC727" i="1"/>
  <c r="AD727" i="1"/>
  <c r="AE727" i="1"/>
  <c r="AF727" i="1"/>
  <c r="CT727" i="1" s="1"/>
  <c r="S727" i="1" s="1"/>
  <c r="CY727" i="1" s="1"/>
  <c r="X727" i="1" s="1"/>
  <c r="AG727" i="1"/>
  <c r="CU727" i="1" s="1"/>
  <c r="T727" i="1" s="1"/>
  <c r="AH727" i="1"/>
  <c r="AI727" i="1"/>
  <c r="CW727" i="1" s="1"/>
  <c r="V727" i="1" s="1"/>
  <c r="AJ727" i="1"/>
  <c r="CX727" i="1" s="1"/>
  <c r="W727" i="1" s="1"/>
  <c r="CV727" i="1"/>
  <c r="U727" i="1" s="1"/>
  <c r="FR727" i="1"/>
  <c r="GL727" i="1"/>
  <c r="GN727" i="1"/>
  <c r="GO727" i="1"/>
  <c r="GV727" i="1"/>
  <c r="HC727" i="1" s="1"/>
  <c r="GX727" i="1" s="1"/>
  <c r="B729" i="1"/>
  <c r="B719" i="1" s="1"/>
  <c r="C729" i="1"/>
  <c r="C719" i="1" s="1"/>
  <c r="D729" i="1"/>
  <c r="D719" i="1" s="1"/>
  <c r="F729" i="1"/>
  <c r="F719" i="1" s="1"/>
  <c r="G729" i="1"/>
  <c r="AO729" i="1"/>
  <c r="AO719" i="1" s="1"/>
  <c r="BX729" i="1"/>
  <c r="CK729" i="1"/>
  <c r="CK719" i="1" s="1"/>
  <c r="CL729" i="1"/>
  <c r="CL719" i="1" s="1"/>
  <c r="CM729" i="1"/>
  <c r="CM719" i="1" s="1"/>
  <c r="D759" i="1"/>
  <c r="E761" i="1"/>
  <c r="Z761" i="1"/>
  <c r="AA761" i="1"/>
  <c r="AM761" i="1"/>
  <c r="AN761" i="1"/>
  <c r="BE761" i="1"/>
  <c r="BF761" i="1"/>
  <c r="BG761" i="1"/>
  <c r="BH761" i="1"/>
  <c r="BI761" i="1"/>
  <c r="BJ761" i="1"/>
  <c r="BK761" i="1"/>
  <c r="BL761" i="1"/>
  <c r="BM761" i="1"/>
  <c r="BN761" i="1"/>
  <c r="BO761" i="1"/>
  <c r="BP761" i="1"/>
  <c r="BQ761" i="1"/>
  <c r="BR761" i="1"/>
  <c r="BS761" i="1"/>
  <c r="BT761" i="1"/>
  <c r="BU761" i="1"/>
  <c r="BV761" i="1"/>
  <c r="BW761" i="1"/>
  <c r="CN761" i="1"/>
  <c r="CO761" i="1"/>
  <c r="CP761" i="1"/>
  <c r="CQ761" i="1"/>
  <c r="CR761" i="1"/>
  <c r="CS761" i="1"/>
  <c r="CT761" i="1"/>
  <c r="CU761" i="1"/>
  <c r="CV761" i="1"/>
  <c r="CW761" i="1"/>
  <c r="CX761" i="1"/>
  <c r="CY761" i="1"/>
  <c r="CZ761" i="1"/>
  <c r="DA761" i="1"/>
  <c r="DB761" i="1"/>
  <c r="DC761" i="1"/>
  <c r="DD761" i="1"/>
  <c r="DE761" i="1"/>
  <c r="DF761" i="1"/>
  <c r="DG761" i="1"/>
  <c r="DH761" i="1"/>
  <c r="DI761" i="1"/>
  <c r="DJ761" i="1"/>
  <c r="DK761" i="1"/>
  <c r="DL761" i="1"/>
  <c r="DM761" i="1"/>
  <c r="DN761" i="1"/>
  <c r="DO761" i="1"/>
  <c r="DP761" i="1"/>
  <c r="DQ761" i="1"/>
  <c r="DR761" i="1"/>
  <c r="DS761" i="1"/>
  <c r="DT761" i="1"/>
  <c r="DU761" i="1"/>
  <c r="DV761" i="1"/>
  <c r="DW761" i="1"/>
  <c r="DX761" i="1"/>
  <c r="DY761" i="1"/>
  <c r="DZ761" i="1"/>
  <c r="EA761" i="1"/>
  <c r="EB761" i="1"/>
  <c r="EC761" i="1"/>
  <c r="ED761" i="1"/>
  <c r="EE761" i="1"/>
  <c r="EF761" i="1"/>
  <c r="EG761" i="1"/>
  <c r="EH761" i="1"/>
  <c r="EI761" i="1"/>
  <c r="EJ761" i="1"/>
  <c r="EK761" i="1"/>
  <c r="EL761" i="1"/>
  <c r="EM761" i="1"/>
  <c r="EN761" i="1"/>
  <c r="EO761" i="1"/>
  <c r="EP761" i="1"/>
  <c r="EQ761" i="1"/>
  <c r="ER761" i="1"/>
  <c r="ES761" i="1"/>
  <c r="ET761" i="1"/>
  <c r="EU761" i="1"/>
  <c r="EV761" i="1"/>
  <c r="EW761" i="1"/>
  <c r="EX761" i="1"/>
  <c r="EY761" i="1"/>
  <c r="EZ761" i="1"/>
  <c r="FA761" i="1"/>
  <c r="FB761" i="1"/>
  <c r="FC761" i="1"/>
  <c r="FD761" i="1"/>
  <c r="FE761" i="1"/>
  <c r="FF761" i="1"/>
  <c r="FG761" i="1"/>
  <c r="FH761" i="1"/>
  <c r="FI761" i="1"/>
  <c r="FJ761" i="1"/>
  <c r="FK761" i="1"/>
  <c r="FL761" i="1"/>
  <c r="FM761" i="1"/>
  <c r="FN761" i="1"/>
  <c r="FO761" i="1"/>
  <c r="FP761" i="1"/>
  <c r="FQ761" i="1"/>
  <c r="FR761" i="1"/>
  <c r="FS761" i="1"/>
  <c r="FT761" i="1"/>
  <c r="FU761" i="1"/>
  <c r="FV761" i="1"/>
  <c r="FW761" i="1"/>
  <c r="FX761" i="1"/>
  <c r="FY761" i="1"/>
  <c r="FZ761" i="1"/>
  <c r="GA761" i="1"/>
  <c r="GB761" i="1"/>
  <c r="GC761" i="1"/>
  <c r="GD761" i="1"/>
  <c r="GE761" i="1"/>
  <c r="GF761" i="1"/>
  <c r="GG761" i="1"/>
  <c r="GH761" i="1"/>
  <c r="GI761" i="1"/>
  <c r="GJ761" i="1"/>
  <c r="GK761" i="1"/>
  <c r="GL761" i="1"/>
  <c r="GM761" i="1"/>
  <c r="GN761" i="1"/>
  <c r="GO761" i="1"/>
  <c r="GP761" i="1"/>
  <c r="GQ761" i="1"/>
  <c r="GR761" i="1"/>
  <c r="GS761" i="1"/>
  <c r="GT761" i="1"/>
  <c r="GU761" i="1"/>
  <c r="GV761" i="1"/>
  <c r="GW761" i="1"/>
  <c r="GX761" i="1"/>
  <c r="D764" i="1"/>
  <c r="I764" i="1"/>
  <c r="K764" i="1"/>
  <c r="AC764" i="1"/>
  <c r="CQ764" i="1" s="1"/>
  <c r="P764" i="1" s="1"/>
  <c r="AE764" i="1"/>
  <c r="AD764" i="1" s="1"/>
  <c r="AF764" i="1"/>
  <c r="AG764" i="1"/>
  <c r="AH764" i="1"/>
  <c r="CV764" i="1" s="1"/>
  <c r="AI764" i="1"/>
  <c r="CW764" i="1" s="1"/>
  <c r="AJ764" i="1"/>
  <c r="CU764" i="1"/>
  <c r="T764" i="1" s="1"/>
  <c r="AG768" i="1" s="1"/>
  <c r="T768" i="1" s="1"/>
  <c r="CX764" i="1"/>
  <c r="FR764" i="1"/>
  <c r="GL764" i="1"/>
  <c r="GN764" i="1"/>
  <c r="GO764" i="1"/>
  <c r="GV764" i="1"/>
  <c r="HC764" i="1" s="1"/>
  <c r="D765" i="1"/>
  <c r="I765" i="1"/>
  <c r="K765" i="1"/>
  <c r="AC765" i="1"/>
  <c r="CQ765" i="1" s="1"/>
  <c r="P765" i="1" s="1"/>
  <c r="AE765" i="1"/>
  <c r="CS765" i="1" s="1"/>
  <c r="R765" i="1" s="1"/>
  <c r="GK765" i="1" s="1"/>
  <c r="AF765" i="1"/>
  <c r="CT765" i="1" s="1"/>
  <c r="S765" i="1" s="1"/>
  <c r="AG765" i="1"/>
  <c r="CU765" i="1" s="1"/>
  <c r="T765" i="1" s="1"/>
  <c r="AH765" i="1"/>
  <c r="CV765" i="1" s="1"/>
  <c r="U765" i="1" s="1"/>
  <c r="AI765" i="1"/>
  <c r="CW765" i="1" s="1"/>
  <c r="AJ765" i="1"/>
  <c r="CX765" i="1" s="1"/>
  <c r="W765" i="1" s="1"/>
  <c r="FR765" i="1"/>
  <c r="GL765" i="1"/>
  <c r="GN765" i="1"/>
  <c r="GO765" i="1"/>
  <c r="GV765" i="1"/>
  <c r="HC765" i="1" s="1"/>
  <c r="D766" i="1"/>
  <c r="I766" i="1"/>
  <c r="K766" i="1"/>
  <c r="AC766" i="1"/>
  <c r="AB766" i="1" s="1"/>
  <c r="AE766" i="1"/>
  <c r="AD766" i="1" s="1"/>
  <c r="AF766" i="1"/>
  <c r="AG766" i="1"/>
  <c r="CU766" i="1" s="1"/>
  <c r="T766" i="1" s="1"/>
  <c r="AH766" i="1"/>
  <c r="CV766" i="1" s="1"/>
  <c r="AI766" i="1"/>
  <c r="CW766" i="1" s="1"/>
  <c r="V766" i="1" s="1"/>
  <c r="AJ766" i="1"/>
  <c r="CX766" i="1" s="1"/>
  <c r="W766" i="1" s="1"/>
  <c r="CQ766" i="1"/>
  <c r="P766" i="1" s="1"/>
  <c r="CP766" i="1" s="1"/>
  <c r="O766" i="1" s="1"/>
  <c r="CR766" i="1"/>
  <c r="Q766" i="1" s="1"/>
  <c r="CS766" i="1"/>
  <c r="CT766" i="1"/>
  <c r="S766" i="1" s="1"/>
  <c r="FR766" i="1"/>
  <c r="GL766" i="1"/>
  <c r="GN766" i="1"/>
  <c r="GO766" i="1"/>
  <c r="GV766" i="1"/>
  <c r="HC766" i="1"/>
  <c r="GX766" i="1" s="1"/>
  <c r="B768" i="1"/>
  <c r="B761" i="1" s="1"/>
  <c r="C768" i="1"/>
  <c r="C761" i="1" s="1"/>
  <c r="D768" i="1"/>
  <c r="D761" i="1" s="1"/>
  <c r="F768" i="1"/>
  <c r="F761" i="1" s="1"/>
  <c r="G768" i="1"/>
  <c r="BB768" i="1"/>
  <c r="BX768" i="1"/>
  <c r="BY768" i="1"/>
  <c r="BZ768" i="1"/>
  <c r="BZ761" i="1" s="1"/>
  <c r="CB768" i="1"/>
  <c r="CB761" i="1" s="1"/>
  <c r="CC768" i="1"/>
  <c r="CC761" i="1" s="1"/>
  <c r="CK768" i="1"/>
  <c r="CK761" i="1" s="1"/>
  <c r="CL768" i="1"/>
  <c r="CL761" i="1" s="1"/>
  <c r="CM768" i="1"/>
  <c r="CM761" i="1" s="1"/>
  <c r="D798" i="1"/>
  <c r="E800" i="1"/>
  <c r="Z800" i="1"/>
  <c r="AA800" i="1"/>
  <c r="AM800" i="1"/>
  <c r="AN800" i="1"/>
  <c r="BE800" i="1"/>
  <c r="BF800" i="1"/>
  <c r="BG800" i="1"/>
  <c r="BH800" i="1"/>
  <c r="BI800" i="1"/>
  <c r="BJ800" i="1"/>
  <c r="BK800" i="1"/>
  <c r="BL800" i="1"/>
  <c r="BM800" i="1"/>
  <c r="BN800" i="1"/>
  <c r="BO800" i="1"/>
  <c r="BP800" i="1"/>
  <c r="BQ800" i="1"/>
  <c r="BR800" i="1"/>
  <c r="BS800" i="1"/>
  <c r="BT800" i="1"/>
  <c r="BU800" i="1"/>
  <c r="BV800" i="1"/>
  <c r="BW800" i="1"/>
  <c r="CM800" i="1"/>
  <c r="CN800" i="1"/>
  <c r="CO800" i="1"/>
  <c r="CP800" i="1"/>
  <c r="CQ800" i="1"/>
  <c r="CR800" i="1"/>
  <c r="CS800" i="1"/>
  <c r="CT800" i="1"/>
  <c r="CU800" i="1"/>
  <c r="CV800" i="1"/>
  <c r="CW800" i="1"/>
  <c r="CX800" i="1"/>
  <c r="CY800" i="1"/>
  <c r="CZ800" i="1"/>
  <c r="DA800" i="1"/>
  <c r="DB800" i="1"/>
  <c r="DC800" i="1"/>
  <c r="DD800" i="1"/>
  <c r="DE800" i="1"/>
  <c r="DF800" i="1"/>
  <c r="DG800" i="1"/>
  <c r="DH800" i="1"/>
  <c r="DI800" i="1"/>
  <c r="DJ800" i="1"/>
  <c r="DK800" i="1"/>
  <c r="DL800" i="1"/>
  <c r="DM800" i="1"/>
  <c r="DN800" i="1"/>
  <c r="DO800" i="1"/>
  <c r="DP800" i="1"/>
  <c r="DQ800" i="1"/>
  <c r="DR800" i="1"/>
  <c r="DS800" i="1"/>
  <c r="DT800" i="1"/>
  <c r="DU800" i="1"/>
  <c r="DV800" i="1"/>
  <c r="DW800" i="1"/>
  <c r="DX800" i="1"/>
  <c r="DY800" i="1"/>
  <c r="DZ800" i="1"/>
  <c r="EA800" i="1"/>
  <c r="EB800" i="1"/>
  <c r="EC800" i="1"/>
  <c r="ED800" i="1"/>
  <c r="EE800" i="1"/>
  <c r="EF800" i="1"/>
  <c r="EG800" i="1"/>
  <c r="EH800" i="1"/>
  <c r="EI800" i="1"/>
  <c r="EJ800" i="1"/>
  <c r="EK800" i="1"/>
  <c r="EL800" i="1"/>
  <c r="EM800" i="1"/>
  <c r="EN800" i="1"/>
  <c r="EO800" i="1"/>
  <c r="EP800" i="1"/>
  <c r="EQ800" i="1"/>
  <c r="ER800" i="1"/>
  <c r="ES800" i="1"/>
  <c r="ET800" i="1"/>
  <c r="EU800" i="1"/>
  <c r="EV800" i="1"/>
  <c r="EW800" i="1"/>
  <c r="EX800" i="1"/>
  <c r="EY800" i="1"/>
  <c r="EZ800" i="1"/>
  <c r="FA800" i="1"/>
  <c r="FB800" i="1"/>
  <c r="FC800" i="1"/>
  <c r="FD800" i="1"/>
  <c r="FE800" i="1"/>
  <c r="FF800" i="1"/>
  <c r="FG800" i="1"/>
  <c r="FH800" i="1"/>
  <c r="FI800" i="1"/>
  <c r="FJ800" i="1"/>
  <c r="FK800" i="1"/>
  <c r="FL800" i="1"/>
  <c r="FM800" i="1"/>
  <c r="FN800" i="1"/>
  <c r="FO800" i="1"/>
  <c r="FP800" i="1"/>
  <c r="FQ800" i="1"/>
  <c r="FR800" i="1"/>
  <c r="FS800" i="1"/>
  <c r="FT800" i="1"/>
  <c r="FU800" i="1"/>
  <c r="FV800" i="1"/>
  <c r="FW800" i="1"/>
  <c r="FX800" i="1"/>
  <c r="FY800" i="1"/>
  <c r="FZ800" i="1"/>
  <c r="GA800" i="1"/>
  <c r="GB800" i="1"/>
  <c r="GC800" i="1"/>
  <c r="GD800" i="1"/>
  <c r="GE800" i="1"/>
  <c r="GF800" i="1"/>
  <c r="GG800" i="1"/>
  <c r="GH800" i="1"/>
  <c r="GI800" i="1"/>
  <c r="GJ800" i="1"/>
  <c r="GK800" i="1"/>
  <c r="GL800" i="1"/>
  <c r="GM800" i="1"/>
  <c r="GN800" i="1"/>
  <c r="GO800" i="1"/>
  <c r="GP800" i="1"/>
  <c r="GQ800" i="1"/>
  <c r="GR800" i="1"/>
  <c r="GS800" i="1"/>
  <c r="GT800" i="1"/>
  <c r="GU800" i="1"/>
  <c r="GV800" i="1"/>
  <c r="GW800" i="1"/>
  <c r="GX800" i="1"/>
  <c r="D803" i="1"/>
  <c r="I803" i="1"/>
  <c r="K803" i="1"/>
  <c r="T803" i="1"/>
  <c r="AC803" i="1"/>
  <c r="AD803" i="1"/>
  <c r="AE803" i="1"/>
  <c r="AF803" i="1"/>
  <c r="CT803" i="1" s="1"/>
  <c r="S803" i="1" s="1"/>
  <c r="AG803" i="1"/>
  <c r="AH803" i="1"/>
  <c r="AI803" i="1"/>
  <c r="AJ803" i="1"/>
  <c r="CQ803" i="1"/>
  <c r="P803" i="1" s="1"/>
  <c r="CU803" i="1"/>
  <c r="CV803" i="1"/>
  <c r="U803" i="1" s="1"/>
  <c r="CW803" i="1"/>
  <c r="V803" i="1" s="1"/>
  <c r="CX803" i="1"/>
  <c r="W803" i="1" s="1"/>
  <c r="FR803" i="1"/>
  <c r="GL803" i="1"/>
  <c r="GN803" i="1"/>
  <c r="GO803" i="1"/>
  <c r="GV803" i="1"/>
  <c r="HC803" i="1"/>
  <c r="GX803" i="1" s="1"/>
  <c r="D804" i="1"/>
  <c r="I804" i="1"/>
  <c r="K804" i="1"/>
  <c r="AC804" i="1"/>
  <c r="AE804" i="1"/>
  <c r="AF804" i="1"/>
  <c r="CT804" i="1" s="1"/>
  <c r="AG804" i="1"/>
  <c r="AH804" i="1"/>
  <c r="CV804" i="1" s="1"/>
  <c r="AI804" i="1"/>
  <c r="CW804" i="1" s="1"/>
  <c r="AJ804" i="1"/>
  <c r="CQ804" i="1"/>
  <c r="P804" i="1" s="1"/>
  <c r="CU804" i="1"/>
  <c r="CX804" i="1"/>
  <c r="FR804" i="1"/>
  <c r="GL804" i="1"/>
  <c r="GN804" i="1"/>
  <c r="GO804" i="1"/>
  <c r="GV804" i="1"/>
  <c r="HC804" i="1" s="1"/>
  <c r="D805" i="1"/>
  <c r="I805" i="1"/>
  <c r="K805" i="1"/>
  <c r="AC805" i="1"/>
  <c r="CQ805" i="1" s="1"/>
  <c r="P805" i="1" s="1"/>
  <c r="AE805" i="1"/>
  <c r="CS805" i="1" s="1"/>
  <c r="AF805" i="1"/>
  <c r="AG805" i="1"/>
  <c r="CU805" i="1" s="1"/>
  <c r="T805" i="1" s="1"/>
  <c r="AH805" i="1"/>
  <c r="CV805" i="1" s="1"/>
  <c r="U805" i="1" s="1"/>
  <c r="AI805" i="1"/>
  <c r="CW805" i="1" s="1"/>
  <c r="V805" i="1" s="1"/>
  <c r="AJ805" i="1"/>
  <c r="CX805" i="1" s="1"/>
  <c r="W805" i="1" s="1"/>
  <c r="CR805" i="1"/>
  <c r="Q805" i="1" s="1"/>
  <c r="CT805" i="1"/>
  <c r="S805" i="1" s="1"/>
  <c r="FR805" i="1"/>
  <c r="GL805" i="1"/>
  <c r="GN805" i="1"/>
  <c r="GO805" i="1"/>
  <c r="GV805" i="1"/>
  <c r="HC805" i="1" s="1"/>
  <c r="GX805" i="1" s="1"/>
  <c r="D806" i="1"/>
  <c r="I806" i="1"/>
  <c r="K806" i="1"/>
  <c r="AC806" i="1"/>
  <c r="CQ806" i="1" s="1"/>
  <c r="P806" i="1" s="1"/>
  <c r="AD806" i="1"/>
  <c r="AE806" i="1"/>
  <c r="CS806" i="1" s="1"/>
  <c r="R806" i="1" s="1"/>
  <c r="GK806" i="1" s="1"/>
  <c r="AF806" i="1"/>
  <c r="CT806" i="1" s="1"/>
  <c r="S806" i="1" s="1"/>
  <c r="AG806" i="1"/>
  <c r="CU806" i="1" s="1"/>
  <c r="T806" i="1" s="1"/>
  <c r="AH806" i="1"/>
  <c r="AI806" i="1"/>
  <c r="AJ806" i="1"/>
  <c r="CR806" i="1"/>
  <c r="Q806" i="1" s="1"/>
  <c r="CV806" i="1"/>
  <c r="U806" i="1" s="1"/>
  <c r="CW806" i="1"/>
  <c r="V806" i="1" s="1"/>
  <c r="CX806" i="1"/>
  <c r="W806" i="1" s="1"/>
  <c r="FR806" i="1"/>
  <c r="GL806" i="1"/>
  <c r="GN806" i="1"/>
  <c r="GO806" i="1"/>
  <c r="GV806" i="1"/>
  <c r="HC806" i="1"/>
  <c r="GX806" i="1" s="1"/>
  <c r="D807" i="1"/>
  <c r="I807" i="1"/>
  <c r="K807" i="1"/>
  <c r="AC807" i="1"/>
  <c r="CQ807" i="1" s="1"/>
  <c r="P807" i="1" s="1"/>
  <c r="AD807" i="1"/>
  <c r="AE807" i="1"/>
  <c r="AF807" i="1"/>
  <c r="CT807" i="1" s="1"/>
  <c r="S807" i="1" s="1"/>
  <c r="AG807" i="1"/>
  <c r="AH807" i="1"/>
  <c r="CV807" i="1" s="1"/>
  <c r="U807" i="1" s="1"/>
  <c r="AI807" i="1"/>
  <c r="AJ807" i="1"/>
  <c r="CU807" i="1"/>
  <c r="T807" i="1" s="1"/>
  <c r="CW807" i="1"/>
  <c r="V807" i="1" s="1"/>
  <c r="CX807" i="1"/>
  <c r="W807" i="1" s="1"/>
  <c r="FR807" i="1"/>
  <c r="GL807" i="1"/>
  <c r="GN807" i="1"/>
  <c r="GO807" i="1"/>
  <c r="GV807" i="1"/>
  <c r="HC807" i="1"/>
  <c r="GX807" i="1" s="1"/>
  <c r="D808" i="1"/>
  <c r="I808" i="1"/>
  <c r="K808" i="1"/>
  <c r="AC808" i="1"/>
  <c r="CQ808" i="1" s="1"/>
  <c r="P808" i="1" s="1"/>
  <c r="AE808" i="1"/>
  <c r="AF808" i="1"/>
  <c r="AG808" i="1"/>
  <c r="AH808" i="1"/>
  <c r="CV808" i="1" s="1"/>
  <c r="AI808" i="1"/>
  <c r="CW808" i="1" s="1"/>
  <c r="AJ808" i="1"/>
  <c r="CX808" i="1" s="1"/>
  <c r="W808" i="1" s="1"/>
  <c r="CU808" i="1"/>
  <c r="T808" i="1" s="1"/>
  <c r="FR808" i="1"/>
  <c r="GL808" i="1"/>
  <c r="GN808" i="1"/>
  <c r="GO808" i="1"/>
  <c r="GV808" i="1"/>
  <c r="HC808" i="1"/>
  <c r="D809" i="1"/>
  <c r="I809" i="1"/>
  <c r="K809" i="1"/>
  <c r="AC809" i="1"/>
  <c r="AD809" i="1"/>
  <c r="AE809" i="1"/>
  <c r="AF809" i="1"/>
  <c r="AG809" i="1"/>
  <c r="CU809" i="1" s="1"/>
  <c r="AH809" i="1"/>
  <c r="CV809" i="1" s="1"/>
  <c r="AI809" i="1"/>
  <c r="CW809" i="1" s="1"/>
  <c r="V809" i="1" s="1"/>
  <c r="AJ809" i="1"/>
  <c r="CX809" i="1" s="1"/>
  <c r="W809" i="1" s="1"/>
  <c r="CQ809" i="1"/>
  <c r="P809" i="1" s="1"/>
  <c r="CR809" i="1"/>
  <c r="Q809" i="1" s="1"/>
  <c r="CT809" i="1"/>
  <c r="S809" i="1" s="1"/>
  <c r="FR809" i="1"/>
  <c r="GL809" i="1"/>
  <c r="GN809" i="1"/>
  <c r="GO809" i="1"/>
  <c r="GV809" i="1"/>
  <c r="HC809" i="1"/>
  <c r="D810" i="1"/>
  <c r="I810" i="1"/>
  <c r="K810" i="1"/>
  <c r="AC810" i="1"/>
  <c r="CQ810" i="1" s="1"/>
  <c r="AE810" i="1"/>
  <c r="CR810" i="1" s="1"/>
  <c r="Q810" i="1" s="1"/>
  <c r="AF810" i="1"/>
  <c r="AG810" i="1"/>
  <c r="AH810" i="1"/>
  <c r="AI810" i="1"/>
  <c r="CW810" i="1" s="1"/>
  <c r="V810" i="1" s="1"/>
  <c r="AJ810" i="1"/>
  <c r="CS810" i="1"/>
  <c r="CT810" i="1"/>
  <c r="S810" i="1" s="1"/>
  <c r="CU810" i="1"/>
  <c r="T810" i="1" s="1"/>
  <c r="CV810" i="1"/>
  <c r="CX810" i="1"/>
  <c r="W810" i="1" s="1"/>
  <c r="FR810" i="1"/>
  <c r="GL810" i="1"/>
  <c r="GN810" i="1"/>
  <c r="GO810" i="1"/>
  <c r="GV810" i="1"/>
  <c r="HC810" i="1" s="1"/>
  <c r="AC811" i="1"/>
  <c r="CQ811" i="1" s="1"/>
  <c r="P811" i="1" s="1"/>
  <c r="AE811" i="1"/>
  <c r="AF811" i="1"/>
  <c r="CT811" i="1" s="1"/>
  <c r="S811" i="1" s="1"/>
  <c r="AG811" i="1"/>
  <c r="CU811" i="1" s="1"/>
  <c r="T811" i="1" s="1"/>
  <c r="AH811" i="1"/>
  <c r="CV811" i="1" s="1"/>
  <c r="U811" i="1" s="1"/>
  <c r="AI811" i="1"/>
  <c r="AJ811" i="1"/>
  <c r="CX811" i="1" s="1"/>
  <c r="W811" i="1" s="1"/>
  <c r="CW811" i="1"/>
  <c r="V811" i="1" s="1"/>
  <c r="FR811" i="1"/>
  <c r="GL811" i="1"/>
  <c r="GN811" i="1"/>
  <c r="GO811" i="1"/>
  <c r="GV811" i="1"/>
  <c r="HC811" i="1"/>
  <c r="GX811" i="1" s="1"/>
  <c r="D812" i="1"/>
  <c r="I812" i="1"/>
  <c r="K812" i="1"/>
  <c r="T812" i="1"/>
  <c r="AC812" i="1"/>
  <c r="AD812" i="1"/>
  <c r="AE812" i="1"/>
  <c r="AF812" i="1"/>
  <c r="AG812" i="1"/>
  <c r="CU812" i="1" s="1"/>
  <c r="AH812" i="1"/>
  <c r="CV812" i="1" s="1"/>
  <c r="U812" i="1" s="1"/>
  <c r="AI812" i="1"/>
  <c r="CW812" i="1" s="1"/>
  <c r="V812" i="1" s="1"/>
  <c r="AJ812" i="1"/>
  <c r="CR812" i="1"/>
  <c r="Q812" i="1" s="1"/>
  <c r="CX812" i="1"/>
  <c r="W812" i="1" s="1"/>
  <c r="FR812" i="1"/>
  <c r="GL812" i="1"/>
  <c r="GN812" i="1"/>
  <c r="CB816" i="1" s="1"/>
  <c r="AS816" i="1" s="1"/>
  <c r="GO812" i="1"/>
  <c r="GV812" i="1"/>
  <c r="HC812" i="1"/>
  <c r="GX812" i="1" s="1"/>
  <c r="D813" i="1"/>
  <c r="I813" i="1"/>
  <c r="K813" i="1"/>
  <c r="AC813" i="1"/>
  <c r="AE813" i="1"/>
  <c r="AD813" i="1" s="1"/>
  <c r="AF813" i="1"/>
  <c r="CT813" i="1" s="1"/>
  <c r="S813" i="1" s="1"/>
  <c r="AG813" i="1"/>
  <c r="CU813" i="1" s="1"/>
  <c r="T813" i="1" s="1"/>
  <c r="AH813" i="1"/>
  <c r="CV813" i="1" s="1"/>
  <c r="U813" i="1" s="1"/>
  <c r="AI813" i="1"/>
  <c r="AJ813" i="1"/>
  <c r="CX813" i="1" s="1"/>
  <c r="CR813" i="1"/>
  <c r="Q813" i="1" s="1"/>
  <c r="CW813" i="1"/>
  <c r="V813" i="1" s="1"/>
  <c r="FR813" i="1"/>
  <c r="GL813" i="1"/>
  <c r="GN813" i="1"/>
  <c r="GO813" i="1"/>
  <c r="GV813" i="1"/>
  <c r="HC813" i="1"/>
  <c r="GX813" i="1" s="1"/>
  <c r="D814" i="1"/>
  <c r="I814" i="1"/>
  <c r="K814" i="1"/>
  <c r="AC814" i="1"/>
  <c r="CQ814" i="1" s="1"/>
  <c r="AE814" i="1"/>
  <c r="CR814" i="1" s="1"/>
  <c r="AF814" i="1"/>
  <c r="CT814" i="1" s="1"/>
  <c r="S814" i="1" s="1"/>
  <c r="AG814" i="1"/>
  <c r="CU814" i="1" s="1"/>
  <c r="T814" i="1" s="1"/>
  <c r="AH814" i="1"/>
  <c r="AI814" i="1"/>
  <c r="CW814" i="1" s="1"/>
  <c r="AJ814" i="1"/>
  <c r="CX814" i="1" s="1"/>
  <c r="CV814" i="1"/>
  <c r="FR814" i="1"/>
  <c r="GL814" i="1"/>
  <c r="GN814" i="1"/>
  <c r="GO814" i="1"/>
  <c r="GV814" i="1"/>
  <c r="HC814" i="1" s="1"/>
  <c r="GX814" i="1" s="1"/>
  <c r="B816" i="1"/>
  <c r="B800" i="1" s="1"/>
  <c r="C816" i="1"/>
  <c r="C800" i="1" s="1"/>
  <c r="D816" i="1"/>
  <c r="D800" i="1" s="1"/>
  <c r="F816" i="1"/>
  <c r="F800" i="1" s="1"/>
  <c r="G816" i="1"/>
  <c r="G800" i="1" s="1"/>
  <c r="BX816" i="1"/>
  <c r="AO816" i="1" s="1"/>
  <c r="CK816" i="1"/>
  <c r="BB816" i="1" s="1"/>
  <c r="BB800" i="1" s="1"/>
  <c r="CL816" i="1"/>
  <c r="BC816" i="1" s="1"/>
  <c r="CM816" i="1"/>
  <c r="BD816" i="1" s="1"/>
  <c r="BD800" i="1" s="1"/>
  <c r="D846" i="1"/>
  <c r="E848" i="1"/>
  <c r="Z848" i="1"/>
  <c r="AA848" i="1"/>
  <c r="AM848" i="1"/>
  <c r="AN848" i="1"/>
  <c r="BE848" i="1"/>
  <c r="BF848" i="1"/>
  <c r="BG848" i="1"/>
  <c r="BH848" i="1"/>
  <c r="BI848" i="1"/>
  <c r="BJ848" i="1"/>
  <c r="BK848" i="1"/>
  <c r="BL848" i="1"/>
  <c r="BM848" i="1"/>
  <c r="BN848" i="1"/>
  <c r="BO848" i="1"/>
  <c r="BP848" i="1"/>
  <c r="BQ848" i="1"/>
  <c r="BR848" i="1"/>
  <c r="BS848" i="1"/>
  <c r="BT848" i="1"/>
  <c r="BU848" i="1"/>
  <c r="BV848" i="1"/>
  <c r="BW848" i="1"/>
  <c r="CN848" i="1"/>
  <c r="CO848" i="1"/>
  <c r="CP848" i="1"/>
  <c r="CQ848" i="1"/>
  <c r="CR848" i="1"/>
  <c r="CS848" i="1"/>
  <c r="CT848" i="1"/>
  <c r="CU848" i="1"/>
  <c r="CV848" i="1"/>
  <c r="CW848" i="1"/>
  <c r="CX848" i="1"/>
  <c r="CY848" i="1"/>
  <c r="CZ848" i="1"/>
  <c r="DA848" i="1"/>
  <c r="DB848" i="1"/>
  <c r="DC848" i="1"/>
  <c r="DD848" i="1"/>
  <c r="DE848" i="1"/>
  <c r="DF848" i="1"/>
  <c r="DG848" i="1"/>
  <c r="DH848" i="1"/>
  <c r="DI848" i="1"/>
  <c r="DJ848" i="1"/>
  <c r="DK848" i="1"/>
  <c r="DL848" i="1"/>
  <c r="DM848" i="1"/>
  <c r="DN848" i="1"/>
  <c r="DO848" i="1"/>
  <c r="DP848" i="1"/>
  <c r="DQ848" i="1"/>
  <c r="DR848" i="1"/>
  <c r="DS848" i="1"/>
  <c r="DT848" i="1"/>
  <c r="DU848" i="1"/>
  <c r="DV848" i="1"/>
  <c r="DW848" i="1"/>
  <c r="DX848" i="1"/>
  <c r="DY848" i="1"/>
  <c r="DZ848" i="1"/>
  <c r="EA848" i="1"/>
  <c r="EB848" i="1"/>
  <c r="EC848" i="1"/>
  <c r="ED848" i="1"/>
  <c r="EE848" i="1"/>
  <c r="EF848" i="1"/>
  <c r="EG848" i="1"/>
  <c r="EH848" i="1"/>
  <c r="EI848" i="1"/>
  <c r="EJ848" i="1"/>
  <c r="EK848" i="1"/>
  <c r="EL848" i="1"/>
  <c r="EM848" i="1"/>
  <c r="EN848" i="1"/>
  <c r="EO848" i="1"/>
  <c r="EP848" i="1"/>
  <c r="EQ848" i="1"/>
  <c r="ER848" i="1"/>
  <c r="ES848" i="1"/>
  <c r="ET848" i="1"/>
  <c r="EU848" i="1"/>
  <c r="EV848" i="1"/>
  <c r="EW848" i="1"/>
  <c r="EX848" i="1"/>
  <c r="EY848" i="1"/>
  <c r="EZ848" i="1"/>
  <c r="FA848" i="1"/>
  <c r="FB848" i="1"/>
  <c r="FC848" i="1"/>
  <c r="FD848" i="1"/>
  <c r="FE848" i="1"/>
  <c r="FF848" i="1"/>
  <c r="FG848" i="1"/>
  <c r="FH848" i="1"/>
  <c r="FI848" i="1"/>
  <c r="FJ848" i="1"/>
  <c r="FK848" i="1"/>
  <c r="FL848" i="1"/>
  <c r="FM848" i="1"/>
  <c r="FN848" i="1"/>
  <c r="FO848" i="1"/>
  <c r="FP848" i="1"/>
  <c r="FQ848" i="1"/>
  <c r="FR848" i="1"/>
  <c r="FS848" i="1"/>
  <c r="FT848" i="1"/>
  <c r="FU848" i="1"/>
  <c r="FV848" i="1"/>
  <c r="FW848" i="1"/>
  <c r="FX848" i="1"/>
  <c r="FY848" i="1"/>
  <c r="FZ848" i="1"/>
  <c r="GA848" i="1"/>
  <c r="GB848" i="1"/>
  <c r="GC848" i="1"/>
  <c r="GD848" i="1"/>
  <c r="GE848" i="1"/>
  <c r="GF848" i="1"/>
  <c r="GG848" i="1"/>
  <c r="GH848" i="1"/>
  <c r="GI848" i="1"/>
  <c r="GJ848" i="1"/>
  <c r="GK848" i="1"/>
  <c r="GL848" i="1"/>
  <c r="GM848" i="1"/>
  <c r="GN848" i="1"/>
  <c r="GO848" i="1"/>
  <c r="GP848" i="1"/>
  <c r="GQ848" i="1"/>
  <c r="GR848" i="1"/>
  <c r="GS848" i="1"/>
  <c r="GT848" i="1"/>
  <c r="GU848" i="1"/>
  <c r="GV848" i="1"/>
  <c r="GW848" i="1"/>
  <c r="GX848" i="1"/>
  <c r="D851" i="1"/>
  <c r="I851" i="1"/>
  <c r="K851" i="1"/>
  <c r="P851" i="1"/>
  <c r="AC851" i="1"/>
  <c r="AE851" i="1"/>
  <c r="CS851" i="1" s="1"/>
  <c r="AF851" i="1"/>
  <c r="AG851" i="1"/>
  <c r="CU851" i="1" s="1"/>
  <c r="T851" i="1" s="1"/>
  <c r="AH851" i="1"/>
  <c r="AI851" i="1"/>
  <c r="AJ851" i="1"/>
  <c r="CX851" i="1" s="1"/>
  <c r="W851" i="1" s="1"/>
  <c r="CQ851" i="1"/>
  <c r="CR851" i="1"/>
  <c r="Q851" i="1" s="1"/>
  <c r="CV851" i="1"/>
  <c r="CW851" i="1"/>
  <c r="FR851" i="1"/>
  <c r="GL851" i="1"/>
  <c r="GN851" i="1"/>
  <c r="GO851" i="1"/>
  <c r="GV851" i="1"/>
  <c r="HC851" i="1" s="1"/>
  <c r="D852" i="1"/>
  <c r="I852" i="1"/>
  <c r="U852" i="1" s="1"/>
  <c r="K852" i="1"/>
  <c r="AC852" i="1"/>
  <c r="CQ852" i="1" s="1"/>
  <c r="P852" i="1" s="1"/>
  <c r="AE852" i="1"/>
  <c r="AD852" i="1" s="1"/>
  <c r="AF852" i="1"/>
  <c r="CT852" i="1" s="1"/>
  <c r="AG852" i="1"/>
  <c r="CU852" i="1" s="1"/>
  <c r="T852" i="1" s="1"/>
  <c r="AH852" i="1"/>
  <c r="AI852" i="1"/>
  <c r="CW852" i="1" s="1"/>
  <c r="V852" i="1" s="1"/>
  <c r="AJ852" i="1"/>
  <c r="CX852" i="1" s="1"/>
  <c r="CV852" i="1"/>
  <c r="FR852" i="1"/>
  <c r="GL852" i="1"/>
  <c r="GN852" i="1"/>
  <c r="GO852" i="1"/>
  <c r="GV852" i="1"/>
  <c r="HC852" i="1" s="1"/>
  <c r="D853" i="1"/>
  <c r="I853" i="1"/>
  <c r="K853" i="1"/>
  <c r="AC853" i="1"/>
  <c r="CQ853" i="1" s="1"/>
  <c r="P853" i="1" s="1"/>
  <c r="AE853" i="1"/>
  <c r="AF853" i="1"/>
  <c r="AG853" i="1"/>
  <c r="CU853" i="1" s="1"/>
  <c r="AH853" i="1"/>
  <c r="CV853" i="1" s="1"/>
  <c r="U853" i="1" s="1"/>
  <c r="AI853" i="1"/>
  <c r="CW853" i="1" s="1"/>
  <c r="V853" i="1" s="1"/>
  <c r="AJ853" i="1"/>
  <c r="CX853" i="1" s="1"/>
  <c r="W853" i="1" s="1"/>
  <c r="FR853" i="1"/>
  <c r="BY867" i="1" s="1"/>
  <c r="AP867" i="1" s="1"/>
  <c r="AP848" i="1" s="1"/>
  <c r="GL853" i="1"/>
  <c r="GN853" i="1"/>
  <c r="GO853" i="1"/>
  <c r="GV853" i="1"/>
  <c r="HC853" i="1" s="1"/>
  <c r="GX853" i="1" s="1"/>
  <c r="D854" i="1"/>
  <c r="I854" i="1"/>
  <c r="K854" i="1"/>
  <c r="AC854" i="1"/>
  <c r="CQ854" i="1" s="1"/>
  <c r="P854" i="1" s="1"/>
  <c r="AE854" i="1"/>
  <c r="CS854" i="1" s="1"/>
  <c r="AF854" i="1"/>
  <c r="AG854" i="1"/>
  <c r="CU854" i="1" s="1"/>
  <c r="AH854" i="1"/>
  <c r="CV854" i="1" s="1"/>
  <c r="U854" i="1" s="1"/>
  <c r="AI854" i="1"/>
  <c r="CW854" i="1" s="1"/>
  <c r="V854" i="1" s="1"/>
  <c r="AJ854" i="1"/>
  <c r="CX854" i="1" s="1"/>
  <c r="W854" i="1" s="1"/>
  <c r="CR854" i="1"/>
  <c r="Q854" i="1" s="1"/>
  <c r="FR854" i="1"/>
  <c r="GL854" i="1"/>
  <c r="GN854" i="1"/>
  <c r="GO854" i="1"/>
  <c r="GV854" i="1"/>
  <c r="HC854" i="1" s="1"/>
  <c r="GX854" i="1" s="1"/>
  <c r="D855" i="1"/>
  <c r="I855" i="1"/>
  <c r="K855" i="1"/>
  <c r="AC855" i="1"/>
  <c r="CQ855" i="1" s="1"/>
  <c r="P855" i="1" s="1"/>
  <c r="CP855" i="1" s="1"/>
  <c r="O855" i="1" s="1"/>
  <c r="AE855" i="1"/>
  <c r="AD855" i="1" s="1"/>
  <c r="AF855" i="1"/>
  <c r="CT855" i="1" s="1"/>
  <c r="S855" i="1" s="1"/>
  <c r="CY855" i="1" s="1"/>
  <c r="X855" i="1" s="1"/>
  <c r="AG855" i="1"/>
  <c r="CU855" i="1" s="1"/>
  <c r="T855" i="1" s="1"/>
  <c r="AH855" i="1"/>
  <c r="AI855" i="1"/>
  <c r="AJ855" i="1"/>
  <c r="CX855" i="1" s="1"/>
  <c r="W855" i="1" s="1"/>
  <c r="CR855" i="1"/>
  <c r="Q855" i="1" s="1"/>
  <c r="CV855" i="1"/>
  <c r="U855" i="1" s="1"/>
  <c r="CW855" i="1"/>
  <c r="FR855" i="1"/>
  <c r="GL855" i="1"/>
  <c r="GN855" i="1"/>
  <c r="GO855" i="1"/>
  <c r="GV855" i="1"/>
  <c r="HC855" i="1" s="1"/>
  <c r="D856" i="1"/>
  <c r="I856" i="1"/>
  <c r="K856" i="1"/>
  <c r="AC856" i="1"/>
  <c r="AE856" i="1"/>
  <c r="AF856" i="1"/>
  <c r="AG856" i="1"/>
  <c r="AH856" i="1"/>
  <c r="CV856" i="1" s="1"/>
  <c r="AI856" i="1"/>
  <c r="CW856" i="1" s="1"/>
  <c r="V856" i="1" s="1"/>
  <c r="AJ856" i="1"/>
  <c r="CX856" i="1" s="1"/>
  <c r="W856" i="1" s="1"/>
  <c r="CQ856" i="1"/>
  <c r="P856" i="1" s="1"/>
  <c r="CU856" i="1"/>
  <c r="FR856" i="1"/>
  <c r="GL856" i="1"/>
  <c r="GN856" i="1"/>
  <c r="GO856" i="1"/>
  <c r="GV856" i="1"/>
  <c r="HC856" i="1" s="1"/>
  <c r="GX856" i="1" s="1"/>
  <c r="D857" i="1"/>
  <c r="I857" i="1"/>
  <c r="K857" i="1"/>
  <c r="AC857" i="1"/>
  <c r="CQ857" i="1" s="1"/>
  <c r="P857" i="1" s="1"/>
  <c r="AE857" i="1"/>
  <c r="CR857" i="1" s="1"/>
  <c r="Q857" i="1" s="1"/>
  <c r="AF857" i="1"/>
  <c r="CT857" i="1" s="1"/>
  <c r="S857" i="1" s="1"/>
  <c r="AG857" i="1"/>
  <c r="AH857" i="1"/>
  <c r="CV857" i="1" s="1"/>
  <c r="U857" i="1" s="1"/>
  <c r="AI857" i="1"/>
  <c r="AJ857" i="1"/>
  <c r="CX857" i="1" s="1"/>
  <c r="W857" i="1" s="1"/>
  <c r="CU857" i="1"/>
  <c r="CW857" i="1"/>
  <c r="FR857" i="1"/>
  <c r="GL857" i="1"/>
  <c r="GN857" i="1"/>
  <c r="GO857" i="1"/>
  <c r="GV857" i="1"/>
  <c r="HC857" i="1" s="1"/>
  <c r="D858" i="1"/>
  <c r="I858" i="1"/>
  <c r="K858" i="1"/>
  <c r="AC858" i="1"/>
  <c r="CQ858" i="1" s="1"/>
  <c r="P858" i="1" s="1"/>
  <c r="AE858" i="1"/>
  <c r="AF858" i="1"/>
  <c r="AG858" i="1"/>
  <c r="CU858" i="1" s="1"/>
  <c r="T858" i="1" s="1"/>
  <c r="AH858" i="1"/>
  <c r="AI858" i="1"/>
  <c r="AJ858" i="1"/>
  <c r="CX858" i="1" s="1"/>
  <c r="W858" i="1" s="1"/>
  <c r="CS858" i="1"/>
  <c r="R858" i="1" s="1"/>
  <c r="GK858" i="1" s="1"/>
  <c r="CV858" i="1"/>
  <c r="U858" i="1" s="1"/>
  <c r="CW858" i="1"/>
  <c r="V858" i="1" s="1"/>
  <c r="FR858" i="1"/>
  <c r="GL858" i="1"/>
  <c r="GN858" i="1"/>
  <c r="GO858" i="1"/>
  <c r="GV858" i="1"/>
  <c r="HC858" i="1" s="1"/>
  <c r="GX858" i="1"/>
  <c r="D859" i="1"/>
  <c r="I859" i="1"/>
  <c r="K859" i="1"/>
  <c r="S859" i="1"/>
  <c r="CY859" i="1" s="1"/>
  <c r="X859" i="1" s="1"/>
  <c r="T859" i="1"/>
  <c r="AB859" i="1"/>
  <c r="AC859" i="1"/>
  <c r="CQ859" i="1" s="1"/>
  <c r="P859" i="1" s="1"/>
  <c r="CP859" i="1" s="1"/>
  <c r="O859" i="1" s="1"/>
  <c r="AE859" i="1"/>
  <c r="AD859" i="1" s="1"/>
  <c r="AF859" i="1"/>
  <c r="CT859" i="1" s="1"/>
  <c r="AG859" i="1"/>
  <c r="CU859" i="1" s="1"/>
  <c r="AH859" i="1"/>
  <c r="CV859" i="1" s="1"/>
  <c r="U859" i="1" s="1"/>
  <c r="AI859" i="1"/>
  <c r="AJ859" i="1"/>
  <c r="CX859" i="1" s="1"/>
  <c r="W859" i="1" s="1"/>
  <c r="CR859" i="1"/>
  <c r="Q859" i="1" s="1"/>
  <c r="CS859" i="1"/>
  <c r="R859" i="1" s="1"/>
  <c r="GK859" i="1" s="1"/>
  <c r="CW859" i="1"/>
  <c r="V859" i="1" s="1"/>
  <c r="FR859" i="1"/>
  <c r="GL859" i="1"/>
  <c r="GN859" i="1"/>
  <c r="GO859" i="1"/>
  <c r="GV859" i="1"/>
  <c r="HC859" i="1" s="1"/>
  <c r="GX859" i="1" s="1"/>
  <c r="D860" i="1"/>
  <c r="I860" i="1"/>
  <c r="K860" i="1"/>
  <c r="AC860" i="1"/>
  <c r="CQ860" i="1" s="1"/>
  <c r="P860" i="1" s="1"/>
  <c r="AE860" i="1"/>
  <c r="AF860" i="1"/>
  <c r="AG860" i="1"/>
  <c r="CU860" i="1" s="1"/>
  <c r="T860" i="1" s="1"/>
  <c r="AH860" i="1"/>
  <c r="AI860" i="1"/>
  <c r="CW860" i="1" s="1"/>
  <c r="AJ860" i="1"/>
  <c r="CX860" i="1" s="1"/>
  <c r="CV860" i="1"/>
  <c r="FR860" i="1"/>
  <c r="GL860" i="1"/>
  <c r="GN860" i="1"/>
  <c r="GO860" i="1"/>
  <c r="GV860" i="1"/>
  <c r="HC860" i="1" s="1"/>
  <c r="GX860" i="1" s="1"/>
  <c r="D861" i="1"/>
  <c r="I861" i="1"/>
  <c r="K861" i="1"/>
  <c r="AC861" i="1"/>
  <c r="CQ861" i="1" s="1"/>
  <c r="P861" i="1" s="1"/>
  <c r="AE861" i="1"/>
  <c r="AD861" i="1" s="1"/>
  <c r="AF861" i="1"/>
  <c r="CT861" i="1" s="1"/>
  <c r="S861" i="1" s="1"/>
  <c r="AG861" i="1"/>
  <c r="AH861" i="1"/>
  <c r="AI861" i="1"/>
  <c r="AJ861" i="1"/>
  <c r="CX861" i="1" s="1"/>
  <c r="W861" i="1" s="1"/>
  <c r="CU861" i="1"/>
  <c r="CV861" i="1"/>
  <c r="U861" i="1" s="1"/>
  <c r="CW861" i="1"/>
  <c r="V861" i="1" s="1"/>
  <c r="FR861" i="1"/>
  <c r="GL861" i="1"/>
  <c r="GN861" i="1"/>
  <c r="GO861" i="1"/>
  <c r="GV861" i="1"/>
  <c r="HC861" i="1" s="1"/>
  <c r="GX861" i="1" s="1"/>
  <c r="D862" i="1"/>
  <c r="I862" i="1"/>
  <c r="K862" i="1"/>
  <c r="U862" i="1"/>
  <c r="AC862" i="1"/>
  <c r="CQ862" i="1" s="1"/>
  <c r="P862" i="1" s="1"/>
  <c r="AE862" i="1"/>
  <c r="CR862" i="1" s="1"/>
  <c r="Q862" i="1" s="1"/>
  <c r="AF862" i="1"/>
  <c r="AG862" i="1"/>
  <c r="CU862" i="1" s="1"/>
  <c r="T862" i="1" s="1"/>
  <c r="AH862" i="1"/>
  <c r="AI862" i="1"/>
  <c r="AJ862" i="1"/>
  <c r="CX862" i="1" s="1"/>
  <c r="W862" i="1" s="1"/>
  <c r="CS862" i="1"/>
  <c r="R862" i="1" s="1"/>
  <c r="GK862" i="1" s="1"/>
  <c r="CV862" i="1"/>
  <c r="CW862" i="1"/>
  <c r="V862" i="1" s="1"/>
  <c r="FR862" i="1"/>
  <c r="GL862" i="1"/>
  <c r="GN862" i="1"/>
  <c r="GO862" i="1"/>
  <c r="GV862" i="1"/>
  <c r="HC862" i="1"/>
  <c r="GX862" i="1" s="1"/>
  <c r="D863" i="1"/>
  <c r="I863" i="1"/>
  <c r="T863" i="1" s="1"/>
  <c r="K863" i="1"/>
  <c r="AC863" i="1"/>
  <c r="AE863" i="1"/>
  <c r="AD863" i="1" s="1"/>
  <c r="AF863" i="1"/>
  <c r="CT863" i="1" s="1"/>
  <c r="S863" i="1" s="1"/>
  <c r="CY863" i="1" s="1"/>
  <c r="X863" i="1" s="1"/>
  <c r="AG863" i="1"/>
  <c r="CU863" i="1" s="1"/>
  <c r="AH863" i="1"/>
  <c r="AI863" i="1"/>
  <c r="CW863" i="1" s="1"/>
  <c r="AJ863" i="1"/>
  <c r="CX863" i="1" s="1"/>
  <c r="CQ863" i="1"/>
  <c r="CR863" i="1"/>
  <c r="CV863" i="1"/>
  <c r="FR863" i="1"/>
  <c r="GL863" i="1"/>
  <c r="GN863" i="1"/>
  <c r="GO863" i="1"/>
  <c r="GV863" i="1"/>
  <c r="HC863" i="1" s="1"/>
  <c r="GX863" i="1" s="1"/>
  <c r="D864" i="1"/>
  <c r="I864" i="1"/>
  <c r="K864" i="1"/>
  <c r="AC864" i="1"/>
  <c r="CQ864" i="1" s="1"/>
  <c r="AE864" i="1"/>
  <c r="AF864" i="1"/>
  <c r="AG864" i="1"/>
  <c r="CU864" i="1" s="1"/>
  <c r="AH864" i="1"/>
  <c r="CV864" i="1" s="1"/>
  <c r="U864" i="1" s="1"/>
  <c r="AI864" i="1"/>
  <c r="CW864" i="1" s="1"/>
  <c r="V864" i="1" s="1"/>
  <c r="AJ864" i="1"/>
  <c r="CX864" i="1" s="1"/>
  <c r="FR864" i="1"/>
  <c r="GL864" i="1"/>
  <c r="GN864" i="1"/>
  <c r="GO864" i="1"/>
  <c r="GV864" i="1"/>
  <c r="HC864" i="1" s="1"/>
  <c r="D865" i="1"/>
  <c r="I865" i="1"/>
  <c r="K865" i="1"/>
  <c r="AB865" i="1"/>
  <c r="AC865" i="1"/>
  <c r="CQ865" i="1" s="1"/>
  <c r="AD865" i="1"/>
  <c r="AE865" i="1"/>
  <c r="AF865" i="1"/>
  <c r="AG865" i="1"/>
  <c r="AH865" i="1"/>
  <c r="CV865" i="1" s="1"/>
  <c r="U865" i="1" s="1"/>
  <c r="AI865" i="1"/>
  <c r="CW865" i="1" s="1"/>
  <c r="V865" i="1" s="1"/>
  <c r="AJ865" i="1"/>
  <c r="CR865" i="1"/>
  <c r="Q865" i="1" s="1"/>
  <c r="CS865" i="1"/>
  <c r="R865" i="1" s="1"/>
  <c r="GK865" i="1" s="1"/>
  <c r="CT865" i="1"/>
  <c r="S865" i="1" s="1"/>
  <c r="CU865" i="1"/>
  <c r="T865" i="1" s="1"/>
  <c r="CX865" i="1"/>
  <c r="FR865" i="1"/>
  <c r="GL865" i="1"/>
  <c r="GN865" i="1"/>
  <c r="GO865" i="1"/>
  <c r="GV865" i="1"/>
  <c r="HC865" i="1"/>
  <c r="GX865" i="1" s="1"/>
  <c r="B867" i="1"/>
  <c r="B848" i="1" s="1"/>
  <c r="C867" i="1"/>
  <c r="C848" i="1" s="1"/>
  <c r="D867" i="1"/>
  <c r="D848" i="1" s="1"/>
  <c r="F867" i="1"/>
  <c r="F848" i="1" s="1"/>
  <c r="G867" i="1"/>
  <c r="BX867" i="1"/>
  <c r="AO867" i="1" s="1"/>
  <c r="BZ867" i="1"/>
  <c r="BZ848" i="1" s="1"/>
  <c r="CK867" i="1"/>
  <c r="BB867" i="1" s="1"/>
  <c r="BB848" i="1" s="1"/>
  <c r="CL867" i="1"/>
  <c r="CL848" i="1" s="1"/>
  <c r="CM867" i="1"/>
  <c r="CM848" i="1" s="1"/>
  <c r="B897" i="1"/>
  <c r="B598" i="1" s="1"/>
  <c r="C897" i="1"/>
  <c r="C598" i="1" s="1"/>
  <c r="D897" i="1"/>
  <c r="D598" i="1" s="1"/>
  <c r="F897" i="1"/>
  <c r="F598" i="1" s="1"/>
  <c r="G897" i="1"/>
  <c r="B927" i="1"/>
  <c r="B22" i="1" s="1"/>
  <c r="C927" i="1"/>
  <c r="C22" i="1" s="1"/>
  <c r="D927" i="1"/>
  <c r="D22" i="1" s="1"/>
  <c r="F927" i="1"/>
  <c r="F22" i="1" s="1"/>
  <c r="G927" i="1"/>
  <c r="B957" i="1"/>
  <c r="B18" i="1" s="1"/>
  <c r="C957" i="1"/>
  <c r="C18" i="1" s="1"/>
  <c r="D957" i="1"/>
  <c r="D18" i="1" s="1"/>
  <c r="F957" i="1"/>
  <c r="F18" i="1" s="1"/>
  <c r="G957" i="1"/>
  <c r="G18" i="1" s="1"/>
  <c r="F12" i="6"/>
  <c r="G12" i="6"/>
  <c r="CY12" i="6"/>
  <c r="L1184" i="8" l="1"/>
  <c r="K1178" i="7"/>
  <c r="L1160" i="8"/>
  <c r="K1154" i="7"/>
  <c r="L1141" i="8"/>
  <c r="K1135" i="7"/>
  <c r="L1110" i="8"/>
  <c r="K1104" i="7"/>
  <c r="K960" i="8"/>
  <c r="J954" i="7"/>
  <c r="R805" i="1"/>
  <c r="GK805" i="1" s="1"/>
  <c r="V1065" i="8"/>
  <c r="V1059" i="7"/>
  <c r="L1033" i="8"/>
  <c r="K1027" i="7"/>
  <c r="V1135" i="8"/>
  <c r="V1129" i="7"/>
  <c r="R854" i="1"/>
  <c r="GK854" i="1" s="1"/>
  <c r="L1133" i="8"/>
  <c r="K1127" i="7"/>
  <c r="K1068" i="8"/>
  <c r="J1062" i="7"/>
  <c r="L902" i="8"/>
  <c r="K896" i="7"/>
  <c r="K1165" i="8"/>
  <c r="J1159" i="7"/>
  <c r="CZ803" i="1"/>
  <c r="Y803" i="1" s="1"/>
  <c r="K1059" i="8"/>
  <c r="J1053" i="7"/>
  <c r="CY803" i="1"/>
  <c r="X803" i="1" s="1"/>
  <c r="L804" i="8"/>
  <c r="K798" i="7"/>
  <c r="K1091" i="8"/>
  <c r="J1085" i="7"/>
  <c r="R851" i="1"/>
  <c r="V1119" i="8"/>
  <c r="V1113" i="7"/>
  <c r="K1083" i="8"/>
  <c r="J1077" i="7"/>
  <c r="K945" i="8"/>
  <c r="J939" i="7"/>
  <c r="K929" i="8"/>
  <c r="J923" i="7"/>
  <c r="CZ805" i="1"/>
  <c r="Y805" i="1" s="1"/>
  <c r="K1067" i="8"/>
  <c r="J1061" i="7"/>
  <c r="L862" i="8"/>
  <c r="K856" i="7"/>
  <c r="L854" i="8"/>
  <c r="K848" i="7"/>
  <c r="L924" i="8"/>
  <c r="K918" i="7"/>
  <c r="L1078" i="8"/>
  <c r="K1072" i="7"/>
  <c r="L909" i="8"/>
  <c r="K903" i="7"/>
  <c r="BY719" i="1"/>
  <c r="AP729" i="1"/>
  <c r="F738" i="1" s="1"/>
  <c r="L1017" i="8"/>
  <c r="K1011" i="7"/>
  <c r="K985" i="8"/>
  <c r="J979" i="7"/>
  <c r="K928" i="8"/>
  <c r="J922" i="7"/>
  <c r="L886" i="8"/>
  <c r="K880" i="7"/>
  <c r="K1075" i="8"/>
  <c r="J1069" i="7"/>
  <c r="CY807" i="1"/>
  <c r="X807" i="1" s="1"/>
  <c r="CZ807" i="1"/>
  <c r="Y807" i="1" s="1"/>
  <c r="K944" i="8"/>
  <c r="J938" i="7"/>
  <c r="K875" i="8"/>
  <c r="J869" i="7"/>
  <c r="L818" i="8"/>
  <c r="K812" i="7"/>
  <c r="CY610" i="1"/>
  <c r="X610" i="1" s="1"/>
  <c r="CZ610" i="1"/>
  <c r="Y610" i="1" s="1"/>
  <c r="K470" i="8"/>
  <c r="J464" i="7"/>
  <c r="K1060" i="8"/>
  <c r="J1054" i="7"/>
  <c r="L964" i="8"/>
  <c r="K958" i="7"/>
  <c r="CP633" i="1"/>
  <c r="O633" i="1" s="1"/>
  <c r="L826" i="8"/>
  <c r="K820" i="7"/>
  <c r="U1080" i="8"/>
  <c r="U1074" i="7"/>
  <c r="Q1011" i="8"/>
  <c r="S1011" i="8"/>
  <c r="Q1005" i="7"/>
  <c r="S1005" i="7"/>
  <c r="K883" i="8"/>
  <c r="J877" i="7"/>
  <c r="U830" i="8"/>
  <c r="U824" i="7"/>
  <c r="K571" i="8"/>
  <c r="J565" i="7"/>
  <c r="G22" i="1"/>
  <c r="A1193" i="8"/>
  <c r="A1187" i="7"/>
  <c r="GX864" i="1"/>
  <c r="AD864" i="1"/>
  <c r="AB864" i="1" s="1"/>
  <c r="U1178" i="8"/>
  <c r="U1172" i="7"/>
  <c r="CS863" i="1"/>
  <c r="R863" i="1" s="1"/>
  <c r="GK863" i="1" s="1"/>
  <c r="T856" i="1"/>
  <c r="GX855" i="1"/>
  <c r="AB852" i="1"/>
  <c r="CK848" i="1"/>
  <c r="U810" i="1"/>
  <c r="P810" i="1"/>
  <c r="L1063" i="8"/>
  <c r="K1057" i="7"/>
  <c r="F1042" i="8"/>
  <c r="D1043" i="8"/>
  <c r="E1036" i="7"/>
  <c r="C1037" i="7"/>
  <c r="BZ729" i="1"/>
  <c r="D1020" i="8"/>
  <c r="F1019" i="8"/>
  <c r="C1014" i="7"/>
  <c r="E1013" i="7"/>
  <c r="T723" i="1"/>
  <c r="L988" i="8"/>
  <c r="K982" i="7"/>
  <c r="U683" i="1"/>
  <c r="P682" i="1"/>
  <c r="L940" i="8"/>
  <c r="K934" i="7"/>
  <c r="W677" i="1"/>
  <c r="S676" i="1"/>
  <c r="CL673" i="1"/>
  <c r="AO641" i="1"/>
  <c r="BX602" i="1"/>
  <c r="AB637" i="1"/>
  <c r="CT635" i="1"/>
  <c r="S635" i="1" s="1"/>
  <c r="S888" i="8"/>
  <c r="Q888" i="8"/>
  <c r="S882" i="7"/>
  <c r="Q882" i="7"/>
  <c r="CT632" i="1"/>
  <c r="S632" i="1" s="1"/>
  <c r="S872" i="8"/>
  <c r="Q872" i="8"/>
  <c r="S866" i="7"/>
  <c r="Q866" i="7"/>
  <c r="P625" i="1"/>
  <c r="CS624" i="1"/>
  <c r="CT617" i="1"/>
  <c r="S617" i="1" s="1"/>
  <c r="S813" i="8"/>
  <c r="Q813" i="8"/>
  <c r="S807" i="7"/>
  <c r="Q807" i="7"/>
  <c r="L811" i="8"/>
  <c r="K805" i="7"/>
  <c r="CZ607" i="1"/>
  <c r="Y607" i="1" s="1"/>
  <c r="K783" i="8"/>
  <c r="J777" i="7"/>
  <c r="G440" i="1"/>
  <c r="A765" i="8"/>
  <c r="A759" i="7"/>
  <c r="L748" i="8"/>
  <c r="K742" i="7"/>
  <c r="K724" i="8"/>
  <c r="J718" i="7"/>
  <c r="BZ536" i="1"/>
  <c r="K639" i="8"/>
  <c r="J633" i="7"/>
  <c r="Q449" i="1"/>
  <c r="AD447" i="1"/>
  <c r="CR447" i="1"/>
  <c r="Q447" i="1" s="1"/>
  <c r="CS447" i="1"/>
  <c r="R447" i="1" s="1"/>
  <c r="GK447" i="1" s="1"/>
  <c r="W360" i="1"/>
  <c r="L464" i="8"/>
  <c r="K458" i="7"/>
  <c r="L340" i="8"/>
  <c r="K334" i="7"/>
  <c r="S1104" i="8"/>
  <c r="Q1104" i="8"/>
  <c r="Q1098" i="7"/>
  <c r="S1098" i="7"/>
  <c r="K898" i="8"/>
  <c r="J892" i="7"/>
  <c r="U888" i="8"/>
  <c r="U882" i="7"/>
  <c r="CS632" i="1"/>
  <c r="U872" i="8"/>
  <c r="U866" i="7"/>
  <c r="BC286" i="1"/>
  <c r="F313" i="1"/>
  <c r="P863" i="1"/>
  <c r="CT860" i="1"/>
  <c r="S860" i="1" s="1"/>
  <c r="Q1162" i="8"/>
  <c r="S1156" i="7"/>
  <c r="Q1156" i="7"/>
  <c r="S1162" i="8"/>
  <c r="CT858" i="1"/>
  <c r="S858" i="1" s="1"/>
  <c r="S1154" i="8"/>
  <c r="Q1154" i="8"/>
  <c r="Q1148" i="7"/>
  <c r="S1148" i="7"/>
  <c r="F1135" i="8"/>
  <c r="D1136" i="8"/>
  <c r="C1130" i="7"/>
  <c r="E1129" i="7"/>
  <c r="U1104" i="8"/>
  <c r="U1098" i="7"/>
  <c r="K1098" i="8"/>
  <c r="J1092" i="7"/>
  <c r="F1096" i="8"/>
  <c r="D1097" i="8"/>
  <c r="C1091" i="7"/>
  <c r="E1090" i="7"/>
  <c r="D1089" i="8"/>
  <c r="F1088" i="8"/>
  <c r="C1083" i="7"/>
  <c r="E1082" i="7"/>
  <c r="F1080" i="8"/>
  <c r="D1081" i="8"/>
  <c r="E1074" i="7"/>
  <c r="C1075" i="7"/>
  <c r="AB807" i="1"/>
  <c r="T804" i="1"/>
  <c r="CL800" i="1"/>
  <c r="A1036" i="8"/>
  <c r="A1030" i="7"/>
  <c r="R723" i="1"/>
  <c r="GK723" i="1" s="1"/>
  <c r="V1011" i="8"/>
  <c r="V1005" i="7"/>
  <c r="F1011" i="8"/>
  <c r="D1012" i="8"/>
  <c r="E1005" i="7"/>
  <c r="C1006" i="7"/>
  <c r="L1009" i="8"/>
  <c r="K1003" i="7"/>
  <c r="CT684" i="1"/>
  <c r="S684" i="1" s="1"/>
  <c r="S982" i="8"/>
  <c r="Q982" i="8"/>
  <c r="S976" i="7"/>
  <c r="Q976" i="7"/>
  <c r="S974" i="8"/>
  <c r="S968" i="7"/>
  <c r="Q968" i="7"/>
  <c r="Q974" i="8"/>
  <c r="BZ687" i="1"/>
  <c r="F966" i="8"/>
  <c r="D967" i="8"/>
  <c r="E960" i="7"/>
  <c r="C961" i="7"/>
  <c r="W680" i="1"/>
  <c r="F942" i="8"/>
  <c r="D943" i="8"/>
  <c r="C937" i="7"/>
  <c r="E936" i="7"/>
  <c r="W639" i="1"/>
  <c r="K906" i="8"/>
  <c r="J900" i="7"/>
  <c r="R637" i="1"/>
  <c r="GK637" i="1" s="1"/>
  <c r="V896" i="8"/>
  <c r="V890" i="7"/>
  <c r="AD635" i="1"/>
  <c r="CS634" i="1"/>
  <c r="U880" i="8"/>
  <c r="U874" i="7"/>
  <c r="AD632" i="1"/>
  <c r="U864" i="8"/>
  <c r="U858" i="7"/>
  <c r="AD630" i="1"/>
  <c r="AB630" i="1" s="1"/>
  <c r="U856" i="8"/>
  <c r="U850" i="7"/>
  <c r="AB629" i="1"/>
  <c r="CT626" i="1"/>
  <c r="S626" i="1" s="1"/>
  <c r="S838" i="8"/>
  <c r="Q838" i="8"/>
  <c r="S832" i="7"/>
  <c r="Q832" i="7"/>
  <c r="U625" i="1"/>
  <c r="P624" i="1"/>
  <c r="S820" i="8"/>
  <c r="Q820" i="8"/>
  <c r="Q814" i="7"/>
  <c r="S814" i="7"/>
  <c r="CT615" i="1"/>
  <c r="S615" i="1" s="1"/>
  <c r="S806" i="8"/>
  <c r="Q806" i="8"/>
  <c r="S800" i="7"/>
  <c r="Q800" i="7"/>
  <c r="R613" i="1"/>
  <c r="GK613" i="1" s="1"/>
  <c r="V799" i="8"/>
  <c r="V793" i="7"/>
  <c r="U789" i="8"/>
  <c r="U783" i="7"/>
  <c r="AD469" i="1"/>
  <c r="AB469" i="1" s="1"/>
  <c r="CR469" i="1"/>
  <c r="Q469" i="1" s="1"/>
  <c r="CP469" i="1" s="1"/>
  <c r="O469" i="1" s="1"/>
  <c r="CS469" i="1"/>
  <c r="R469" i="1" s="1"/>
  <c r="GK469" i="1" s="1"/>
  <c r="AB465" i="1"/>
  <c r="CY451" i="1"/>
  <c r="X451" i="1" s="1"/>
  <c r="CZ451" i="1"/>
  <c r="Y451" i="1" s="1"/>
  <c r="K414" i="8"/>
  <c r="J408" i="7"/>
  <c r="S880" i="8"/>
  <c r="Q880" i="8"/>
  <c r="S874" i="7"/>
  <c r="Q874" i="7"/>
  <c r="D1120" i="8"/>
  <c r="F1119" i="8"/>
  <c r="E1113" i="7"/>
  <c r="C1114" i="7"/>
  <c r="R810" i="1"/>
  <c r="GK810" i="1" s="1"/>
  <c r="V1096" i="8"/>
  <c r="V1090" i="7"/>
  <c r="G673" i="1"/>
  <c r="A998" i="8"/>
  <c r="A992" i="7"/>
  <c r="L995" i="8"/>
  <c r="K989" i="7"/>
  <c r="U982" i="8"/>
  <c r="U976" i="7"/>
  <c r="U974" i="8"/>
  <c r="U968" i="7"/>
  <c r="R681" i="1"/>
  <c r="GK681" i="1" s="1"/>
  <c r="V958" i="8"/>
  <c r="V952" i="7"/>
  <c r="V950" i="8"/>
  <c r="V944" i="7"/>
  <c r="F950" i="8"/>
  <c r="D951" i="8"/>
  <c r="E944" i="7"/>
  <c r="C945" i="7"/>
  <c r="D919" i="8"/>
  <c r="F918" i="8"/>
  <c r="E912" i="7"/>
  <c r="C913" i="7"/>
  <c r="A912" i="8"/>
  <c r="A906" i="7"/>
  <c r="G602" i="1"/>
  <c r="R638" i="1"/>
  <c r="GK638" i="1" s="1"/>
  <c r="V904" i="8"/>
  <c r="V898" i="7"/>
  <c r="K891" i="8"/>
  <c r="J885" i="7"/>
  <c r="K859" i="8"/>
  <c r="J853" i="7"/>
  <c r="U838" i="8"/>
  <c r="U832" i="7"/>
  <c r="F830" i="8"/>
  <c r="D831" i="8"/>
  <c r="C825" i="7"/>
  <c r="E824" i="7"/>
  <c r="V620" i="1"/>
  <c r="U820" i="8"/>
  <c r="U814" i="7"/>
  <c r="K815" i="8"/>
  <c r="J809" i="7"/>
  <c r="U806" i="8"/>
  <c r="U800" i="7"/>
  <c r="L787" i="8"/>
  <c r="K781" i="7"/>
  <c r="AB607" i="1"/>
  <c r="D646" i="8"/>
  <c r="F645" i="8"/>
  <c r="E639" i="7"/>
  <c r="C640" i="7"/>
  <c r="F618" i="8"/>
  <c r="D619" i="8"/>
  <c r="C613" i="7"/>
  <c r="E612" i="7"/>
  <c r="AB361" i="1"/>
  <c r="CQ361" i="1"/>
  <c r="P361" i="1" s="1"/>
  <c r="CP361" i="1" s="1"/>
  <c r="O361" i="1" s="1"/>
  <c r="CT356" i="1"/>
  <c r="S356" i="1" s="1"/>
  <c r="Q577" i="8"/>
  <c r="S577" i="8"/>
  <c r="S571" i="7"/>
  <c r="Q571" i="7"/>
  <c r="K529" i="8"/>
  <c r="J523" i="7"/>
  <c r="K477" i="8"/>
  <c r="J471" i="7"/>
  <c r="K458" i="8"/>
  <c r="J452" i="7"/>
  <c r="K449" i="8"/>
  <c r="J443" i="7"/>
  <c r="S396" i="8"/>
  <c r="Q396" i="8"/>
  <c r="S390" i="7"/>
  <c r="Q390" i="7"/>
  <c r="CT293" i="1"/>
  <c r="S293" i="1" s="1"/>
  <c r="V918" i="8"/>
  <c r="V912" i="7"/>
  <c r="CT631" i="1"/>
  <c r="Q864" i="8"/>
  <c r="S864" i="8"/>
  <c r="Q858" i="7"/>
  <c r="S858" i="7"/>
  <c r="U813" i="8"/>
  <c r="U807" i="7"/>
  <c r="S789" i="8"/>
  <c r="Q789" i="8"/>
  <c r="S783" i="7"/>
  <c r="Q783" i="7"/>
  <c r="BD867" i="1"/>
  <c r="F892" i="1" s="1"/>
  <c r="V863" i="1"/>
  <c r="K1157" i="8"/>
  <c r="J1151" i="7"/>
  <c r="AB813" i="1"/>
  <c r="AB812" i="1"/>
  <c r="GX809" i="1"/>
  <c r="U809" i="1"/>
  <c r="GX808" i="1"/>
  <c r="V808" i="1"/>
  <c r="CP806" i="1"/>
  <c r="O806" i="1" s="1"/>
  <c r="D1058" i="8"/>
  <c r="F1057" i="8"/>
  <c r="C1052" i="7"/>
  <c r="E1051" i="7"/>
  <c r="U766" i="1"/>
  <c r="V764" i="1"/>
  <c r="AI768" i="1" s="1"/>
  <c r="AB725" i="1"/>
  <c r="CT722" i="1"/>
  <c r="S722" i="1" s="1"/>
  <c r="Q1004" i="8"/>
  <c r="S1004" i="8"/>
  <c r="Q998" i="7"/>
  <c r="S998" i="7"/>
  <c r="AD684" i="1"/>
  <c r="P683" i="1"/>
  <c r="W682" i="1"/>
  <c r="Q681" i="1"/>
  <c r="S926" i="8"/>
  <c r="Q926" i="8"/>
  <c r="S920" i="7"/>
  <c r="Q920" i="7"/>
  <c r="D905" i="8"/>
  <c r="F904" i="8"/>
  <c r="E898" i="7"/>
  <c r="C899" i="7"/>
  <c r="CQ637" i="1"/>
  <c r="P637" i="1" s="1"/>
  <c r="F896" i="8"/>
  <c r="D897" i="8"/>
  <c r="E890" i="7"/>
  <c r="C891" i="7"/>
  <c r="T636" i="1"/>
  <c r="AB634" i="1"/>
  <c r="AB633" i="1"/>
  <c r="CS629" i="1"/>
  <c r="R629" i="1" s="1"/>
  <c r="GK629" i="1" s="1"/>
  <c r="K841" i="8"/>
  <c r="J835" i="7"/>
  <c r="T625" i="1"/>
  <c r="V624" i="1"/>
  <c r="S623" i="1"/>
  <c r="CP623" i="1" s="1"/>
  <c r="O623" i="1" s="1"/>
  <c r="AB620" i="1"/>
  <c r="AD619" i="1"/>
  <c r="CQ613" i="1"/>
  <c r="P613" i="1" s="1"/>
  <c r="AD611" i="1"/>
  <c r="U609" i="1"/>
  <c r="AB609" i="1"/>
  <c r="T607" i="1"/>
  <c r="L759" i="8"/>
  <c r="K753" i="7"/>
  <c r="K744" i="8"/>
  <c r="J738" i="7"/>
  <c r="L728" i="8"/>
  <c r="K722" i="7"/>
  <c r="CY467" i="1"/>
  <c r="X467" i="1" s="1"/>
  <c r="CZ467" i="1"/>
  <c r="Y467" i="1" s="1"/>
  <c r="K666" i="8"/>
  <c r="J660" i="7"/>
  <c r="L643" i="8"/>
  <c r="K637" i="7"/>
  <c r="L1176" i="8"/>
  <c r="K1170" i="7"/>
  <c r="K1013" i="8"/>
  <c r="J1007" i="7"/>
  <c r="S856" i="8"/>
  <c r="Q856" i="8"/>
  <c r="S850" i="7"/>
  <c r="Q850" i="7"/>
  <c r="R533" i="1"/>
  <c r="V750" i="8"/>
  <c r="K758" i="8" s="1"/>
  <c r="V744" i="7"/>
  <c r="J752" i="7" s="1"/>
  <c r="R457" i="1"/>
  <c r="GK457" i="1" s="1"/>
  <c r="V637" i="8"/>
  <c r="V631" i="7"/>
  <c r="W864" i="1"/>
  <c r="F1178" i="8"/>
  <c r="D1179" i="8"/>
  <c r="E1172" i="7"/>
  <c r="C1173" i="7"/>
  <c r="V1170" i="8"/>
  <c r="V1164" i="7"/>
  <c r="G598" i="1"/>
  <c r="A1190" i="8"/>
  <c r="A1184" i="7"/>
  <c r="G848" i="1"/>
  <c r="A1187" i="8"/>
  <c r="A1181" i="7"/>
  <c r="W865" i="1"/>
  <c r="D1171" i="8"/>
  <c r="F1170" i="8"/>
  <c r="E1164" i="7"/>
  <c r="C1165" i="7"/>
  <c r="V857" i="1"/>
  <c r="V855" i="1"/>
  <c r="AB855" i="1"/>
  <c r="T854" i="1"/>
  <c r="CT853" i="1"/>
  <c r="S853" i="1" s="1"/>
  <c r="S1127" i="8"/>
  <c r="Q1127" i="8"/>
  <c r="S1121" i="7"/>
  <c r="Q1121" i="7"/>
  <c r="GX851" i="1"/>
  <c r="GX810" i="1"/>
  <c r="T809" i="1"/>
  <c r="F1065" i="8"/>
  <c r="D1066" i="8"/>
  <c r="E1059" i="7"/>
  <c r="C1060" i="7"/>
  <c r="U764" i="1"/>
  <c r="S1027" i="8"/>
  <c r="Q1027" i="8"/>
  <c r="Q1021" i="7"/>
  <c r="S1021" i="7"/>
  <c r="CS722" i="1"/>
  <c r="U1004" i="8"/>
  <c r="U998" i="7"/>
  <c r="G719" i="1"/>
  <c r="V682" i="1"/>
  <c r="CQ681" i="1"/>
  <c r="P681" i="1" s="1"/>
  <c r="F958" i="8"/>
  <c r="D959" i="8"/>
  <c r="E952" i="7"/>
  <c r="C953" i="7"/>
  <c r="GX679" i="1"/>
  <c r="U679" i="1"/>
  <c r="U926" i="8"/>
  <c r="U920" i="7"/>
  <c r="V639" i="1"/>
  <c r="CP638" i="1"/>
  <c r="O638" i="1" s="1"/>
  <c r="F888" i="8"/>
  <c r="D889" i="8"/>
  <c r="C883" i="7"/>
  <c r="E882" i="7"/>
  <c r="CR632" i="1"/>
  <c r="Q632" i="1" s="1"/>
  <c r="CP632" i="1" s="1"/>
  <c r="O632" i="1" s="1"/>
  <c r="U624" i="1"/>
  <c r="AB619" i="1"/>
  <c r="CT609" i="1"/>
  <c r="S609" i="1" s="1"/>
  <c r="GX608" i="1"/>
  <c r="R607" i="1"/>
  <c r="GK607" i="1" s="1"/>
  <c r="V781" i="8"/>
  <c r="V775" i="7"/>
  <c r="D782" i="8"/>
  <c r="F781" i="8"/>
  <c r="E775" i="7"/>
  <c r="C776" i="7"/>
  <c r="AD455" i="1"/>
  <c r="AB455" i="1" s="1"/>
  <c r="CR455" i="1"/>
  <c r="Q455" i="1" s="1"/>
  <c r="CS455" i="1"/>
  <c r="R455" i="1" s="1"/>
  <c r="GK455" i="1" s="1"/>
  <c r="T449" i="1"/>
  <c r="W375" i="1"/>
  <c r="CY369" i="1"/>
  <c r="X369" i="1" s="1"/>
  <c r="CZ369" i="1"/>
  <c r="Y369" i="1" s="1"/>
  <c r="F444" i="8"/>
  <c r="D445" i="8"/>
  <c r="C439" i="7"/>
  <c r="E438" i="7"/>
  <c r="CY252" i="1"/>
  <c r="X252" i="1" s="1"/>
  <c r="CZ252" i="1"/>
  <c r="Y252" i="1" s="1"/>
  <c r="CY249" i="1"/>
  <c r="X249" i="1" s="1"/>
  <c r="CZ249" i="1"/>
  <c r="Y249" i="1" s="1"/>
  <c r="K800" i="8"/>
  <c r="J794" i="7"/>
  <c r="CP359" i="1"/>
  <c r="O359" i="1" s="1"/>
  <c r="K595" i="8"/>
  <c r="J589" i="7"/>
  <c r="W863" i="1"/>
  <c r="AD860" i="1"/>
  <c r="AB860" i="1" s="1"/>
  <c r="U1162" i="8"/>
  <c r="U1156" i="7"/>
  <c r="U860" i="1"/>
  <c r="F1162" i="8"/>
  <c r="D1163" i="8"/>
  <c r="C1157" i="7"/>
  <c r="E1156" i="7"/>
  <c r="CT856" i="1"/>
  <c r="S856" i="1" s="1"/>
  <c r="S1143" i="8"/>
  <c r="Q1143" i="8"/>
  <c r="S1137" i="7"/>
  <c r="Q1137" i="7"/>
  <c r="CT854" i="1"/>
  <c r="S854" i="1" s="1"/>
  <c r="Q1135" i="8"/>
  <c r="S1129" i="7"/>
  <c r="Q1129" i="7"/>
  <c r="S1135" i="8"/>
  <c r="CB867" i="1"/>
  <c r="CR853" i="1"/>
  <c r="Q853" i="1" s="1"/>
  <c r="U1127" i="8"/>
  <c r="U1121" i="7"/>
  <c r="V814" i="1"/>
  <c r="CT812" i="1"/>
  <c r="S812" i="1" s="1"/>
  <c r="S1088" i="8"/>
  <c r="Q1088" i="8"/>
  <c r="S1082" i="7"/>
  <c r="Q1082" i="7"/>
  <c r="F1073" i="8"/>
  <c r="D1074" i="8"/>
  <c r="E1067" i="7"/>
  <c r="C1068" i="7"/>
  <c r="BD768" i="1"/>
  <c r="CS726" i="1"/>
  <c r="U1027" i="8"/>
  <c r="U1021" i="7"/>
  <c r="V680" i="1"/>
  <c r="CT678" i="1"/>
  <c r="S678" i="1" s="1"/>
  <c r="S934" i="8"/>
  <c r="Q934" i="8"/>
  <c r="S928" i="7"/>
  <c r="Q928" i="7"/>
  <c r="AD677" i="1"/>
  <c r="AB677" i="1" s="1"/>
  <c r="U639" i="1"/>
  <c r="R636" i="1"/>
  <c r="GK636" i="1" s="1"/>
  <c r="CT634" i="1"/>
  <c r="CS633" i="1"/>
  <c r="R633" i="1" s="1"/>
  <c r="GK633" i="1" s="1"/>
  <c r="P631" i="1"/>
  <c r="F864" i="8"/>
  <c r="D865" i="8"/>
  <c r="E858" i="7"/>
  <c r="C859" i="7"/>
  <c r="CT630" i="1"/>
  <c r="S630" i="1" s="1"/>
  <c r="F856" i="8"/>
  <c r="D857" i="8"/>
  <c r="C851" i="7"/>
  <c r="E850" i="7"/>
  <c r="CQ629" i="1"/>
  <c r="P629" i="1" s="1"/>
  <c r="CT628" i="1"/>
  <c r="S628" i="1" s="1"/>
  <c r="S848" i="8"/>
  <c r="Q848" i="8"/>
  <c r="S842" i="7"/>
  <c r="Q842" i="7"/>
  <c r="D839" i="8"/>
  <c r="F838" i="8"/>
  <c r="E832" i="7"/>
  <c r="C833" i="7"/>
  <c r="CT619" i="1"/>
  <c r="S619" i="1" s="1"/>
  <c r="CS609" i="1"/>
  <c r="Q607" i="1"/>
  <c r="S750" i="8"/>
  <c r="Q750" i="8"/>
  <c r="Q744" i="7"/>
  <c r="S744" i="7"/>
  <c r="CT533" i="1"/>
  <c r="S533" i="1" s="1"/>
  <c r="L705" i="8"/>
  <c r="K699" i="7"/>
  <c r="J677" i="7"/>
  <c r="K683" i="8"/>
  <c r="L658" i="8"/>
  <c r="K652" i="7"/>
  <c r="S449" i="1"/>
  <c r="GX369" i="1"/>
  <c r="P363" i="1"/>
  <c r="V592" i="8"/>
  <c r="V586" i="7"/>
  <c r="R359" i="1"/>
  <c r="GK359" i="1" s="1"/>
  <c r="K399" i="8"/>
  <c r="J393" i="7"/>
  <c r="AD252" i="1"/>
  <c r="CR252" i="1"/>
  <c r="Q252" i="1" s="1"/>
  <c r="CS252" i="1"/>
  <c r="R252" i="1" s="1"/>
  <c r="GK252" i="1" s="1"/>
  <c r="Q863" i="1"/>
  <c r="W804" i="1"/>
  <c r="D927" i="8"/>
  <c r="F926" i="8"/>
  <c r="C921" i="7"/>
  <c r="E920" i="7"/>
  <c r="K851" i="8"/>
  <c r="J845" i="7"/>
  <c r="CB516" i="1"/>
  <c r="AS536" i="1"/>
  <c r="F553" i="1" s="1"/>
  <c r="CP447" i="1"/>
  <c r="O447" i="1" s="1"/>
  <c r="K415" i="8"/>
  <c r="J409" i="7"/>
  <c r="GK332" i="1"/>
  <c r="AD858" i="1"/>
  <c r="AB858" i="1" s="1"/>
  <c r="U1154" i="8"/>
  <c r="U1148" i="7"/>
  <c r="CC867" i="1"/>
  <c r="AD856" i="1"/>
  <c r="AB856" i="1" s="1"/>
  <c r="U1143" i="8"/>
  <c r="U1137" i="7"/>
  <c r="CS855" i="1"/>
  <c r="R855" i="1" s="1"/>
  <c r="GK855" i="1" s="1"/>
  <c r="AD854" i="1"/>
  <c r="AB854" i="1" s="1"/>
  <c r="U1135" i="8"/>
  <c r="U1129" i="7"/>
  <c r="K1130" i="8"/>
  <c r="J1124" i="7"/>
  <c r="W852" i="1"/>
  <c r="CT851" i="1"/>
  <c r="S851" i="1" s="1"/>
  <c r="S1119" i="8"/>
  <c r="Q1119" i="8"/>
  <c r="S1113" i="7"/>
  <c r="Q1113" i="7"/>
  <c r="A1113" i="8"/>
  <c r="A1107" i="7"/>
  <c r="CS813" i="1"/>
  <c r="R813" i="1" s="1"/>
  <c r="GK813" i="1" s="1"/>
  <c r="CS812" i="1"/>
  <c r="U1088" i="8"/>
  <c r="U1082" i="7"/>
  <c r="CT808" i="1"/>
  <c r="S808" i="1" s="1"/>
  <c r="S1080" i="8"/>
  <c r="Q1080" i="8"/>
  <c r="Q1074" i="7"/>
  <c r="S1074" i="7"/>
  <c r="L1071" i="8"/>
  <c r="K1065" i="7"/>
  <c r="BC768" i="1"/>
  <c r="CT764" i="1"/>
  <c r="Q1042" i="8"/>
  <c r="S1042" i="8"/>
  <c r="Q1036" i="7"/>
  <c r="S1036" i="7"/>
  <c r="CP726" i="1"/>
  <c r="O726" i="1" s="1"/>
  <c r="K1030" i="8"/>
  <c r="J1024" i="7"/>
  <c r="CB729" i="1"/>
  <c r="AS729" i="1" s="1"/>
  <c r="CS684" i="1"/>
  <c r="V683" i="1"/>
  <c r="U680" i="1"/>
  <c r="S942" i="8"/>
  <c r="Q942" i="8"/>
  <c r="S936" i="7"/>
  <c r="Q936" i="7"/>
  <c r="U934" i="8"/>
  <c r="U928" i="7"/>
  <c r="S918" i="8"/>
  <c r="Q918" i="8"/>
  <c r="Q912" i="7"/>
  <c r="S912" i="7"/>
  <c r="T639" i="1"/>
  <c r="CR634" i="1"/>
  <c r="Q634" i="1" s="1"/>
  <c r="W634" i="1"/>
  <c r="F880" i="8"/>
  <c r="D881" i="8"/>
  <c r="C875" i="7"/>
  <c r="E874" i="7"/>
  <c r="CS630" i="1"/>
  <c r="CS628" i="1"/>
  <c r="U848" i="8"/>
  <c r="U842" i="7"/>
  <c r="S830" i="8"/>
  <c r="Q830" i="8"/>
  <c r="S824" i="7"/>
  <c r="Q824" i="7"/>
  <c r="CS620" i="1"/>
  <c r="R620" i="1" s="1"/>
  <c r="GK620" i="1" s="1"/>
  <c r="CS619" i="1"/>
  <c r="K808" i="8"/>
  <c r="J802" i="7"/>
  <c r="GX611" i="1"/>
  <c r="CR609" i="1"/>
  <c r="Q609" i="1" s="1"/>
  <c r="CQ607" i="1"/>
  <c r="P607" i="1" s="1"/>
  <c r="AD606" i="1"/>
  <c r="AB606" i="1" s="1"/>
  <c r="CS606" i="1"/>
  <c r="R606" i="1" s="1"/>
  <c r="GK606" i="1" s="1"/>
  <c r="CP464" i="1"/>
  <c r="O464" i="1" s="1"/>
  <c r="W449" i="1"/>
  <c r="GX360" i="1"/>
  <c r="R355" i="1"/>
  <c r="V566" i="8"/>
  <c r="K574" i="8" s="1"/>
  <c r="V560" i="7"/>
  <c r="J568" i="7" s="1"/>
  <c r="CY342" i="1"/>
  <c r="X342" i="1" s="1"/>
  <c r="CZ342" i="1"/>
  <c r="Y342" i="1" s="1"/>
  <c r="K424" i="8"/>
  <c r="J418" i="7"/>
  <c r="L371" i="8"/>
  <c r="K365" i="7"/>
  <c r="F365" i="8"/>
  <c r="D366" i="8"/>
  <c r="E359" i="7"/>
  <c r="C360" i="7"/>
  <c r="L77" i="8"/>
  <c r="K71" i="7"/>
  <c r="CP854" i="1"/>
  <c r="O854" i="1" s="1"/>
  <c r="K1138" i="8"/>
  <c r="J1132" i="7"/>
  <c r="AD851" i="1"/>
  <c r="AB851" i="1" s="1"/>
  <c r="U1119" i="8"/>
  <c r="U1113" i="7"/>
  <c r="G444" i="1"/>
  <c r="A690" i="8"/>
  <c r="A684" i="7"/>
  <c r="D536" i="8"/>
  <c r="F535" i="8"/>
  <c r="E529" i="7"/>
  <c r="C530" i="7"/>
  <c r="K518" i="8"/>
  <c r="J512" i="7"/>
  <c r="K457" i="8"/>
  <c r="J451" i="7"/>
  <c r="S804" i="1"/>
  <c r="S1019" i="8"/>
  <c r="Q1019" i="8"/>
  <c r="S1013" i="7"/>
  <c r="Q1013" i="7"/>
  <c r="D975" i="8"/>
  <c r="F974" i="8"/>
  <c r="C969" i="7"/>
  <c r="E968" i="7"/>
  <c r="U918" i="8"/>
  <c r="U912" i="7"/>
  <c r="K427" i="8"/>
  <c r="J421" i="7"/>
  <c r="CT862" i="1"/>
  <c r="S862" i="1" s="1"/>
  <c r="S1170" i="8"/>
  <c r="Q1170" i="8"/>
  <c r="S1164" i="7"/>
  <c r="Q1164" i="7"/>
  <c r="CR858" i="1"/>
  <c r="Q858" i="1" s="1"/>
  <c r="CP858" i="1" s="1"/>
  <c r="O858" i="1" s="1"/>
  <c r="F1154" i="8"/>
  <c r="D1155" i="8"/>
  <c r="E1148" i="7"/>
  <c r="C1149" i="7"/>
  <c r="F1127" i="8"/>
  <c r="D1128" i="8"/>
  <c r="E1121" i="7"/>
  <c r="C1122" i="7"/>
  <c r="CS814" i="1"/>
  <c r="R814" i="1" s="1"/>
  <c r="GK814" i="1" s="1"/>
  <c r="CQ813" i="1"/>
  <c r="P813" i="1" s="1"/>
  <c r="S1096" i="8"/>
  <c r="Q1096" i="8"/>
  <c r="S1090" i="7"/>
  <c r="Q1090" i="7"/>
  <c r="AD808" i="1"/>
  <c r="CC816" i="1"/>
  <c r="S1065" i="8"/>
  <c r="Q1065" i="8"/>
  <c r="S1059" i="7"/>
  <c r="Q1059" i="7"/>
  <c r="U1057" i="8"/>
  <c r="U1051" i="7"/>
  <c r="AT768" i="1"/>
  <c r="GX724" i="1"/>
  <c r="CJ729" i="1" s="1"/>
  <c r="U1019" i="8"/>
  <c r="U1013" i="7"/>
  <c r="CY723" i="1"/>
  <c r="X723" i="1" s="1"/>
  <c r="U1011" i="8"/>
  <c r="U1005" i="7"/>
  <c r="F1004" i="8"/>
  <c r="D1005" i="8"/>
  <c r="E998" i="7"/>
  <c r="C999" i="7"/>
  <c r="CT685" i="1"/>
  <c r="S685" i="1" s="1"/>
  <c r="S990" i="8"/>
  <c r="Q990" i="8"/>
  <c r="S984" i="7"/>
  <c r="Q984" i="7"/>
  <c r="D983" i="8"/>
  <c r="C977" i="7"/>
  <c r="F982" i="8"/>
  <c r="E976" i="7"/>
  <c r="CT683" i="1"/>
  <c r="S683" i="1" s="1"/>
  <c r="T682" i="1"/>
  <c r="CT680" i="1"/>
  <c r="S680" i="1" s="1"/>
  <c r="S950" i="8"/>
  <c r="Q950" i="8"/>
  <c r="S944" i="7"/>
  <c r="Q944" i="7"/>
  <c r="BY687" i="1"/>
  <c r="CS677" i="1"/>
  <c r="AD676" i="1"/>
  <c r="BB673" i="1"/>
  <c r="Q896" i="8"/>
  <c r="S890" i="7"/>
  <c r="Q890" i="7"/>
  <c r="S896" i="8"/>
  <c r="V635" i="1"/>
  <c r="D873" i="8"/>
  <c r="F872" i="8"/>
  <c r="E866" i="7"/>
  <c r="C867" i="7"/>
  <c r="AD624" i="1"/>
  <c r="AB624" i="1" s="1"/>
  <c r="P620" i="1"/>
  <c r="CQ619" i="1"/>
  <c r="P619" i="1" s="1"/>
  <c r="Q799" i="8"/>
  <c r="S799" i="8"/>
  <c r="S793" i="7"/>
  <c r="Q793" i="7"/>
  <c r="L779" i="8"/>
  <c r="K773" i="7"/>
  <c r="AO536" i="1"/>
  <c r="BX516" i="1"/>
  <c r="CT522" i="1"/>
  <c r="S522" i="1" s="1"/>
  <c r="S707" i="8"/>
  <c r="Q707" i="8"/>
  <c r="Q701" i="7"/>
  <c r="S701" i="7"/>
  <c r="CP519" i="1"/>
  <c r="O519" i="1" s="1"/>
  <c r="F629" i="8"/>
  <c r="D630" i="8"/>
  <c r="C624" i="7"/>
  <c r="E623" i="7"/>
  <c r="S375" i="1"/>
  <c r="L598" i="8"/>
  <c r="K592" i="7"/>
  <c r="K494" i="8"/>
  <c r="J488" i="7"/>
  <c r="BD286" i="1"/>
  <c r="F322" i="1"/>
  <c r="CY133" i="1"/>
  <c r="X133" i="1" s="1"/>
  <c r="CZ133" i="1"/>
  <c r="Y133" i="1" s="1"/>
  <c r="K1122" i="8"/>
  <c r="J1116" i="7"/>
  <c r="S1057" i="8"/>
  <c r="Q1057" i="8"/>
  <c r="Q1051" i="7"/>
  <c r="S1051" i="7"/>
  <c r="U1042" i="8"/>
  <c r="U1036" i="7"/>
  <c r="L972" i="8"/>
  <c r="K966" i="7"/>
  <c r="U942" i="8"/>
  <c r="U936" i="7"/>
  <c r="U677" i="1"/>
  <c r="L553" i="8"/>
  <c r="K547" i="7"/>
  <c r="T864" i="1"/>
  <c r="AD862" i="1"/>
  <c r="AB862" i="1" s="1"/>
  <c r="U1170" i="8"/>
  <c r="U1164" i="7"/>
  <c r="W860" i="1"/>
  <c r="U856" i="1"/>
  <c r="D1144" i="8"/>
  <c r="F1143" i="8"/>
  <c r="E1137" i="7"/>
  <c r="C1138" i="7"/>
  <c r="V851" i="1"/>
  <c r="W813" i="1"/>
  <c r="U1096" i="8"/>
  <c r="U1090" i="7"/>
  <c r="K1090" i="8"/>
  <c r="J1084" i="7"/>
  <c r="Q1073" i="8"/>
  <c r="S1073" i="8"/>
  <c r="Q1067" i="7"/>
  <c r="S1067" i="7"/>
  <c r="U1065" i="8"/>
  <c r="U1059" i="7"/>
  <c r="A1051" i="8"/>
  <c r="A1045" i="7"/>
  <c r="K1045" i="8"/>
  <c r="J1039" i="7"/>
  <c r="U990" i="8"/>
  <c r="U984" i="7"/>
  <c r="CT682" i="1"/>
  <c r="S682" i="1" s="1"/>
  <c r="Q966" i="8"/>
  <c r="S966" i="8"/>
  <c r="S960" i="7"/>
  <c r="Q960" i="7"/>
  <c r="S958" i="8"/>
  <c r="Q958" i="8"/>
  <c r="S952" i="7"/>
  <c r="Q952" i="7"/>
  <c r="CB687" i="1"/>
  <c r="U950" i="8"/>
  <c r="U944" i="7"/>
  <c r="AB679" i="1"/>
  <c r="Q677" i="1"/>
  <c r="CP677" i="1" s="1"/>
  <c r="O677" i="1" s="1"/>
  <c r="S904" i="8"/>
  <c r="Q904" i="8"/>
  <c r="S898" i="7"/>
  <c r="Q898" i="7"/>
  <c r="U896" i="8"/>
  <c r="U890" i="7"/>
  <c r="L894" i="8"/>
  <c r="K888" i="7"/>
  <c r="L878" i="8"/>
  <c r="K872" i="7"/>
  <c r="T624" i="1"/>
  <c r="F820" i="8"/>
  <c r="D821" i="8"/>
  <c r="E814" i="7"/>
  <c r="C815" i="7"/>
  <c r="U799" i="8"/>
  <c r="U793" i="7"/>
  <c r="F789" i="8"/>
  <c r="D790" i="8"/>
  <c r="C784" i="7"/>
  <c r="E783" i="7"/>
  <c r="G516" i="1"/>
  <c r="A762" i="8"/>
  <c r="A756" i="7"/>
  <c r="CT526" i="1"/>
  <c r="S526" i="1" s="1"/>
  <c r="S720" i="8"/>
  <c r="Q720" i="8"/>
  <c r="S714" i="7"/>
  <c r="Q714" i="7"/>
  <c r="U707" i="8"/>
  <c r="U701" i="7"/>
  <c r="K631" i="8"/>
  <c r="J625" i="7"/>
  <c r="GX375" i="1"/>
  <c r="Q375" i="1"/>
  <c r="D567" i="8"/>
  <c r="F566" i="8"/>
  <c r="C561" i="7"/>
  <c r="E560" i="7"/>
  <c r="K560" i="8"/>
  <c r="J554" i="7"/>
  <c r="K485" i="8"/>
  <c r="J479" i="7"/>
  <c r="W289" i="1"/>
  <c r="K1148" i="8"/>
  <c r="J1142" i="7"/>
  <c r="V1154" i="8"/>
  <c r="V1148" i="7"/>
  <c r="CP813" i="1"/>
  <c r="O813" i="1" s="1"/>
  <c r="CZ723" i="1"/>
  <c r="Y723" i="1" s="1"/>
  <c r="CP609" i="1"/>
  <c r="O609" i="1" s="1"/>
  <c r="K792" i="8"/>
  <c r="J786" i="7"/>
  <c r="S672" i="8"/>
  <c r="Q672" i="8"/>
  <c r="S666" i="7"/>
  <c r="Q666" i="7"/>
  <c r="CT474" i="1"/>
  <c r="S474" i="1" s="1"/>
  <c r="T375" i="1"/>
  <c r="V433" i="8"/>
  <c r="K441" i="8" s="1"/>
  <c r="V427" i="7"/>
  <c r="J435" i="7" s="1"/>
  <c r="CT864" i="1"/>
  <c r="S864" i="1" s="1"/>
  <c r="CZ864" i="1" s="1"/>
  <c r="Y864" i="1" s="1"/>
  <c r="S1178" i="8"/>
  <c r="Q1178" i="8"/>
  <c r="Q1172" i="7"/>
  <c r="S1172" i="7"/>
  <c r="U863" i="1"/>
  <c r="CP862" i="1"/>
  <c r="O862" i="1" s="1"/>
  <c r="K1173" i="8"/>
  <c r="J1167" i="7"/>
  <c r="V860" i="1"/>
  <c r="GX857" i="1"/>
  <c r="GX852" i="1"/>
  <c r="S852" i="1"/>
  <c r="CY852" i="1" s="1"/>
  <c r="X852" i="1" s="1"/>
  <c r="U851" i="1"/>
  <c r="F1104" i="8"/>
  <c r="D1105" i="8"/>
  <c r="E1098" i="7"/>
  <c r="C1099" i="7"/>
  <c r="AD810" i="1"/>
  <c r="AB810" i="1" s="1"/>
  <c r="CS809" i="1"/>
  <c r="U1073" i="8"/>
  <c r="U1067" i="7"/>
  <c r="AD805" i="1"/>
  <c r="AB805" i="1" s="1"/>
  <c r="AB803" i="1"/>
  <c r="R766" i="1"/>
  <c r="GK766" i="1" s="1"/>
  <c r="G761" i="1"/>
  <c r="CT726" i="1"/>
  <c r="S726" i="1" s="1"/>
  <c r="D1028" i="8"/>
  <c r="F1027" i="8"/>
  <c r="C1022" i="7"/>
  <c r="E1021" i="7"/>
  <c r="V684" i="1"/>
  <c r="U966" i="8"/>
  <c r="U960" i="7"/>
  <c r="U958" i="8"/>
  <c r="U952" i="7"/>
  <c r="AD680" i="1"/>
  <c r="D935" i="8"/>
  <c r="F934" i="8"/>
  <c r="C929" i="7"/>
  <c r="E928" i="7"/>
  <c r="P639" i="1"/>
  <c r="AD638" i="1"/>
  <c r="AB638" i="1" s="1"/>
  <c r="U904" i="8"/>
  <c r="U898" i="7"/>
  <c r="AD637" i="1"/>
  <c r="T635" i="1"/>
  <c r="F848" i="8"/>
  <c r="D849" i="8"/>
  <c r="C843" i="7"/>
  <c r="E842" i="7"/>
  <c r="Q625" i="1"/>
  <c r="CT624" i="1"/>
  <c r="S624" i="1" s="1"/>
  <c r="AD613" i="1"/>
  <c r="AB613" i="1" s="1"/>
  <c r="V611" i="1"/>
  <c r="GX609" i="1"/>
  <c r="CC536" i="1"/>
  <c r="L687" i="8"/>
  <c r="K681" i="7"/>
  <c r="CY462" i="1"/>
  <c r="X462" i="1" s="1"/>
  <c r="CZ462" i="1"/>
  <c r="Y462" i="1" s="1"/>
  <c r="GX449" i="1"/>
  <c r="L522" i="8"/>
  <c r="K516" i="7"/>
  <c r="K497" i="8"/>
  <c r="J491" i="7"/>
  <c r="L431" i="8"/>
  <c r="K425" i="7"/>
  <c r="L386" i="8"/>
  <c r="K380" i="7"/>
  <c r="AD250" i="1"/>
  <c r="CR250" i="1"/>
  <c r="Q250" i="1" s="1"/>
  <c r="CS250" i="1"/>
  <c r="R250" i="1" s="1"/>
  <c r="GK250" i="1" s="1"/>
  <c r="L105" i="8"/>
  <c r="K99" i="7"/>
  <c r="V372" i="1"/>
  <c r="AB372" i="1"/>
  <c r="U577" i="8"/>
  <c r="U571" i="7"/>
  <c r="F555" i="8"/>
  <c r="D556" i="8"/>
  <c r="E549" i="7"/>
  <c r="C550" i="7"/>
  <c r="F524" i="8"/>
  <c r="D525" i="8"/>
  <c r="E518" i="7"/>
  <c r="C519" i="7"/>
  <c r="F513" i="8"/>
  <c r="D514" i="8"/>
  <c r="C508" i="7"/>
  <c r="E507" i="7"/>
  <c r="L511" i="8"/>
  <c r="K505" i="7"/>
  <c r="CS345" i="1"/>
  <c r="R345" i="1" s="1"/>
  <c r="GK345" i="1" s="1"/>
  <c r="W344" i="1"/>
  <c r="R340" i="1"/>
  <c r="GK340" i="1" s="1"/>
  <c r="V475" i="8"/>
  <c r="V469" i="7"/>
  <c r="P337" i="1"/>
  <c r="T336" i="1"/>
  <c r="AB336" i="1"/>
  <c r="GX333" i="1"/>
  <c r="BX329" i="1"/>
  <c r="BB297" i="1"/>
  <c r="U396" i="8"/>
  <c r="U390" i="7"/>
  <c r="P291" i="1"/>
  <c r="V289" i="1"/>
  <c r="W250" i="1"/>
  <c r="X129" i="1"/>
  <c r="F168" i="1"/>
  <c r="L174" i="8"/>
  <c r="K168" i="7"/>
  <c r="D136" i="8"/>
  <c r="F135" i="8"/>
  <c r="C130" i="7"/>
  <c r="E129" i="7"/>
  <c r="CT37" i="1"/>
  <c r="S37" i="1" s="1"/>
  <c r="S62" i="8"/>
  <c r="Q62" i="8"/>
  <c r="S56" i="7"/>
  <c r="Q56" i="7"/>
  <c r="CT605" i="1"/>
  <c r="S605" i="1" s="1"/>
  <c r="CZ605" i="1" s="1"/>
  <c r="Y605" i="1" s="1"/>
  <c r="S773" i="8"/>
  <c r="Q773" i="8"/>
  <c r="S767" i="7"/>
  <c r="Q767" i="7"/>
  <c r="W533" i="1"/>
  <c r="AD533" i="1"/>
  <c r="U750" i="8"/>
  <c r="U744" i="7"/>
  <c r="S740" i="8"/>
  <c r="Q740" i="8"/>
  <c r="S734" i="7"/>
  <c r="Q734" i="7"/>
  <c r="CZ530" i="1"/>
  <c r="Y530" i="1" s="1"/>
  <c r="L738" i="8"/>
  <c r="K732" i="7"/>
  <c r="AD526" i="1"/>
  <c r="U720" i="8"/>
  <c r="U714" i="7"/>
  <c r="P522" i="1"/>
  <c r="CS521" i="1"/>
  <c r="R521" i="1" s="1"/>
  <c r="GK521" i="1" s="1"/>
  <c r="AB519" i="1"/>
  <c r="AD474" i="1"/>
  <c r="AB474" i="1" s="1"/>
  <c r="U672" i="8"/>
  <c r="U666" i="7"/>
  <c r="CR471" i="1"/>
  <c r="Q471" i="1" s="1"/>
  <c r="CR461" i="1"/>
  <c r="Q461" i="1" s="1"/>
  <c r="R453" i="1"/>
  <c r="GK453" i="1" s="1"/>
  <c r="V629" i="8"/>
  <c r="V623" i="7"/>
  <c r="AB451" i="1"/>
  <c r="CS449" i="1"/>
  <c r="U367" i="1"/>
  <c r="T362" i="1"/>
  <c r="CR345" i="1"/>
  <c r="Q345" i="1" s="1"/>
  <c r="V344" i="1"/>
  <c r="R342" i="1"/>
  <c r="GK342" i="1" s="1"/>
  <c r="D476" i="8"/>
  <c r="F475" i="8"/>
  <c r="C470" i="7"/>
  <c r="E469" i="7"/>
  <c r="Q339" i="1"/>
  <c r="GX338" i="1"/>
  <c r="D467" i="8"/>
  <c r="F466" i="8"/>
  <c r="E460" i="7"/>
  <c r="C461" i="7"/>
  <c r="CP295" i="1"/>
  <c r="O295" i="1" s="1"/>
  <c r="AB293" i="1"/>
  <c r="W291" i="1"/>
  <c r="G208" i="1"/>
  <c r="A359" i="8"/>
  <c r="A353" i="7"/>
  <c r="AB244" i="1"/>
  <c r="L320" i="8"/>
  <c r="K314" i="7"/>
  <c r="K302" i="8"/>
  <c r="J296" i="7"/>
  <c r="S249" i="8"/>
  <c r="Q249" i="8"/>
  <c r="Q243" i="7"/>
  <c r="S243" i="7"/>
  <c r="CT218" i="1"/>
  <c r="S218" i="1" s="1"/>
  <c r="K236" i="8"/>
  <c r="J230" i="7"/>
  <c r="BC142" i="1"/>
  <c r="CL129" i="1"/>
  <c r="T85" i="1"/>
  <c r="U773" i="8"/>
  <c r="U767" i="7"/>
  <c r="P533" i="1"/>
  <c r="U740" i="8"/>
  <c r="U734" i="7"/>
  <c r="AD527" i="1"/>
  <c r="CZ525" i="1"/>
  <c r="Y525" i="1" s="1"/>
  <c r="CR521" i="1"/>
  <c r="Q521" i="1" s="1"/>
  <c r="GX520" i="1"/>
  <c r="L670" i="8"/>
  <c r="K664" i="7"/>
  <c r="CT459" i="1"/>
  <c r="S459" i="1" s="1"/>
  <c r="S653" i="8"/>
  <c r="Q653" i="8"/>
  <c r="S647" i="7"/>
  <c r="Q647" i="7"/>
  <c r="GX453" i="1"/>
  <c r="CJ484" i="1" s="1"/>
  <c r="Q453" i="1"/>
  <c r="AB447" i="1"/>
  <c r="W363" i="1"/>
  <c r="R361" i="1"/>
  <c r="GK361" i="1" s="1"/>
  <c r="V360" i="1"/>
  <c r="GX359" i="1"/>
  <c r="F592" i="8"/>
  <c r="D593" i="8"/>
  <c r="E586" i="7"/>
  <c r="C587" i="7"/>
  <c r="K580" i="8"/>
  <c r="J574" i="7"/>
  <c r="K549" i="8"/>
  <c r="J543" i="7"/>
  <c r="L533" i="8"/>
  <c r="K527" i="7"/>
  <c r="CT348" i="1"/>
  <c r="S348" i="1" s="1"/>
  <c r="S503" i="8"/>
  <c r="Q503" i="8"/>
  <c r="Q497" i="7"/>
  <c r="S497" i="7"/>
  <c r="R347" i="1"/>
  <c r="V492" i="8"/>
  <c r="K500" i="8" s="1"/>
  <c r="V486" i="7"/>
  <c r="J494" i="7" s="1"/>
  <c r="R336" i="1"/>
  <c r="V455" i="8"/>
  <c r="K463" i="8" s="1"/>
  <c r="V449" i="7"/>
  <c r="J457" i="7" s="1"/>
  <c r="D423" i="8"/>
  <c r="F422" i="8"/>
  <c r="E416" i="7"/>
  <c r="C417" i="7"/>
  <c r="V411" i="8"/>
  <c r="K419" i="8" s="1"/>
  <c r="V405" i="7"/>
  <c r="J413" i="7" s="1"/>
  <c r="A405" i="8"/>
  <c r="A399" i="7"/>
  <c r="V292" i="1"/>
  <c r="D389" i="8"/>
  <c r="E382" i="7"/>
  <c r="F388" i="8"/>
  <c r="C383" i="7"/>
  <c r="L247" i="8"/>
  <c r="K241" i="7"/>
  <c r="S167" i="8"/>
  <c r="Q167" i="8"/>
  <c r="S161" i="7"/>
  <c r="Q161" i="7"/>
  <c r="CT93" i="1"/>
  <c r="S93" i="1" s="1"/>
  <c r="K112" i="8"/>
  <c r="J106" i="7"/>
  <c r="CT529" i="1"/>
  <c r="S529" i="1" s="1"/>
  <c r="S730" i="8"/>
  <c r="Q730" i="8"/>
  <c r="Q724" i="7"/>
  <c r="S724" i="7"/>
  <c r="W521" i="1"/>
  <c r="AD459" i="1"/>
  <c r="U653" i="8"/>
  <c r="U647" i="7"/>
  <c r="W458" i="1"/>
  <c r="V363" i="1"/>
  <c r="Q361" i="1"/>
  <c r="V355" i="1"/>
  <c r="R352" i="1"/>
  <c r="V544" i="8"/>
  <c r="K552" i="8" s="1"/>
  <c r="V538" i="7"/>
  <c r="J546" i="7" s="1"/>
  <c r="CR348" i="1"/>
  <c r="Q348" i="1" s="1"/>
  <c r="U503" i="8"/>
  <c r="U497" i="7"/>
  <c r="K495" i="8"/>
  <c r="J489" i="7"/>
  <c r="D493" i="8"/>
  <c r="F492" i="8"/>
  <c r="C487" i="7"/>
  <c r="E486" i="7"/>
  <c r="CT338" i="1"/>
  <c r="S338" i="1" s="1"/>
  <c r="Q466" i="8"/>
  <c r="S466" i="8"/>
  <c r="S460" i="7"/>
  <c r="Q460" i="7"/>
  <c r="F411" i="8"/>
  <c r="D412" i="8"/>
  <c r="C406" i="7"/>
  <c r="E405" i="7"/>
  <c r="F380" i="8"/>
  <c r="D381" i="8"/>
  <c r="C375" i="7"/>
  <c r="E374" i="7"/>
  <c r="S365" i="8"/>
  <c r="Q365" i="8"/>
  <c r="S359" i="7"/>
  <c r="Q359" i="7"/>
  <c r="CR235" i="1"/>
  <c r="Q235" i="1" s="1"/>
  <c r="AD235" i="1"/>
  <c r="CT227" i="1"/>
  <c r="S227" i="1" s="1"/>
  <c r="S314" i="8"/>
  <c r="Q314" i="8"/>
  <c r="S308" i="7"/>
  <c r="Q308" i="7"/>
  <c r="V290" i="8"/>
  <c r="K297" i="8" s="1"/>
  <c r="V284" i="7"/>
  <c r="J291" i="7" s="1"/>
  <c r="K158" i="8"/>
  <c r="J152" i="7"/>
  <c r="K138" i="8"/>
  <c r="J132" i="7"/>
  <c r="L87" i="8"/>
  <c r="K81" i="7"/>
  <c r="L53" i="8"/>
  <c r="K47" i="7"/>
  <c r="D751" i="8"/>
  <c r="F750" i="8"/>
  <c r="C745" i="7"/>
  <c r="E744" i="7"/>
  <c r="AD529" i="1"/>
  <c r="AB529" i="1" s="1"/>
  <c r="U730" i="8"/>
  <c r="U724" i="7"/>
  <c r="F707" i="8"/>
  <c r="D708" i="8"/>
  <c r="C702" i="7"/>
  <c r="E701" i="7"/>
  <c r="V521" i="1"/>
  <c r="CT520" i="1"/>
  <c r="S520" i="1" s="1"/>
  <c r="S696" i="8"/>
  <c r="Q696" i="8"/>
  <c r="S690" i="7"/>
  <c r="Q690" i="7"/>
  <c r="CP480" i="1"/>
  <c r="O480" i="1" s="1"/>
  <c r="CT466" i="1"/>
  <c r="S466" i="1" s="1"/>
  <c r="CP466" i="1" s="1"/>
  <c r="O466" i="1" s="1"/>
  <c r="S662" i="8"/>
  <c r="Q662" i="8"/>
  <c r="S656" i="7"/>
  <c r="Q656" i="7"/>
  <c r="AB459" i="1"/>
  <c r="V458" i="1"/>
  <c r="W454" i="1"/>
  <c r="U363" i="1"/>
  <c r="S592" i="8"/>
  <c r="Q592" i="8"/>
  <c r="Q586" i="7"/>
  <c r="S586" i="7"/>
  <c r="AB357" i="1"/>
  <c r="U355" i="1"/>
  <c r="F544" i="8"/>
  <c r="D545" i="8"/>
  <c r="C539" i="7"/>
  <c r="E538" i="7"/>
  <c r="AB350" i="1"/>
  <c r="S524" i="8"/>
  <c r="Q524" i="8"/>
  <c r="S518" i="7"/>
  <c r="Q518" i="7"/>
  <c r="S513" i="8"/>
  <c r="Q513" i="8"/>
  <c r="Q507" i="7"/>
  <c r="S507" i="7"/>
  <c r="CR338" i="1"/>
  <c r="Q338" i="1" s="1"/>
  <c r="CP338" i="1" s="1"/>
  <c r="O338" i="1" s="1"/>
  <c r="U466" i="8"/>
  <c r="U460" i="7"/>
  <c r="CS337" i="1"/>
  <c r="R337" i="1" s="1"/>
  <c r="GK337" i="1" s="1"/>
  <c r="CQ336" i="1"/>
  <c r="P336" i="1" s="1"/>
  <c r="S422" i="8"/>
  <c r="Q422" i="8"/>
  <c r="Q416" i="7"/>
  <c r="S416" i="7"/>
  <c r="P294" i="1"/>
  <c r="CS293" i="1"/>
  <c r="U365" i="8"/>
  <c r="U359" i="7"/>
  <c r="U251" i="1"/>
  <c r="T249" i="1"/>
  <c r="L154" i="8"/>
  <c r="K148" i="7"/>
  <c r="W85" i="1"/>
  <c r="CT36" i="1"/>
  <c r="S36" i="1" s="1"/>
  <c r="S55" i="8"/>
  <c r="Q55" i="8"/>
  <c r="Q49" i="7"/>
  <c r="S49" i="7"/>
  <c r="W605" i="1"/>
  <c r="D774" i="8"/>
  <c r="F773" i="8"/>
  <c r="C768" i="7"/>
  <c r="E767" i="7"/>
  <c r="P534" i="1"/>
  <c r="CS526" i="1"/>
  <c r="U521" i="1"/>
  <c r="U696" i="8"/>
  <c r="U690" i="7"/>
  <c r="CS474" i="1"/>
  <c r="CS466" i="1"/>
  <c r="U662" i="8"/>
  <c r="U656" i="7"/>
  <c r="U458" i="1"/>
  <c r="V454" i="1"/>
  <c r="AD375" i="1"/>
  <c r="T363" i="1"/>
  <c r="S360" i="1"/>
  <c r="CY360" i="1" s="1"/>
  <c r="X360" i="1" s="1"/>
  <c r="CR359" i="1"/>
  <c r="Q359" i="1" s="1"/>
  <c r="U592" i="8"/>
  <c r="U586" i="7"/>
  <c r="CT358" i="1"/>
  <c r="S585" i="8"/>
  <c r="Q585" i="8"/>
  <c r="S579" i="7"/>
  <c r="Q579" i="7"/>
  <c r="T355" i="1"/>
  <c r="AD350" i="1"/>
  <c r="U524" i="8"/>
  <c r="U518" i="7"/>
  <c r="AD349" i="1"/>
  <c r="AB349" i="1" s="1"/>
  <c r="U513" i="8"/>
  <c r="U507" i="7"/>
  <c r="GX345" i="1"/>
  <c r="U345" i="1"/>
  <c r="CT341" i="1"/>
  <c r="Q482" i="8"/>
  <c r="S482" i="8"/>
  <c r="Q476" i="7"/>
  <c r="S476" i="7"/>
  <c r="D456" i="8"/>
  <c r="F455" i="8"/>
  <c r="E449" i="7"/>
  <c r="C450" i="7"/>
  <c r="CT335" i="1"/>
  <c r="S335" i="1" s="1"/>
  <c r="S444" i="8"/>
  <c r="Q444" i="8"/>
  <c r="Q438" i="7"/>
  <c r="S438" i="7"/>
  <c r="S433" i="8"/>
  <c r="Q433" i="8"/>
  <c r="Q427" i="7"/>
  <c r="S427" i="7"/>
  <c r="AD333" i="1"/>
  <c r="U422" i="8"/>
  <c r="U416" i="7"/>
  <c r="CT291" i="1"/>
  <c r="S291" i="1" s="1"/>
  <c r="Q380" i="8"/>
  <c r="S380" i="8"/>
  <c r="Q374" i="7"/>
  <c r="S374" i="7"/>
  <c r="CT290" i="1"/>
  <c r="S373" i="8"/>
  <c r="Q367" i="7"/>
  <c r="Q373" i="8"/>
  <c r="S367" i="7"/>
  <c r="T251" i="1"/>
  <c r="F342" i="8"/>
  <c r="D343" i="8"/>
  <c r="E336" i="7"/>
  <c r="C337" i="7"/>
  <c r="CY221" i="1"/>
  <c r="X221" i="1" s="1"/>
  <c r="K276" i="8"/>
  <c r="J270" i="7"/>
  <c r="U242" i="8"/>
  <c r="U236" i="7"/>
  <c r="L189" i="8"/>
  <c r="K183" i="7"/>
  <c r="K161" i="8"/>
  <c r="J155" i="7"/>
  <c r="V85" i="1"/>
  <c r="K99" i="8"/>
  <c r="J93" i="7"/>
  <c r="BZ44" i="1"/>
  <c r="CY34" i="1"/>
  <c r="X34" i="1" s="1"/>
  <c r="CZ34" i="1"/>
  <c r="Y34" i="1" s="1"/>
  <c r="K722" i="8"/>
  <c r="J716" i="7"/>
  <c r="L716" i="8"/>
  <c r="K710" i="7"/>
  <c r="GX521" i="1"/>
  <c r="T521" i="1"/>
  <c r="K701" i="8"/>
  <c r="J695" i="7"/>
  <c r="CT478" i="1"/>
  <c r="S478" i="1" s="1"/>
  <c r="Q679" i="8"/>
  <c r="S679" i="8"/>
  <c r="S673" i="7"/>
  <c r="Q673" i="7"/>
  <c r="AB477" i="1"/>
  <c r="T458" i="1"/>
  <c r="BY484" i="1"/>
  <c r="S637" i="8"/>
  <c r="Q637" i="8"/>
  <c r="Q631" i="7"/>
  <c r="S631" i="7"/>
  <c r="U454" i="1"/>
  <c r="BC378" i="1"/>
  <c r="BC329" i="1" s="1"/>
  <c r="V375" i="1"/>
  <c r="P375" i="1"/>
  <c r="CP375" i="1" s="1"/>
  <c r="O375" i="1" s="1"/>
  <c r="Q369" i="1"/>
  <c r="AD368" i="1"/>
  <c r="S363" i="1"/>
  <c r="AD359" i="1"/>
  <c r="U585" i="8"/>
  <c r="U579" i="7"/>
  <c r="S566" i="8"/>
  <c r="Q566" i="8"/>
  <c r="Q560" i="7"/>
  <c r="S560" i="7"/>
  <c r="GX347" i="1"/>
  <c r="T345" i="1"/>
  <c r="AD343" i="1"/>
  <c r="AD341" i="1"/>
  <c r="U482" i="8"/>
  <c r="U476" i="7"/>
  <c r="Q475" i="8"/>
  <c r="S475" i="8"/>
  <c r="Q469" i="7"/>
  <c r="S469" i="7"/>
  <c r="U444" i="8"/>
  <c r="U438" i="7"/>
  <c r="CR334" i="1"/>
  <c r="U433" i="8"/>
  <c r="U427" i="7"/>
  <c r="U332" i="1"/>
  <c r="CS291" i="1"/>
  <c r="U380" i="8"/>
  <c r="U374" i="7"/>
  <c r="U373" i="8"/>
  <c r="U367" i="7"/>
  <c r="AB289" i="1"/>
  <c r="CS245" i="1"/>
  <c r="R245" i="1" s="1"/>
  <c r="GK245" i="1" s="1"/>
  <c r="CR244" i="1"/>
  <c r="Q244" i="1" s="1"/>
  <c r="R224" i="1"/>
  <c r="L257" i="8"/>
  <c r="K251" i="7"/>
  <c r="K244" i="8"/>
  <c r="J238" i="7"/>
  <c r="K233" i="8"/>
  <c r="J227" i="7"/>
  <c r="U85" i="1"/>
  <c r="K82" i="8"/>
  <c r="J76" i="7"/>
  <c r="R72" i="8"/>
  <c r="K75" i="8" s="1"/>
  <c r="R66" i="7"/>
  <c r="J69" i="7" s="1"/>
  <c r="BC536" i="1"/>
  <c r="BC516" i="1" s="1"/>
  <c r="GX533" i="1"/>
  <c r="CR533" i="1"/>
  <c r="Q533" i="1" s="1"/>
  <c r="K741" i="8"/>
  <c r="J735" i="7"/>
  <c r="P481" i="1"/>
  <c r="U679" i="8"/>
  <c r="U673" i="7"/>
  <c r="CQ474" i="1"/>
  <c r="P474" i="1" s="1"/>
  <c r="R459" i="1"/>
  <c r="GK459" i="1" s="1"/>
  <c r="V653" i="8"/>
  <c r="V647" i="7"/>
  <c r="CT458" i="1"/>
  <c r="S458" i="1" s="1"/>
  <c r="S645" i="8"/>
  <c r="Q645" i="8"/>
  <c r="S639" i="7"/>
  <c r="Q639" i="7"/>
  <c r="AD457" i="1"/>
  <c r="AB457" i="1" s="1"/>
  <c r="U637" i="8"/>
  <c r="U631" i="7"/>
  <c r="T454" i="1"/>
  <c r="Q629" i="8"/>
  <c r="S629" i="8"/>
  <c r="S623" i="7"/>
  <c r="Q623" i="7"/>
  <c r="CR451" i="1"/>
  <c r="Q451" i="1" s="1"/>
  <c r="CP451" i="1" s="1"/>
  <c r="O451" i="1" s="1"/>
  <c r="GM451" i="1" s="1"/>
  <c r="GP451" i="1" s="1"/>
  <c r="S618" i="8"/>
  <c r="Q618" i="8"/>
  <c r="S612" i="7"/>
  <c r="Q612" i="7"/>
  <c r="G204" i="1"/>
  <c r="A610" i="8"/>
  <c r="A604" i="7"/>
  <c r="BB378" i="1"/>
  <c r="U375" i="1"/>
  <c r="AB375" i="1"/>
  <c r="AD369" i="1"/>
  <c r="AB368" i="1"/>
  <c r="Q363" i="1"/>
  <c r="V359" i="1"/>
  <c r="CS357" i="1"/>
  <c r="R357" i="1" s="1"/>
  <c r="GK357" i="1" s="1"/>
  <c r="CR355" i="1"/>
  <c r="Q355" i="1" s="1"/>
  <c r="U566" i="8"/>
  <c r="U560" i="7"/>
  <c r="CT353" i="1"/>
  <c r="S353" i="1" s="1"/>
  <c r="S555" i="8"/>
  <c r="Q555" i="8"/>
  <c r="S549" i="7"/>
  <c r="Q549" i="7"/>
  <c r="CT351" i="1"/>
  <c r="Q535" i="8"/>
  <c r="S535" i="8"/>
  <c r="S529" i="7"/>
  <c r="Q529" i="7"/>
  <c r="U347" i="1"/>
  <c r="S345" i="1"/>
  <c r="P343" i="1"/>
  <c r="U475" i="8"/>
  <c r="U469" i="7"/>
  <c r="AD335" i="1"/>
  <c r="AD334" i="1"/>
  <c r="AB334" i="1" s="1"/>
  <c r="W333" i="1"/>
  <c r="T332" i="1"/>
  <c r="U292" i="1"/>
  <c r="AD291" i="1"/>
  <c r="AB291" i="1" s="1"/>
  <c r="CT289" i="1"/>
  <c r="S289" i="1" s="1"/>
  <c r="V250" i="1"/>
  <c r="GX249" i="1"/>
  <c r="GX245" i="1"/>
  <c r="CR245" i="1"/>
  <c r="Q245" i="1" s="1"/>
  <c r="CP237" i="1"/>
  <c r="O237" i="1" s="1"/>
  <c r="GM237" i="1" s="1"/>
  <c r="GP237" i="1" s="1"/>
  <c r="P232" i="1"/>
  <c r="K334" i="8"/>
  <c r="J328" i="7"/>
  <c r="U214" i="8"/>
  <c r="U208" i="7"/>
  <c r="CR214" i="1"/>
  <c r="Q214" i="1" s="1"/>
  <c r="CS214" i="1"/>
  <c r="AD214" i="1"/>
  <c r="AB214" i="1" s="1"/>
  <c r="L126" i="8"/>
  <c r="K120" i="7"/>
  <c r="CY79" i="1"/>
  <c r="X79" i="1" s="1"/>
  <c r="CZ79" i="1"/>
  <c r="Y79" i="1" s="1"/>
  <c r="K65" i="8"/>
  <c r="J59" i="7"/>
  <c r="BB536" i="1"/>
  <c r="F549" i="1" s="1"/>
  <c r="CS529" i="1"/>
  <c r="CP523" i="1"/>
  <c r="O523" i="1" s="1"/>
  <c r="D697" i="8"/>
  <c r="F696" i="8"/>
  <c r="C691" i="7"/>
  <c r="E690" i="7"/>
  <c r="K664" i="8"/>
  <c r="J658" i="7"/>
  <c r="F653" i="8"/>
  <c r="D654" i="8"/>
  <c r="C648" i="7"/>
  <c r="E647" i="7"/>
  <c r="U645" i="8"/>
  <c r="U639" i="7"/>
  <c r="V457" i="1"/>
  <c r="P457" i="1"/>
  <c r="S454" i="1"/>
  <c r="AD453" i="1"/>
  <c r="U629" i="8"/>
  <c r="U623" i="7"/>
  <c r="AD449" i="1"/>
  <c r="U618" i="8"/>
  <c r="U612" i="7"/>
  <c r="G329" i="1"/>
  <c r="A607" i="8"/>
  <c r="A601" i="7"/>
  <c r="W374" i="1"/>
  <c r="W369" i="1"/>
  <c r="GX363" i="1"/>
  <c r="GX361" i="1"/>
  <c r="T361" i="1"/>
  <c r="P360" i="1"/>
  <c r="CR357" i="1"/>
  <c r="Q357" i="1" s="1"/>
  <c r="AD355" i="1"/>
  <c r="AB355" i="1" s="1"/>
  <c r="U549" i="7"/>
  <c r="U555" i="8"/>
  <c r="CT352" i="1"/>
  <c r="S352" i="1" s="1"/>
  <c r="S544" i="8"/>
  <c r="Q544" i="8"/>
  <c r="Q538" i="7"/>
  <c r="S538" i="7"/>
  <c r="U535" i="8"/>
  <c r="U529" i="7"/>
  <c r="CT350" i="1"/>
  <c r="S350" i="1" s="1"/>
  <c r="CT349" i="1"/>
  <c r="S349" i="1" s="1"/>
  <c r="AB342" i="1"/>
  <c r="CT332" i="1"/>
  <c r="S332" i="1" s="1"/>
  <c r="Q411" i="8"/>
  <c r="S411" i="8"/>
  <c r="Q405" i="7"/>
  <c r="S405" i="7"/>
  <c r="D397" i="8"/>
  <c r="F396" i="8"/>
  <c r="C391" i="7"/>
  <c r="E390" i="7"/>
  <c r="T292" i="1"/>
  <c r="R289" i="1"/>
  <c r="V365" i="8"/>
  <c r="V359" i="7"/>
  <c r="CM286" i="1"/>
  <c r="W246" i="1"/>
  <c r="P242" i="1"/>
  <c r="CY236" i="1"/>
  <c r="X236" i="1" s="1"/>
  <c r="CZ236" i="1"/>
  <c r="Y236" i="1" s="1"/>
  <c r="W232" i="1"/>
  <c r="CP132" i="1"/>
  <c r="O132" i="1" s="1"/>
  <c r="U183" i="8"/>
  <c r="U177" i="7"/>
  <c r="CR95" i="1"/>
  <c r="Q95" i="1" s="1"/>
  <c r="CS95" i="1"/>
  <c r="AD95" i="1"/>
  <c r="K150" i="8"/>
  <c r="J144" i="7"/>
  <c r="S781" i="8"/>
  <c r="Q781" i="8"/>
  <c r="S775" i="7"/>
  <c r="Q775" i="7"/>
  <c r="CR529" i="1"/>
  <c r="Q529" i="1" s="1"/>
  <c r="CQ459" i="1"/>
  <c r="P459" i="1" s="1"/>
  <c r="CP459" i="1" s="1"/>
  <c r="O459" i="1" s="1"/>
  <c r="AD458" i="1"/>
  <c r="P449" i="1"/>
  <c r="CS375" i="1"/>
  <c r="R375" i="1" s="1"/>
  <c r="GK375" i="1" s="1"/>
  <c r="CS368" i="1"/>
  <c r="R368" i="1" s="1"/>
  <c r="GK368" i="1" s="1"/>
  <c r="F585" i="8"/>
  <c r="D586" i="8"/>
  <c r="C580" i="7"/>
  <c r="E579" i="7"/>
  <c r="L583" i="8"/>
  <c r="K577" i="7"/>
  <c r="CR352" i="1"/>
  <c r="Q352" i="1" s="1"/>
  <c r="CP352" i="1" s="1"/>
  <c r="O352" i="1" s="1"/>
  <c r="U544" i="8"/>
  <c r="U538" i="7"/>
  <c r="P351" i="1"/>
  <c r="CS350" i="1"/>
  <c r="CS349" i="1"/>
  <c r="CS348" i="1"/>
  <c r="S492" i="8"/>
  <c r="Q492" i="8"/>
  <c r="S486" i="7"/>
  <c r="Q486" i="7"/>
  <c r="P342" i="1"/>
  <c r="CP342" i="1" s="1"/>
  <c r="O342" i="1" s="1"/>
  <c r="L480" i="8"/>
  <c r="K474" i="7"/>
  <c r="V339" i="1"/>
  <c r="V466" i="8"/>
  <c r="V460" i="7"/>
  <c r="R338" i="1"/>
  <c r="GK338" i="1" s="1"/>
  <c r="CZ337" i="1"/>
  <c r="Y337" i="1" s="1"/>
  <c r="S455" i="8"/>
  <c r="Q455" i="8"/>
  <c r="S449" i="7"/>
  <c r="Q449" i="7"/>
  <c r="CS333" i="1"/>
  <c r="U411" i="8"/>
  <c r="U405" i="7"/>
  <c r="L402" i="8"/>
  <c r="K396" i="7"/>
  <c r="CT292" i="1"/>
  <c r="S292" i="1" s="1"/>
  <c r="S388" i="8"/>
  <c r="Q388" i="8"/>
  <c r="S382" i="7"/>
  <c r="Q382" i="7"/>
  <c r="BZ297" i="1"/>
  <c r="GX290" i="1"/>
  <c r="D374" i="8"/>
  <c r="F373" i="8"/>
  <c r="C368" i="7"/>
  <c r="E367" i="7"/>
  <c r="Q289" i="1"/>
  <c r="GX251" i="1"/>
  <c r="V246" i="1"/>
  <c r="K293" i="8"/>
  <c r="J287" i="7"/>
  <c r="W221" i="1"/>
  <c r="D275" i="8"/>
  <c r="F274" i="8"/>
  <c r="E268" i="7"/>
  <c r="C269" i="7"/>
  <c r="K186" i="8"/>
  <c r="J180" i="7"/>
  <c r="CY33" i="1"/>
  <c r="X33" i="1" s="1"/>
  <c r="CZ33" i="1"/>
  <c r="Y33" i="1" s="1"/>
  <c r="U781" i="8"/>
  <c r="U775" i="7"/>
  <c r="CP529" i="1"/>
  <c r="O529" i="1" s="1"/>
  <c r="K734" i="8"/>
  <c r="J728" i="7"/>
  <c r="U519" i="1"/>
  <c r="AO484" i="1"/>
  <c r="AO566" i="1" s="1"/>
  <c r="AO440" i="1" s="1"/>
  <c r="P482" i="1"/>
  <c r="L677" i="8"/>
  <c r="K671" i="7"/>
  <c r="GX458" i="1"/>
  <c r="P458" i="1"/>
  <c r="D638" i="8"/>
  <c r="F637" i="8"/>
  <c r="C632" i="7"/>
  <c r="E631" i="7"/>
  <c r="GX454" i="1"/>
  <c r="P454" i="1"/>
  <c r="U453" i="1"/>
  <c r="U449" i="1"/>
  <c r="CR376" i="1"/>
  <c r="Q376" i="1" s="1"/>
  <c r="V367" i="1"/>
  <c r="CT359" i="1"/>
  <c r="S359" i="1" s="1"/>
  <c r="CR350" i="1"/>
  <c r="Q350" i="1" s="1"/>
  <c r="CP350" i="1" s="1"/>
  <c r="O350" i="1" s="1"/>
  <c r="CR349" i="1"/>
  <c r="Q349" i="1" s="1"/>
  <c r="AD347" i="1"/>
  <c r="AB347" i="1" s="1"/>
  <c r="U492" i="8"/>
  <c r="U486" i="7"/>
  <c r="U342" i="1"/>
  <c r="V341" i="1"/>
  <c r="F482" i="8"/>
  <c r="D483" i="8"/>
  <c r="C477" i="7"/>
  <c r="E476" i="7"/>
  <c r="U455" i="8"/>
  <c r="U449" i="7"/>
  <c r="BZ378" i="1"/>
  <c r="GX334" i="1"/>
  <c r="F433" i="8"/>
  <c r="D434" i="8"/>
  <c r="C428" i="7"/>
  <c r="E427" i="7"/>
  <c r="CR333" i="1"/>
  <c r="Q333" i="1" s="1"/>
  <c r="AD332" i="1"/>
  <c r="U388" i="8"/>
  <c r="U382" i="7"/>
  <c r="CQ289" i="1"/>
  <c r="P289" i="1" s="1"/>
  <c r="BD254" i="1"/>
  <c r="S251" i="1"/>
  <c r="CY251" i="1" s="1"/>
  <c r="X251" i="1" s="1"/>
  <c r="S250" i="1"/>
  <c r="U244" i="1"/>
  <c r="GX242" i="1"/>
  <c r="U232" i="1"/>
  <c r="L68" i="8"/>
  <c r="K62" i="7"/>
  <c r="K47" i="8"/>
  <c r="J41" i="7"/>
  <c r="AB234" i="1"/>
  <c r="V229" i="1"/>
  <c r="AB229" i="1"/>
  <c r="W228" i="1"/>
  <c r="W220" i="1"/>
  <c r="CT217" i="1"/>
  <c r="S217" i="1" s="1"/>
  <c r="S242" i="8"/>
  <c r="Q242" i="8"/>
  <c r="S236" i="7"/>
  <c r="Q236" i="7"/>
  <c r="Q214" i="8"/>
  <c r="S214" i="8"/>
  <c r="Q208" i="7"/>
  <c r="S208" i="7"/>
  <c r="BD172" i="1"/>
  <c r="AD139" i="1"/>
  <c r="S183" i="8"/>
  <c r="Q183" i="8"/>
  <c r="S177" i="7"/>
  <c r="Q177" i="7"/>
  <c r="BZ97" i="1"/>
  <c r="AD92" i="1"/>
  <c r="U156" i="8"/>
  <c r="U150" i="7"/>
  <c r="GX85" i="1"/>
  <c r="U107" i="8"/>
  <c r="U101" i="7"/>
  <c r="AB42" i="1"/>
  <c r="AB39" i="1"/>
  <c r="U45" i="8"/>
  <c r="U39" i="7"/>
  <c r="CS234" i="1"/>
  <c r="R234" i="1" s="1"/>
  <c r="GK234" i="1" s="1"/>
  <c r="L330" i="8"/>
  <c r="K324" i="7"/>
  <c r="U314" i="8"/>
  <c r="U308" i="7"/>
  <c r="D308" i="8"/>
  <c r="F307" i="8"/>
  <c r="C302" i="7"/>
  <c r="E301" i="7"/>
  <c r="R225" i="1"/>
  <c r="GK225" i="1" s="1"/>
  <c r="V300" i="8"/>
  <c r="V294" i="7"/>
  <c r="D301" i="8"/>
  <c r="F300" i="8"/>
  <c r="E294" i="7"/>
  <c r="C295" i="7"/>
  <c r="Q281" i="8"/>
  <c r="S281" i="8"/>
  <c r="Q275" i="7"/>
  <c r="S275" i="7"/>
  <c r="V221" i="1"/>
  <c r="L272" i="8"/>
  <c r="K266" i="7"/>
  <c r="CT219" i="1"/>
  <c r="S219" i="1" s="1"/>
  <c r="Q259" i="8"/>
  <c r="S259" i="8"/>
  <c r="S253" i="7"/>
  <c r="Q253" i="7"/>
  <c r="AD218" i="1"/>
  <c r="U249" i="8"/>
  <c r="U243" i="7"/>
  <c r="W142" i="1"/>
  <c r="GX137" i="1"/>
  <c r="CM129" i="1"/>
  <c r="BB129" i="1"/>
  <c r="U167" i="8"/>
  <c r="U161" i="7"/>
  <c r="V90" i="1"/>
  <c r="CS88" i="1"/>
  <c r="R88" i="1" s="1"/>
  <c r="GK88" i="1" s="1"/>
  <c r="CT84" i="1"/>
  <c r="S84" i="1" s="1"/>
  <c r="S128" i="8"/>
  <c r="Q128" i="8"/>
  <c r="S122" i="7"/>
  <c r="Q122" i="7"/>
  <c r="BX76" i="1"/>
  <c r="BD44" i="1"/>
  <c r="CS37" i="1"/>
  <c r="U62" i="8"/>
  <c r="U56" i="7"/>
  <c r="U55" i="8"/>
  <c r="U49" i="7"/>
  <c r="CR234" i="1"/>
  <c r="Q234" i="1" s="1"/>
  <c r="CP234" i="1" s="1"/>
  <c r="O234" i="1" s="1"/>
  <c r="D333" i="8"/>
  <c r="F332" i="8"/>
  <c r="C327" i="7"/>
  <c r="E326" i="7"/>
  <c r="K317" i="8"/>
  <c r="J311" i="7"/>
  <c r="F290" i="8"/>
  <c r="D291" i="8"/>
  <c r="C285" i="7"/>
  <c r="E284" i="7"/>
  <c r="AD222" i="1"/>
  <c r="U281" i="8"/>
  <c r="U275" i="7"/>
  <c r="T220" i="1"/>
  <c r="U259" i="8"/>
  <c r="U253" i="7"/>
  <c r="T214" i="1"/>
  <c r="U142" i="1"/>
  <c r="U139" i="1"/>
  <c r="A192" i="8"/>
  <c r="A186" i="7"/>
  <c r="U90" i="1"/>
  <c r="CR88" i="1"/>
  <c r="Q88" i="1" s="1"/>
  <c r="CP88" i="1" s="1"/>
  <c r="O88" i="1" s="1"/>
  <c r="CT85" i="1"/>
  <c r="S85" i="1" s="1"/>
  <c r="S135" i="8"/>
  <c r="Q135" i="8"/>
  <c r="S129" i="7"/>
  <c r="Q129" i="7"/>
  <c r="U128" i="8"/>
  <c r="U122" i="7"/>
  <c r="S118" i="8"/>
  <c r="Q118" i="8"/>
  <c r="S112" i="7"/>
  <c r="Q112" i="7"/>
  <c r="CS79" i="1"/>
  <c r="R79" i="1" s="1"/>
  <c r="GK79" i="1" s="1"/>
  <c r="GM79" i="1" s="1"/>
  <c r="GP79" i="1" s="1"/>
  <c r="BC44" i="1"/>
  <c r="CZ41" i="1"/>
  <c r="Y41" i="1" s="1"/>
  <c r="R229" i="1"/>
  <c r="V332" i="8"/>
  <c r="K339" i="8" s="1"/>
  <c r="V326" i="7"/>
  <c r="J333" i="7" s="1"/>
  <c r="CT228" i="1"/>
  <c r="S228" i="1" s="1"/>
  <c r="S322" i="8"/>
  <c r="Q322" i="8"/>
  <c r="S316" i="7"/>
  <c r="Q316" i="7"/>
  <c r="P221" i="1"/>
  <c r="CT220" i="1"/>
  <c r="S220" i="1" s="1"/>
  <c r="S267" i="8"/>
  <c r="Q267" i="8"/>
  <c r="Q261" i="7"/>
  <c r="S261" i="7"/>
  <c r="T218" i="1"/>
  <c r="S224" i="8"/>
  <c r="Q224" i="8"/>
  <c r="Q218" i="7"/>
  <c r="S218" i="7"/>
  <c r="K216" i="8"/>
  <c r="J210" i="7"/>
  <c r="CY213" i="1"/>
  <c r="X213" i="1" s="1"/>
  <c r="G26" i="1"/>
  <c r="A204" i="8"/>
  <c r="A198" i="7"/>
  <c r="CE142" i="1"/>
  <c r="T142" i="1"/>
  <c r="F163" i="1" s="1"/>
  <c r="CS134" i="1"/>
  <c r="U133" i="1"/>
  <c r="CK129" i="1"/>
  <c r="F122" i="1"/>
  <c r="CT95" i="1"/>
  <c r="S95" i="1" s="1"/>
  <c r="AB95" i="1"/>
  <c r="CS92" i="1"/>
  <c r="W91" i="1"/>
  <c r="F145" i="8"/>
  <c r="D146" i="8"/>
  <c r="E139" i="7"/>
  <c r="C140" i="7"/>
  <c r="T90" i="1"/>
  <c r="CS85" i="1"/>
  <c r="U135" i="8"/>
  <c r="U129" i="7"/>
  <c r="AD83" i="1"/>
  <c r="AB83" i="1" s="1"/>
  <c r="U118" i="8"/>
  <c r="U112" i="7"/>
  <c r="D108" i="8"/>
  <c r="F107" i="8"/>
  <c r="C102" i="7"/>
  <c r="E101" i="7"/>
  <c r="G76" i="1"/>
  <c r="BB44" i="1"/>
  <c r="Q72" i="8"/>
  <c r="S66" i="7"/>
  <c r="Q66" i="7"/>
  <c r="S72" i="8"/>
  <c r="CS39" i="1"/>
  <c r="R39" i="1" s="1"/>
  <c r="GK39" i="1" s="1"/>
  <c r="R35" i="1"/>
  <c r="V45" i="8"/>
  <c r="K52" i="8" s="1"/>
  <c r="V39" i="7"/>
  <c r="J46" i="7" s="1"/>
  <c r="GX235" i="1"/>
  <c r="W234" i="1"/>
  <c r="GX229" i="1"/>
  <c r="Q229" i="1"/>
  <c r="AD228" i="1"/>
  <c r="U322" i="8"/>
  <c r="U316" i="7"/>
  <c r="CT223" i="1"/>
  <c r="S285" i="8"/>
  <c r="Q285" i="8"/>
  <c r="S279" i="7"/>
  <c r="Q279" i="7"/>
  <c r="AD220" i="1"/>
  <c r="U267" i="8"/>
  <c r="U261" i="7"/>
  <c r="P219" i="1"/>
  <c r="U224" i="8"/>
  <c r="U218" i="7"/>
  <c r="Q142" i="1"/>
  <c r="F154" i="1" s="1"/>
  <c r="AL129" i="1"/>
  <c r="CR92" i="1"/>
  <c r="Q92" i="1" s="1"/>
  <c r="S90" i="1"/>
  <c r="F96" i="8"/>
  <c r="D97" i="8"/>
  <c r="E90" i="7"/>
  <c r="C91" i="7"/>
  <c r="T80" i="1"/>
  <c r="G30" i="1"/>
  <c r="A90" i="8"/>
  <c r="A84" i="7"/>
  <c r="AD41" i="1"/>
  <c r="AB41" i="1" s="1"/>
  <c r="U72" i="8"/>
  <c r="U66" i="7"/>
  <c r="CR39" i="1"/>
  <c r="Q39" i="1" s="1"/>
  <c r="CR35" i="1"/>
  <c r="Q35" i="1" s="1"/>
  <c r="W239" i="1"/>
  <c r="P236" i="1"/>
  <c r="V234" i="1"/>
  <c r="CT232" i="1"/>
  <c r="S232" i="1" s="1"/>
  <c r="Q342" i="8"/>
  <c r="S342" i="8"/>
  <c r="S336" i="7"/>
  <c r="Q336" i="7"/>
  <c r="D315" i="8"/>
  <c r="F314" i="8"/>
  <c r="C309" i="7"/>
  <c r="E308" i="7"/>
  <c r="U225" i="1"/>
  <c r="U285" i="8"/>
  <c r="U279" i="7"/>
  <c r="CT222" i="1"/>
  <c r="F281" i="8"/>
  <c r="D282" i="8"/>
  <c r="E275" i="7"/>
  <c r="C276" i="7"/>
  <c r="CS218" i="1"/>
  <c r="Q232" i="8"/>
  <c r="S232" i="8"/>
  <c r="S226" i="7"/>
  <c r="Q226" i="7"/>
  <c r="O142" i="1"/>
  <c r="GX138" i="1"/>
  <c r="T135" i="1"/>
  <c r="F176" i="8"/>
  <c r="D177" i="8"/>
  <c r="E170" i="7"/>
  <c r="C171" i="7"/>
  <c r="T92" i="1"/>
  <c r="F156" i="8"/>
  <c r="D157" i="8"/>
  <c r="E150" i="7"/>
  <c r="C151" i="7"/>
  <c r="GX90" i="1"/>
  <c r="S80" i="1"/>
  <c r="P41" i="1"/>
  <c r="CP41" i="1" s="1"/>
  <c r="O41" i="1" s="1"/>
  <c r="F55" i="8"/>
  <c r="D56" i="8"/>
  <c r="E49" i="7"/>
  <c r="C50" i="7"/>
  <c r="U34" i="1"/>
  <c r="P33" i="1"/>
  <c r="V241" i="1"/>
  <c r="V239" i="1"/>
  <c r="W236" i="1"/>
  <c r="U234" i="1"/>
  <c r="U342" i="8"/>
  <c r="U336" i="7"/>
  <c r="S290" i="8"/>
  <c r="Q290" i="8"/>
  <c r="S284" i="7"/>
  <c r="Q284" i="7"/>
  <c r="AD223" i="1"/>
  <c r="AB223" i="1" s="1"/>
  <c r="R222" i="1"/>
  <c r="GK222" i="1" s="1"/>
  <c r="V281" i="8"/>
  <c r="V275" i="7"/>
  <c r="U221" i="1"/>
  <c r="CR218" i="1"/>
  <c r="Q218" i="1" s="1"/>
  <c r="U232" i="8"/>
  <c r="U226" i="7"/>
  <c r="V213" i="1"/>
  <c r="G129" i="1"/>
  <c r="A201" i="8"/>
  <c r="A195" i="7"/>
  <c r="CY140" i="1"/>
  <c r="X140" i="1" s="1"/>
  <c r="V133" i="1"/>
  <c r="GX132" i="1"/>
  <c r="F183" i="8"/>
  <c r="D184" i="8"/>
  <c r="E177" i="7"/>
  <c r="C178" i="7"/>
  <c r="W92" i="1"/>
  <c r="D129" i="8"/>
  <c r="F128" i="8"/>
  <c r="C123" i="7"/>
  <c r="E122" i="7"/>
  <c r="CT83" i="1"/>
  <c r="S83" i="1" s="1"/>
  <c r="GX80" i="1"/>
  <c r="F79" i="8"/>
  <c r="D80" i="8"/>
  <c r="E73" i="7"/>
  <c r="C74" i="7"/>
  <c r="W39" i="1"/>
  <c r="CR37" i="1"/>
  <c r="Q37" i="1" s="1"/>
  <c r="T234" i="1"/>
  <c r="S300" i="8"/>
  <c r="Q300" i="8"/>
  <c r="S294" i="7"/>
  <c r="Q294" i="7"/>
  <c r="AD224" i="1"/>
  <c r="U290" i="8"/>
  <c r="U284" i="7"/>
  <c r="T221" i="1"/>
  <c r="F259" i="8"/>
  <c r="D260" i="8"/>
  <c r="E253" i="7"/>
  <c r="C254" i="7"/>
  <c r="P218" i="1"/>
  <c r="F224" i="8"/>
  <c r="D225" i="8"/>
  <c r="C219" i="7"/>
  <c r="E218" i="7"/>
  <c r="F214" i="8"/>
  <c r="D215" i="8"/>
  <c r="C209" i="7"/>
  <c r="E208" i="7"/>
  <c r="V132" i="1"/>
  <c r="CG97" i="1"/>
  <c r="R83" i="1"/>
  <c r="V118" i="8"/>
  <c r="K125" i="8" s="1"/>
  <c r="V112" i="7"/>
  <c r="J119" i="7" s="1"/>
  <c r="L60" i="8"/>
  <c r="K54" i="7"/>
  <c r="CJ44" i="1"/>
  <c r="D46" i="8"/>
  <c r="F45" i="8"/>
  <c r="E39" i="7"/>
  <c r="C40" i="7"/>
  <c r="T239" i="1"/>
  <c r="U236" i="1"/>
  <c r="D323" i="8"/>
  <c r="F322" i="8"/>
  <c r="E316" i="7"/>
  <c r="C317" i="7"/>
  <c r="U300" i="8"/>
  <c r="U294" i="7"/>
  <c r="F285" i="8"/>
  <c r="E279" i="7"/>
  <c r="S274" i="8"/>
  <c r="Q274" i="8"/>
  <c r="S268" i="7"/>
  <c r="Q268" i="7"/>
  <c r="V267" i="8"/>
  <c r="V261" i="7"/>
  <c r="D250" i="8"/>
  <c r="F249" i="8"/>
  <c r="E243" i="7"/>
  <c r="C244" i="7"/>
  <c r="BZ254" i="1"/>
  <c r="CT94" i="1"/>
  <c r="S94" i="1" s="1"/>
  <c r="Q176" i="8"/>
  <c r="S176" i="8"/>
  <c r="S170" i="7"/>
  <c r="Q170" i="7"/>
  <c r="K121" i="8"/>
  <c r="J115" i="7"/>
  <c r="L116" i="8"/>
  <c r="K110" i="7"/>
  <c r="K74" i="8"/>
  <c r="J68" i="7"/>
  <c r="CC44" i="1"/>
  <c r="CS34" i="1"/>
  <c r="R34" i="1" s="1"/>
  <c r="GK34" i="1" s="1"/>
  <c r="S332" i="8"/>
  <c r="Q332" i="8"/>
  <c r="S326" i="7"/>
  <c r="Q326" i="7"/>
  <c r="CT226" i="1"/>
  <c r="S307" i="8"/>
  <c r="Q307" i="8"/>
  <c r="Q301" i="7"/>
  <c r="S301" i="7"/>
  <c r="L298" i="8"/>
  <c r="K292" i="7"/>
  <c r="U274" i="8"/>
  <c r="U268" i="7"/>
  <c r="L222" i="8"/>
  <c r="K216" i="7"/>
  <c r="CS94" i="1"/>
  <c r="U176" i="8"/>
  <c r="U170" i="7"/>
  <c r="S145" i="8"/>
  <c r="Q145" i="8"/>
  <c r="S139" i="7"/>
  <c r="Q139" i="7"/>
  <c r="CP83" i="1"/>
  <c r="O83" i="1" s="1"/>
  <c r="F118" i="8"/>
  <c r="D119" i="8"/>
  <c r="E112" i="7"/>
  <c r="C113" i="7"/>
  <c r="CT81" i="1"/>
  <c r="S81" i="1" s="1"/>
  <c r="Q96" i="8"/>
  <c r="S96" i="8"/>
  <c r="S90" i="7"/>
  <c r="Q90" i="7"/>
  <c r="AD79" i="1"/>
  <c r="CT42" i="1"/>
  <c r="S42" i="1" s="1"/>
  <c r="CP42" i="1" s="1"/>
  <c r="O42" i="1" s="1"/>
  <c r="Q79" i="8"/>
  <c r="S79" i="8"/>
  <c r="S73" i="7"/>
  <c r="Q73" i="7"/>
  <c r="R41" i="1"/>
  <c r="GK41" i="1" s="1"/>
  <c r="GM41" i="1" s="1"/>
  <c r="GP41" i="1" s="1"/>
  <c r="V72" i="8"/>
  <c r="V66" i="7"/>
  <c r="F62" i="8"/>
  <c r="D63" i="8"/>
  <c r="C57" i="7"/>
  <c r="E56" i="7"/>
  <c r="CB44" i="1"/>
  <c r="CR34" i="1"/>
  <c r="Q34" i="1" s="1"/>
  <c r="P230" i="1"/>
  <c r="W229" i="1"/>
  <c r="U332" i="8"/>
  <c r="U326" i="7"/>
  <c r="AD226" i="1"/>
  <c r="U307" i="8"/>
  <c r="U301" i="7"/>
  <c r="V225" i="1"/>
  <c r="CT224" i="1"/>
  <c r="S224" i="1" s="1"/>
  <c r="D268" i="8"/>
  <c r="F267" i="8"/>
  <c r="C262" i="7"/>
  <c r="E261" i="7"/>
  <c r="F232" i="8"/>
  <c r="E226" i="7"/>
  <c r="CT215" i="1"/>
  <c r="CB97" i="1"/>
  <c r="Q156" i="8"/>
  <c r="S156" i="8"/>
  <c r="S150" i="7"/>
  <c r="Q150" i="7"/>
  <c r="U145" i="8"/>
  <c r="U139" i="7"/>
  <c r="CT82" i="1"/>
  <c r="S82" i="1" s="1"/>
  <c r="S107" i="8"/>
  <c r="Q107" i="8"/>
  <c r="Q101" i="7"/>
  <c r="S101" i="7"/>
  <c r="CS81" i="1"/>
  <c r="U96" i="8"/>
  <c r="U90" i="7"/>
  <c r="CP79" i="1"/>
  <c r="O79" i="1" s="1"/>
  <c r="BC76" i="1"/>
  <c r="CS42" i="1"/>
  <c r="U79" i="8"/>
  <c r="U73" i="7"/>
  <c r="F72" i="8"/>
  <c r="D73" i="8"/>
  <c r="E66" i="7"/>
  <c r="C67" i="7"/>
  <c r="S45" i="8"/>
  <c r="Q45" i="8"/>
  <c r="S39" i="7"/>
  <c r="Q39" i="7"/>
  <c r="CP722" i="1"/>
  <c r="O722" i="1" s="1"/>
  <c r="AQ729" i="1"/>
  <c r="BZ719" i="1"/>
  <c r="CI729" i="1"/>
  <c r="BY673" i="1"/>
  <c r="CI687" i="1"/>
  <c r="AP687" i="1"/>
  <c r="AS867" i="1"/>
  <c r="CB848" i="1"/>
  <c r="CY814" i="1"/>
  <c r="X814" i="1" s="1"/>
  <c r="CZ814" i="1"/>
  <c r="Y814" i="1" s="1"/>
  <c r="CY813" i="1"/>
  <c r="X813" i="1" s="1"/>
  <c r="GM813" i="1" s="1"/>
  <c r="GP813" i="1" s="1"/>
  <c r="CZ813" i="1"/>
  <c r="Y813" i="1" s="1"/>
  <c r="T761" i="1"/>
  <c r="F789" i="1"/>
  <c r="CP725" i="1"/>
  <c r="O725" i="1" s="1"/>
  <c r="CB673" i="1"/>
  <c r="AS687" i="1"/>
  <c r="CY722" i="1"/>
  <c r="X722" i="1" s="1"/>
  <c r="CZ722" i="1"/>
  <c r="Y722" i="1" s="1"/>
  <c r="AG816" i="1"/>
  <c r="AI761" i="1"/>
  <c r="V768" i="1"/>
  <c r="CJ867" i="1"/>
  <c r="CY857" i="1"/>
  <c r="X857" i="1" s="1"/>
  <c r="CZ857" i="1"/>
  <c r="Y857" i="1" s="1"/>
  <c r="CY856" i="1"/>
  <c r="X856" i="1" s="1"/>
  <c r="CZ856" i="1"/>
  <c r="Y856" i="1" s="1"/>
  <c r="CZ810" i="1"/>
  <c r="Y810" i="1" s="1"/>
  <c r="CY810" i="1"/>
  <c r="X810" i="1" s="1"/>
  <c r="CY765" i="1"/>
  <c r="X765" i="1" s="1"/>
  <c r="CZ765" i="1"/>
  <c r="Y765" i="1" s="1"/>
  <c r="BZ673" i="1"/>
  <c r="AQ687" i="1"/>
  <c r="CJ816" i="1"/>
  <c r="GM766" i="1"/>
  <c r="GP766" i="1" s="1"/>
  <c r="AT816" i="1"/>
  <c r="CC800" i="1"/>
  <c r="CY725" i="1"/>
  <c r="X725" i="1" s="1"/>
  <c r="CZ725" i="1"/>
  <c r="Y725" i="1" s="1"/>
  <c r="CY811" i="1"/>
  <c r="X811" i="1" s="1"/>
  <c r="CZ811" i="1"/>
  <c r="Y811" i="1" s="1"/>
  <c r="AI867" i="1"/>
  <c r="CY812" i="1"/>
  <c r="X812" i="1" s="1"/>
  <c r="CZ812" i="1"/>
  <c r="Y812" i="1" s="1"/>
  <c r="CZ809" i="1"/>
  <c r="Y809" i="1" s="1"/>
  <c r="CY809" i="1"/>
  <c r="X809" i="1" s="1"/>
  <c r="CP809" i="1"/>
  <c r="O809" i="1" s="1"/>
  <c r="AF816" i="1"/>
  <c r="CZ806" i="1"/>
  <c r="Y806" i="1" s="1"/>
  <c r="CY806" i="1"/>
  <c r="X806" i="1" s="1"/>
  <c r="GM806" i="1" s="1"/>
  <c r="GP806" i="1" s="1"/>
  <c r="AJ816" i="1"/>
  <c r="AC768" i="1"/>
  <c r="AI816" i="1"/>
  <c r="AT867" i="1"/>
  <c r="CC848" i="1"/>
  <c r="AH867" i="1"/>
  <c r="CY861" i="1"/>
  <c r="X861" i="1" s="1"/>
  <c r="CZ861" i="1"/>
  <c r="Y861" i="1" s="1"/>
  <c r="GK851" i="1"/>
  <c r="CZ804" i="1"/>
  <c r="Y804" i="1" s="1"/>
  <c r="CY804" i="1"/>
  <c r="X804" i="1" s="1"/>
  <c r="CJ719" i="1"/>
  <c r="BA729" i="1"/>
  <c r="F871" i="1"/>
  <c r="AO848" i="1"/>
  <c r="CY865" i="1"/>
  <c r="X865" i="1" s="1"/>
  <c r="CZ865" i="1"/>
  <c r="Y865" i="1" s="1"/>
  <c r="CY853" i="1"/>
  <c r="X853" i="1" s="1"/>
  <c r="CZ853" i="1"/>
  <c r="Y853" i="1" s="1"/>
  <c r="CP851" i="1"/>
  <c r="O851" i="1" s="1"/>
  <c r="F833" i="1"/>
  <c r="AS800" i="1"/>
  <c r="CY860" i="1"/>
  <c r="X860" i="1" s="1"/>
  <c r="CZ860" i="1"/>
  <c r="Y860" i="1" s="1"/>
  <c r="AO800" i="1"/>
  <c r="F820" i="1"/>
  <c r="CP805" i="1"/>
  <c r="O805" i="1" s="1"/>
  <c r="AG761" i="1"/>
  <c r="BX673" i="1"/>
  <c r="CG687" i="1"/>
  <c r="AJ687" i="1"/>
  <c r="CY616" i="1"/>
  <c r="X616" i="1" s="1"/>
  <c r="CZ616" i="1"/>
  <c r="Y616" i="1" s="1"/>
  <c r="CR811" i="1"/>
  <c r="Q811" i="1" s="1"/>
  <c r="CP811" i="1" s="1"/>
  <c r="O811" i="1" s="1"/>
  <c r="GM811" i="1" s="1"/>
  <c r="GP811" i="1" s="1"/>
  <c r="CS811" i="1"/>
  <c r="R811" i="1" s="1"/>
  <c r="GK811" i="1" s="1"/>
  <c r="CB800" i="1"/>
  <c r="CR724" i="1"/>
  <c r="Q724" i="1" s="1"/>
  <c r="AD729" i="1" s="1"/>
  <c r="CS724" i="1"/>
  <c r="AG687" i="1"/>
  <c r="CY636" i="1"/>
  <c r="X636" i="1" s="1"/>
  <c r="CZ636" i="1"/>
  <c r="Y636" i="1" s="1"/>
  <c r="AD811" i="1"/>
  <c r="AB811" i="1" s="1"/>
  <c r="AD724" i="1"/>
  <c r="AB724" i="1" s="1"/>
  <c r="CR678" i="1"/>
  <c r="Q678" i="1" s="1"/>
  <c r="CS678" i="1"/>
  <c r="CZ677" i="1"/>
  <c r="Y677" i="1" s="1"/>
  <c r="CY677" i="1"/>
  <c r="X677" i="1" s="1"/>
  <c r="CZ676" i="1"/>
  <c r="Y676" i="1" s="1"/>
  <c r="CP629" i="1"/>
  <c r="O629" i="1" s="1"/>
  <c r="GM629" i="1" s="1"/>
  <c r="GP629" i="1" s="1"/>
  <c r="AD857" i="1"/>
  <c r="AB857" i="1" s="1"/>
  <c r="AD853" i="1"/>
  <c r="AB853" i="1" s="1"/>
  <c r="CI768" i="1"/>
  <c r="V765" i="1"/>
  <c r="CQ724" i="1"/>
  <c r="P724" i="1" s="1"/>
  <c r="AD678" i="1"/>
  <c r="AB678" i="1" s="1"/>
  <c r="CZ611" i="1"/>
  <c r="Y611" i="1" s="1"/>
  <c r="CY611" i="1"/>
  <c r="X611" i="1" s="1"/>
  <c r="CP857" i="1"/>
  <c r="O857" i="1" s="1"/>
  <c r="CP853" i="1"/>
  <c r="O853" i="1" s="1"/>
  <c r="F841" i="1"/>
  <c r="AB806" i="1"/>
  <c r="CG768" i="1"/>
  <c r="GX764" i="1"/>
  <c r="CJ768" i="1" s="1"/>
  <c r="CR685" i="1"/>
  <c r="Q685" i="1" s="1"/>
  <c r="CS685" i="1"/>
  <c r="AD685" i="1"/>
  <c r="CQ678" i="1"/>
  <c r="P678" i="1" s="1"/>
  <c r="F659" i="1"/>
  <c r="AT602" i="1"/>
  <c r="BC867" i="1"/>
  <c r="BX800" i="1"/>
  <c r="F793" i="1"/>
  <c r="BD761" i="1"/>
  <c r="GX765" i="1"/>
  <c r="S764" i="1"/>
  <c r="AO687" i="1"/>
  <c r="CQ685" i="1"/>
  <c r="P685" i="1" s="1"/>
  <c r="AB685" i="1"/>
  <c r="AS641" i="1"/>
  <c r="CB602" i="1"/>
  <c r="CY637" i="1"/>
  <c r="X637" i="1" s="1"/>
  <c r="CZ637" i="1"/>
  <c r="Y637" i="1" s="1"/>
  <c r="CP636" i="1"/>
  <c r="O636" i="1" s="1"/>
  <c r="AB861" i="1"/>
  <c r="AJ867" i="1"/>
  <c r="F832" i="1"/>
  <c r="BC800" i="1"/>
  <c r="GX804" i="1"/>
  <c r="V804" i="1"/>
  <c r="CR764" i="1"/>
  <c r="Q764" i="1" s="1"/>
  <c r="AD768" i="1" s="1"/>
  <c r="CS764" i="1"/>
  <c r="CR727" i="1"/>
  <c r="Q727" i="1" s="1"/>
  <c r="CS727" i="1"/>
  <c r="R727" i="1" s="1"/>
  <c r="GK727" i="1" s="1"/>
  <c r="F645" i="1"/>
  <c r="AO602" i="1"/>
  <c r="CY639" i="1"/>
  <c r="X639" i="1" s="1"/>
  <c r="CZ639" i="1"/>
  <c r="Y639" i="1" s="1"/>
  <c r="CY606" i="1"/>
  <c r="X606" i="1" s="1"/>
  <c r="CZ606" i="1"/>
  <c r="Y606" i="1" s="1"/>
  <c r="BY848" i="1"/>
  <c r="Q814" i="1"/>
  <c r="U804" i="1"/>
  <c r="BB761" i="1"/>
  <c r="F781" i="1"/>
  <c r="CZ678" i="1"/>
  <c r="Y678" i="1" s="1"/>
  <c r="BX848" i="1"/>
  <c r="AD814" i="1"/>
  <c r="CQ812" i="1"/>
  <c r="P812" i="1" s="1"/>
  <c r="U808" i="1"/>
  <c r="AD765" i="1"/>
  <c r="AB765" i="1" s="1"/>
  <c r="CY682" i="1"/>
  <c r="X682" i="1" s="1"/>
  <c r="CZ682" i="1"/>
  <c r="Y682" i="1" s="1"/>
  <c r="CP637" i="1"/>
  <c r="O637" i="1" s="1"/>
  <c r="CP634" i="1"/>
  <c r="O634" i="1" s="1"/>
  <c r="CI867" i="1"/>
  <c r="T861" i="1"/>
  <c r="T857" i="1"/>
  <c r="T853" i="1"/>
  <c r="AG867" i="1" s="1"/>
  <c r="P814" i="1"/>
  <c r="AB809" i="1"/>
  <c r="AB764" i="1"/>
  <c r="BX719" i="1"/>
  <c r="CG729" i="1"/>
  <c r="CZ685" i="1"/>
  <c r="Y685" i="1" s="1"/>
  <c r="CR682" i="1"/>
  <c r="Q682" i="1" s="1"/>
  <c r="CP682" i="1" s="1"/>
  <c r="O682" i="1" s="1"/>
  <c r="CS682" i="1"/>
  <c r="AD682" i="1"/>
  <c r="AB682" i="1" s="1"/>
  <c r="CZ681" i="1"/>
  <c r="Y681" i="1" s="1"/>
  <c r="CY681" i="1"/>
  <c r="X681" i="1" s="1"/>
  <c r="CY679" i="1"/>
  <c r="X679" i="1" s="1"/>
  <c r="CZ679" i="1"/>
  <c r="Y679" i="1" s="1"/>
  <c r="CP616" i="1"/>
  <c r="O616" i="1" s="1"/>
  <c r="GM616" i="1" s="1"/>
  <c r="GP616" i="1" s="1"/>
  <c r="AG641" i="1"/>
  <c r="CP606" i="1"/>
  <c r="O606" i="1" s="1"/>
  <c r="F880" i="1"/>
  <c r="AB814" i="1"/>
  <c r="CY805" i="1"/>
  <c r="X805" i="1" s="1"/>
  <c r="CR804" i="1"/>
  <c r="Q804" i="1" s="1"/>
  <c r="CP804" i="1" s="1"/>
  <c r="O804" i="1" s="1"/>
  <c r="GM804" i="1" s="1"/>
  <c r="GP804" i="1" s="1"/>
  <c r="CS804" i="1"/>
  <c r="R804" i="1" s="1"/>
  <c r="GK804" i="1" s="1"/>
  <c r="AS768" i="1"/>
  <c r="BD729" i="1"/>
  <c r="W724" i="1"/>
  <c r="AJ729" i="1" s="1"/>
  <c r="CC687" i="1"/>
  <c r="CG867" i="1"/>
  <c r="CS864" i="1"/>
  <c r="CS861" i="1"/>
  <c r="R861" i="1" s="1"/>
  <c r="GK861" i="1" s="1"/>
  <c r="CS857" i="1"/>
  <c r="R857" i="1" s="1"/>
  <c r="GK857" i="1" s="1"/>
  <c r="CS853" i="1"/>
  <c r="F829" i="1"/>
  <c r="CR808" i="1"/>
  <c r="Q808" i="1" s="1"/>
  <c r="CP808" i="1" s="1"/>
  <c r="O808" i="1" s="1"/>
  <c r="CS808" i="1"/>
  <c r="AD804" i="1"/>
  <c r="BC729" i="1"/>
  <c r="S724" i="1"/>
  <c r="CC729" i="1"/>
  <c r="GX682" i="1"/>
  <c r="CJ687" i="1" s="1"/>
  <c r="CY628" i="1"/>
  <c r="X628" i="1" s="1"/>
  <c r="CZ628" i="1"/>
  <c r="Y628" i="1" s="1"/>
  <c r="CY619" i="1"/>
  <c r="X619" i="1" s="1"/>
  <c r="CZ619" i="1"/>
  <c r="Y619" i="1" s="1"/>
  <c r="F876" i="1"/>
  <c r="CR864" i="1"/>
  <c r="Q864" i="1" s="1"/>
  <c r="AB863" i="1"/>
  <c r="CR861" i="1"/>
  <c r="Q861" i="1" s="1"/>
  <c r="CP861" i="1" s="1"/>
  <c r="O861" i="1" s="1"/>
  <c r="GM861" i="1" s="1"/>
  <c r="GP861" i="1" s="1"/>
  <c r="BD848" i="1"/>
  <c r="AB804" i="1"/>
  <c r="BZ816" i="1"/>
  <c r="CR803" i="1"/>
  <c r="Q803" i="1" s="1"/>
  <c r="CP803" i="1" s="1"/>
  <c r="O803" i="1" s="1"/>
  <c r="CS803" i="1"/>
  <c r="AQ768" i="1"/>
  <c r="BB729" i="1"/>
  <c r="CP681" i="1"/>
  <c r="O681" i="1" s="1"/>
  <c r="AB676" i="1"/>
  <c r="CQ676" i="1"/>
  <c r="P676" i="1" s="1"/>
  <c r="BD673" i="1"/>
  <c r="CP615" i="1"/>
  <c r="O615" i="1" s="1"/>
  <c r="P864" i="1"/>
  <c r="CZ863" i="1"/>
  <c r="Y863" i="1" s="1"/>
  <c r="U814" i="1"/>
  <c r="W814" i="1"/>
  <c r="AB808" i="1"/>
  <c r="CR807" i="1"/>
  <c r="Q807" i="1" s="1"/>
  <c r="CP807" i="1" s="1"/>
  <c r="O807" i="1" s="1"/>
  <c r="CS807" i="1"/>
  <c r="AP768" i="1"/>
  <c r="W764" i="1"/>
  <c r="AJ768" i="1" s="1"/>
  <c r="BY761" i="1"/>
  <c r="V724" i="1"/>
  <c r="AI729" i="1" s="1"/>
  <c r="CZ680" i="1"/>
  <c r="Y680" i="1" s="1"/>
  <c r="CY680" i="1"/>
  <c r="X680" i="1" s="1"/>
  <c r="BC673" i="1"/>
  <c r="CY638" i="1"/>
  <c r="X638" i="1" s="1"/>
  <c r="CZ638" i="1"/>
  <c r="Y638" i="1" s="1"/>
  <c r="CZ623" i="1"/>
  <c r="Y623" i="1" s="1"/>
  <c r="CY623" i="1"/>
  <c r="X623" i="1" s="1"/>
  <c r="AQ867" i="1"/>
  <c r="CS860" i="1"/>
  <c r="CS856" i="1"/>
  <c r="CS852" i="1"/>
  <c r="R852" i="1" s="1"/>
  <c r="GK852" i="1" s="1"/>
  <c r="BY816" i="1"/>
  <c r="AO768" i="1"/>
  <c r="CY766" i="1"/>
  <c r="X766" i="1" s="1"/>
  <c r="CZ766" i="1"/>
  <c r="Y766" i="1" s="1"/>
  <c r="BX761" i="1"/>
  <c r="F733" i="1"/>
  <c r="CZ727" i="1"/>
  <c r="Y727" i="1" s="1"/>
  <c r="U724" i="1"/>
  <c r="AI687" i="1"/>
  <c r="P865" i="1"/>
  <c r="CP865" i="1" s="1"/>
  <c r="O865" i="1" s="1"/>
  <c r="CR860" i="1"/>
  <c r="Q860" i="1" s="1"/>
  <c r="CP860" i="1" s="1"/>
  <c r="O860" i="1" s="1"/>
  <c r="CZ859" i="1"/>
  <c r="Y859" i="1" s="1"/>
  <c r="GM859" i="1" s="1"/>
  <c r="GP859" i="1" s="1"/>
  <c r="CR856" i="1"/>
  <c r="Q856" i="1" s="1"/>
  <c r="CZ855" i="1"/>
  <c r="Y855" i="1" s="1"/>
  <c r="GM855" i="1" s="1"/>
  <c r="GP855" i="1" s="1"/>
  <c r="CR852" i="1"/>
  <c r="Q852" i="1" s="1"/>
  <c r="CZ851" i="1"/>
  <c r="Y851" i="1" s="1"/>
  <c r="CR765" i="1"/>
  <c r="Q765" i="1" s="1"/>
  <c r="CP765" i="1" s="1"/>
  <c r="O765" i="1" s="1"/>
  <c r="T724" i="1"/>
  <c r="AG729" i="1" s="1"/>
  <c r="AB723" i="1"/>
  <c r="CQ723" i="1"/>
  <c r="P723" i="1" s="1"/>
  <c r="CY676" i="1"/>
  <c r="X676" i="1" s="1"/>
  <c r="CY629" i="1"/>
  <c r="X629" i="1" s="1"/>
  <c r="CZ629" i="1"/>
  <c r="Y629" i="1" s="1"/>
  <c r="CY626" i="1"/>
  <c r="X626" i="1" s="1"/>
  <c r="CZ626" i="1"/>
  <c r="Y626" i="1" s="1"/>
  <c r="CY624" i="1"/>
  <c r="X624" i="1" s="1"/>
  <c r="CZ624" i="1"/>
  <c r="Y624" i="1" s="1"/>
  <c r="CR617" i="1"/>
  <c r="Q617" i="1" s="1"/>
  <c r="CP617" i="1" s="1"/>
  <c r="O617" i="1" s="1"/>
  <c r="CS617" i="1"/>
  <c r="AD610" i="1"/>
  <c r="AB610" i="1" s="1"/>
  <c r="CR610" i="1"/>
  <c r="Q610" i="1" s="1"/>
  <c r="CP610" i="1" s="1"/>
  <c r="O610" i="1" s="1"/>
  <c r="GX534" i="1"/>
  <c r="CY529" i="1"/>
  <c r="X529" i="1" s="1"/>
  <c r="CZ529" i="1"/>
  <c r="Y529" i="1" s="1"/>
  <c r="CY479" i="1"/>
  <c r="X479" i="1" s="1"/>
  <c r="CZ479" i="1"/>
  <c r="Y479" i="1" s="1"/>
  <c r="CY465" i="1"/>
  <c r="X465" i="1" s="1"/>
  <c r="CZ465" i="1"/>
  <c r="Y465" i="1" s="1"/>
  <c r="CQ453" i="1"/>
  <c r="P453" i="1" s="1"/>
  <c r="AB453" i="1"/>
  <c r="CY633" i="1"/>
  <c r="X633" i="1" s="1"/>
  <c r="GM633" i="1" s="1"/>
  <c r="GP633" i="1" s="1"/>
  <c r="CZ633" i="1"/>
  <c r="Y633" i="1" s="1"/>
  <c r="W631" i="1"/>
  <c r="AJ641" i="1" s="1"/>
  <c r="CR626" i="1"/>
  <c r="Q626" i="1" s="1"/>
  <c r="CP626" i="1" s="1"/>
  <c r="O626" i="1" s="1"/>
  <c r="CS626" i="1"/>
  <c r="AB618" i="1"/>
  <c r="AB616" i="1"/>
  <c r="CP527" i="1"/>
  <c r="O527" i="1" s="1"/>
  <c r="GM527" i="1" s="1"/>
  <c r="GP527" i="1" s="1"/>
  <c r="CY523" i="1"/>
  <c r="X523" i="1" s="1"/>
  <c r="GM523" i="1" s="1"/>
  <c r="GP523" i="1" s="1"/>
  <c r="CZ523" i="1"/>
  <c r="Y523" i="1" s="1"/>
  <c r="CY457" i="1"/>
  <c r="X457" i="1" s="1"/>
  <c r="CZ457" i="1"/>
  <c r="Y457" i="1" s="1"/>
  <c r="AF484" i="1"/>
  <c r="GX639" i="1"/>
  <c r="V631" i="1"/>
  <c r="AD628" i="1"/>
  <c r="AD626" i="1"/>
  <c r="AB626" i="1" s="1"/>
  <c r="AB617" i="1"/>
  <c r="CR635" i="1"/>
  <c r="Q635" i="1" s="1"/>
  <c r="CP635" i="1" s="1"/>
  <c r="O635" i="1" s="1"/>
  <c r="CS635" i="1"/>
  <c r="U631" i="1"/>
  <c r="AB628" i="1"/>
  <c r="CZ615" i="1"/>
  <c r="Y615" i="1" s="1"/>
  <c r="CQ611" i="1"/>
  <c r="P611" i="1" s="1"/>
  <c r="CP611" i="1" s="1"/>
  <c r="O611" i="1" s="1"/>
  <c r="AB611" i="1"/>
  <c r="W606" i="1"/>
  <c r="CC602" i="1"/>
  <c r="CJ536" i="1"/>
  <c r="AF536" i="1"/>
  <c r="CP479" i="1"/>
  <c r="O479" i="1" s="1"/>
  <c r="CY367" i="1"/>
  <c r="X367" i="1" s="1"/>
  <c r="CZ367" i="1"/>
  <c r="Y367" i="1" s="1"/>
  <c r="CY609" i="1"/>
  <c r="X609" i="1" s="1"/>
  <c r="CZ609" i="1"/>
  <c r="Y609" i="1" s="1"/>
  <c r="CZ527" i="1"/>
  <c r="Y527" i="1" s="1"/>
  <c r="CY527" i="1"/>
  <c r="X527" i="1" s="1"/>
  <c r="CY522" i="1"/>
  <c r="X522" i="1" s="1"/>
  <c r="CZ522" i="1"/>
  <c r="Y522" i="1" s="1"/>
  <c r="CR520" i="1"/>
  <c r="Q520" i="1" s="1"/>
  <c r="CS520" i="1"/>
  <c r="CY474" i="1"/>
  <c r="X474" i="1" s="1"/>
  <c r="CZ474" i="1"/>
  <c r="Y474" i="1" s="1"/>
  <c r="AB680" i="1"/>
  <c r="AB636" i="1"/>
  <c r="AD625" i="1"/>
  <c r="AB625" i="1" s="1"/>
  <c r="GX621" i="1"/>
  <c r="CP620" i="1"/>
  <c r="O620" i="1" s="1"/>
  <c r="CZ618" i="1"/>
  <c r="Y618" i="1" s="1"/>
  <c r="V608" i="1"/>
  <c r="CR605" i="1"/>
  <c r="Q605" i="1" s="1"/>
  <c r="CS605" i="1"/>
  <c r="CR522" i="1"/>
  <c r="Q522" i="1" s="1"/>
  <c r="CS522" i="1"/>
  <c r="AD520" i="1"/>
  <c r="AB520" i="1" s="1"/>
  <c r="CY347" i="1"/>
  <c r="X347" i="1" s="1"/>
  <c r="CZ347" i="1"/>
  <c r="Y347" i="1" s="1"/>
  <c r="AB727" i="1"/>
  <c r="CR639" i="1"/>
  <c r="Q639" i="1" s="1"/>
  <c r="CP639" i="1" s="1"/>
  <c r="O639" i="1" s="1"/>
  <c r="CS639" i="1"/>
  <c r="R639" i="1" s="1"/>
  <c r="GK639" i="1" s="1"/>
  <c r="AB635" i="1"/>
  <c r="V632" i="1"/>
  <c r="Q630" i="1"/>
  <c r="GX623" i="1"/>
  <c r="AD605" i="1"/>
  <c r="W534" i="1"/>
  <c r="AB533" i="1"/>
  <c r="AB526" i="1"/>
  <c r="AD522" i="1"/>
  <c r="AC536" i="1"/>
  <c r="CY476" i="1"/>
  <c r="X476" i="1" s="1"/>
  <c r="CZ476" i="1"/>
  <c r="Y476" i="1" s="1"/>
  <c r="AG484" i="1"/>
  <c r="GX631" i="1"/>
  <c r="S621" i="1"/>
  <c r="CR618" i="1"/>
  <c r="Q618" i="1" s="1"/>
  <c r="CP618" i="1" s="1"/>
  <c r="O618" i="1" s="1"/>
  <c r="CQ605" i="1"/>
  <c r="P605" i="1" s="1"/>
  <c r="AB605" i="1"/>
  <c r="V534" i="1"/>
  <c r="CP522" i="1"/>
  <c r="O522" i="1" s="1"/>
  <c r="CL444" i="1"/>
  <c r="BC484" i="1"/>
  <c r="CR470" i="1"/>
  <c r="Q470" i="1" s="1"/>
  <c r="CS470" i="1"/>
  <c r="R470" i="1" s="1"/>
  <c r="GK470" i="1" s="1"/>
  <c r="AD470" i="1"/>
  <c r="AB470" i="1" s="1"/>
  <c r="AJ484" i="1"/>
  <c r="AD722" i="1"/>
  <c r="AB722" i="1" s="1"/>
  <c r="CZ635" i="1"/>
  <c r="Y635" i="1" s="1"/>
  <c r="GX632" i="1"/>
  <c r="CR621" i="1"/>
  <c r="Q621" i="1" s="1"/>
  <c r="CS621" i="1"/>
  <c r="R621" i="1" s="1"/>
  <c r="GK621" i="1" s="1"/>
  <c r="U608" i="1"/>
  <c r="BZ641" i="1"/>
  <c r="U534" i="1"/>
  <c r="CY532" i="1"/>
  <c r="X532" i="1" s="1"/>
  <c r="CZ532" i="1"/>
  <c r="Y532" i="1" s="1"/>
  <c r="CP528" i="1"/>
  <c r="O528" i="1" s="1"/>
  <c r="GM528" i="1" s="1"/>
  <c r="GP528" i="1" s="1"/>
  <c r="BB484" i="1"/>
  <c r="CK444" i="1"/>
  <c r="AB482" i="1"/>
  <c r="CY477" i="1"/>
  <c r="X477" i="1" s="1"/>
  <c r="CZ477" i="1"/>
  <c r="Y477" i="1" s="1"/>
  <c r="CP470" i="1"/>
  <c r="O470" i="1" s="1"/>
  <c r="CY456" i="1"/>
  <c r="X456" i="1" s="1"/>
  <c r="CZ456" i="1"/>
  <c r="Y456" i="1" s="1"/>
  <c r="AI484" i="1"/>
  <c r="CK800" i="1"/>
  <c r="AB684" i="1"/>
  <c r="CR679" i="1"/>
  <c r="Q679" i="1" s="1"/>
  <c r="CP679" i="1" s="1"/>
  <c r="O679" i="1" s="1"/>
  <c r="CS679" i="1"/>
  <c r="AB639" i="1"/>
  <c r="S631" i="1"/>
  <c r="CR628" i="1"/>
  <c r="Q628" i="1" s="1"/>
  <c r="CP628" i="1" s="1"/>
  <c r="O628" i="1" s="1"/>
  <c r="V626" i="1"/>
  <c r="AD623" i="1"/>
  <c r="AD621" i="1"/>
  <c r="AB621" i="1" s="1"/>
  <c r="CR614" i="1"/>
  <c r="Q614" i="1" s="1"/>
  <c r="CP614" i="1" s="1"/>
  <c r="O614" i="1" s="1"/>
  <c r="CS614" i="1"/>
  <c r="R614" i="1" s="1"/>
  <c r="GK614" i="1" s="1"/>
  <c r="CS610" i="1"/>
  <c r="R610" i="1" s="1"/>
  <c r="GK610" i="1" s="1"/>
  <c r="T608" i="1"/>
  <c r="T534" i="1"/>
  <c r="CR530" i="1"/>
  <c r="Q530" i="1" s="1"/>
  <c r="CS530" i="1"/>
  <c r="R530" i="1" s="1"/>
  <c r="GK530" i="1" s="1"/>
  <c r="AD530" i="1"/>
  <c r="AB530" i="1" s="1"/>
  <c r="AB528" i="1"/>
  <c r="CZ520" i="1"/>
  <c r="Y520" i="1" s="1"/>
  <c r="F657" i="1"/>
  <c r="CR631" i="1"/>
  <c r="Q631" i="1" s="1"/>
  <c r="CS631" i="1"/>
  <c r="U626" i="1"/>
  <c r="AB623" i="1"/>
  <c r="S608" i="1"/>
  <c r="BY641" i="1"/>
  <c r="S534" i="1"/>
  <c r="CY531" i="1"/>
  <c r="X531" i="1" s="1"/>
  <c r="CZ531" i="1"/>
  <c r="Y531" i="1" s="1"/>
  <c r="CP530" i="1"/>
  <c r="O530" i="1" s="1"/>
  <c r="CY520" i="1"/>
  <c r="X520" i="1" s="1"/>
  <c r="CP457" i="1"/>
  <c r="O457" i="1" s="1"/>
  <c r="CR636" i="1"/>
  <c r="Q636" i="1" s="1"/>
  <c r="S625" i="1"/>
  <c r="CP625" i="1" s="1"/>
  <c r="O625" i="1" s="1"/>
  <c r="CR608" i="1"/>
  <c r="Q608" i="1" s="1"/>
  <c r="CP608" i="1" s="1"/>
  <c r="O608" i="1" s="1"/>
  <c r="CS608" i="1"/>
  <c r="R608" i="1" s="1"/>
  <c r="GK608" i="1" s="1"/>
  <c r="CR534" i="1"/>
  <c r="Q534" i="1" s="1"/>
  <c r="CP534" i="1" s="1"/>
  <c r="O534" i="1" s="1"/>
  <c r="CS534" i="1"/>
  <c r="R534" i="1" s="1"/>
  <c r="GK534" i="1" s="1"/>
  <c r="AD534" i="1"/>
  <c r="CR525" i="1"/>
  <c r="Q525" i="1" s="1"/>
  <c r="CP525" i="1" s="1"/>
  <c r="O525" i="1" s="1"/>
  <c r="GM525" i="1" s="1"/>
  <c r="GP525" i="1" s="1"/>
  <c r="CS525" i="1"/>
  <c r="R525" i="1" s="1"/>
  <c r="GK525" i="1" s="1"/>
  <c r="AD525" i="1"/>
  <c r="AB525" i="1" s="1"/>
  <c r="AJ536" i="1"/>
  <c r="CY480" i="1"/>
  <c r="X480" i="1" s="1"/>
  <c r="CZ480" i="1"/>
  <c r="Y480" i="1" s="1"/>
  <c r="CY471" i="1"/>
  <c r="X471" i="1" s="1"/>
  <c r="CZ471" i="1"/>
  <c r="Y471" i="1" s="1"/>
  <c r="CY464" i="1"/>
  <c r="X464" i="1" s="1"/>
  <c r="CZ464" i="1"/>
  <c r="Y464" i="1" s="1"/>
  <c r="CQ680" i="1"/>
  <c r="P680" i="1" s="1"/>
  <c r="AB632" i="1"/>
  <c r="CS625" i="1"/>
  <c r="R625" i="1" s="1"/>
  <c r="GK625" i="1" s="1"/>
  <c r="CZ620" i="1"/>
  <c r="Y620" i="1" s="1"/>
  <c r="CS615" i="1"/>
  <c r="AD615" i="1"/>
  <c r="AB615" i="1" s="1"/>
  <c r="AB614" i="1"/>
  <c r="CY613" i="1"/>
  <c r="X613" i="1" s="1"/>
  <c r="CZ613" i="1"/>
  <c r="Y613" i="1" s="1"/>
  <c r="GX610" i="1"/>
  <c r="AD608" i="1"/>
  <c r="AB608" i="1" s="1"/>
  <c r="CY607" i="1"/>
  <c r="X607" i="1" s="1"/>
  <c r="BZ516" i="1"/>
  <c r="CG536" i="1"/>
  <c r="AQ536" i="1"/>
  <c r="CY533" i="1"/>
  <c r="X533" i="1" s="1"/>
  <c r="CZ533" i="1"/>
  <c r="Y533" i="1" s="1"/>
  <c r="AI536" i="1"/>
  <c r="CY519" i="1"/>
  <c r="X519" i="1" s="1"/>
  <c r="GM519" i="1" s="1"/>
  <c r="GP519" i="1" s="1"/>
  <c r="CZ519" i="1"/>
  <c r="Y519" i="1" s="1"/>
  <c r="AS516" i="1"/>
  <c r="CY481" i="1"/>
  <c r="X481" i="1" s="1"/>
  <c r="CZ481" i="1"/>
  <c r="Y481" i="1" s="1"/>
  <c r="CY461" i="1"/>
  <c r="X461" i="1" s="1"/>
  <c r="CZ461" i="1"/>
  <c r="Y461" i="1" s="1"/>
  <c r="CQ727" i="1"/>
  <c r="P727" i="1" s="1"/>
  <c r="CR683" i="1"/>
  <c r="Q683" i="1" s="1"/>
  <c r="CS683" i="1"/>
  <c r="F654" i="1"/>
  <c r="S634" i="1"/>
  <c r="AB631" i="1"/>
  <c r="V628" i="1"/>
  <c r="GX618" i="1"/>
  <c r="CZ614" i="1"/>
  <c r="Y614" i="1" s="1"/>
  <c r="AH536" i="1"/>
  <c r="CR481" i="1"/>
  <c r="Q481" i="1" s="1"/>
  <c r="CP481" i="1" s="1"/>
  <c r="O481" i="1" s="1"/>
  <c r="GM481" i="1" s="1"/>
  <c r="GP481" i="1" s="1"/>
  <c r="CS481" i="1"/>
  <c r="R481" i="1" s="1"/>
  <c r="GK481" i="1" s="1"/>
  <c r="AD481" i="1"/>
  <c r="AB481" i="1" s="1"/>
  <c r="CY473" i="1"/>
  <c r="X473" i="1" s="1"/>
  <c r="CZ473" i="1"/>
  <c r="Y473" i="1" s="1"/>
  <c r="CY466" i="1"/>
  <c r="X466" i="1" s="1"/>
  <c r="CZ466" i="1"/>
  <c r="Y466" i="1" s="1"/>
  <c r="AD726" i="1"/>
  <c r="AB726" i="1" s="1"/>
  <c r="AD683" i="1"/>
  <c r="AB683" i="1" s="1"/>
  <c r="GX626" i="1"/>
  <c r="V605" i="1"/>
  <c r="F570" i="1"/>
  <c r="AG536" i="1"/>
  <c r="CP477" i="1"/>
  <c r="O477" i="1" s="1"/>
  <c r="GM477" i="1" s="1"/>
  <c r="GP477" i="1" s="1"/>
  <c r="CP471" i="1"/>
  <c r="O471" i="1" s="1"/>
  <c r="GM471" i="1" s="1"/>
  <c r="GP471" i="1" s="1"/>
  <c r="CP461" i="1"/>
  <c r="O461" i="1" s="1"/>
  <c r="BY536" i="1"/>
  <c r="CS468" i="1"/>
  <c r="R468" i="1" s="1"/>
  <c r="GK468" i="1" s="1"/>
  <c r="AD468" i="1"/>
  <c r="AB468" i="1" s="1"/>
  <c r="CY458" i="1"/>
  <c r="X458" i="1" s="1"/>
  <c r="CR373" i="1"/>
  <c r="Q373" i="1" s="1"/>
  <c r="CS373" i="1"/>
  <c r="R373" i="1" s="1"/>
  <c r="GK373" i="1" s="1"/>
  <c r="CY366" i="1"/>
  <c r="X366" i="1" s="1"/>
  <c r="CZ366" i="1"/>
  <c r="Y366" i="1" s="1"/>
  <c r="CR353" i="1"/>
  <c r="Q353" i="1" s="1"/>
  <c r="CS353" i="1"/>
  <c r="AD353" i="1"/>
  <c r="AB353" i="1" s="1"/>
  <c r="AD456" i="1"/>
  <c r="AB456" i="1" s="1"/>
  <c r="CR456" i="1"/>
  <c r="Q456" i="1" s="1"/>
  <c r="CP456" i="1" s="1"/>
  <c r="O456" i="1" s="1"/>
  <c r="CS456" i="1"/>
  <c r="R456" i="1" s="1"/>
  <c r="GK456" i="1" s="1"/>
  <c r="GM447" i="1"/>
  <c r="GP447" i="1" s="1"/>
  <c r="CP372" i="1"/>
  <c r="O372" i="1" s="1"/>
  <c r="CY368" i="1"/>
  <c r="X368" i="1" s="1"/>
  <c r="CZ368" i="1"/>
  <c r="Y368" i="1" s="1"/>
  <c r="CY357" i="1"/>
  <c r="X357" i="1" s="1"/>
  <c r="CZ357" i="1"/>
  <c r="Y357" i="1" s="1"/>
  <c r="CP521" i="1"/>
  <c r="O521" i="1" s="1"/>
  <c r="GM521" i="1" s="1"/>
  <c r="GP521" i="1" s="1"/>
  <c r="AB373" i="1"/>
  <c r="AB522" i="1"/>
  <c r="AB471" i="1"/>
  <c r="CR465" i="1"/>
  <c r="Q465" i="1" s="1"/>
  <c r="CS465" i="1"/>
  <c r="R465" i="1" s="1"/>
  <c r="GK465" i="1" s="1"/>
  <c r="CP347" i="1"/>
  <c r="O347" i="1" s="1"/>
  <c r="CY344" i="1"/>
  <c r="X344" i="1" s="1"/>
  <c r="CZ344" i="1"/>
  <c r="Y344" i="1" s="1"/>
  <c r="F488" i="1"/>
  <c r="AO444" i="1"/>
  <c r="CR473" i="1"/>
  <c r="Q473" i="1" s="1"/>
  <c r="CP473" i="1" s="1"/>
  <c r="O473" i="1" s="1"/>
  <c r="CS473" i="1"/>
  <c r="R473" i="1" s="1"/>
  <c r="GK473" i="1" s="1"/>
  <c r="CR374" i="1"/>
  <c r="Q374" i="1" s="1"/>
  <c r="CP374" i="1" s="1"/>
  <c r="O374" i="1" s="1"/>
  <c r="GM374" i="1" s="1"/>
  <c r="GP374" i="1" s="1"/>
  <c r="CS374" i="1"/>
  <c r="R374" i="1" s="1"/>
  <c r="GK374" i="1" s="1"/>
  <c r="CP368" i="1"/>
  <c r="O368" i="1" s="1"/>
  <c r="CS344" i="1"/>
  <c r="R344" i="1" s="1"/>
  <c r="GK344" i="1" s="1"/>
  <c r="AD344" i="1"/>
  <c r="AB344" i="1" s="1"/>
  <c r="CR344" i="1"/>
  <c r="Q344" i="1" s="1"/>
  <c r="CP344" i="1" s="1"/>
  <c r="O344" i="1" s="1"/>
  <c r="AD473" i="1"/>
  <c r="AB473" i="1" s="1"/>
  <c r="AD472" i="1"/>
  <c r="AB472" i="1" s="1"/>
  <c r="CZ468" i="1"/>
  <c r="Y468" i="1" s="1"/>
  <c r="CP465" i="1"/>
  <c r="O465" i="1" s="1"/>
  <c r="CR458" i="1"/>
  <c r="Q458" i="1" s="1"/>
  <c r="CS458" i="1"/>
  <c r="AP484" i="1"/>
  <c r="BY444" i="1"/>
  <c r="W450" i="1"/>
  <c r="AB449" i="1"/>
  <c r="AD374" i="1"/>
  <c r="AB374" i="1" s="1"/>
  <c r="CQ369" i="1"/>
  <c r="P369" i="1" s="1"/>
  <c r="CP369" i="1" s="1"/>
  <c r="O369" i="1" s="1"/>
  <c r="AB369" i="1"/>
  <c r="CR360" i="1"/>
  <c r="Q360" i="1" s="1"/>
  <c r="CS360" i="1"/>
  <c r="R360" i="1" s="1"/>
  <c r="GK360" i="1" s="1"/>
  <c r="CY349" i="1"/>
  <c r="X349" i="1" s="1"/>
  <c r="CZ349" i="1"/>
  <c r="Y349" i="1" s="1"/>
  <c r="BD536" i="1"/>
  <c r="CP472" i="1"/>
  <c r="O472" i="1" s="1"/>
  <c r="GM472" i="1" s="1"/>
  <c r="GP472" i="1" s="1"/>
  <c r="CZ470" i="1"/>
  <c r="Y470" i="1" s="1"/>
  <c r="CY469" i="1"/>
  <c r="X469" i="1" s="1"/>
  <c r="CZ469" i="1"/>
  <c r="Y469" i="1" s="1"/>
  <c r="CR454" i="1"/>
  <c r="Q454" i="1" s="1"/>
  <c r="CP454" i="1" s="1"/>
  <c r="O454" i="1" s="1"/>
  <c r="CS454" i="1"/>
  <c r="R454" i="1" s="1"/>
  <c r="GK454" i="1" s="1"/>
  <c r="AD454" i="1"/>
  <c r="CT452" i="1"/>
  <c r="S452" i="1" s="1"/>
  <c r="AB452" i="1"/>
  <c r="V450" i="1"/>
  <c r="W448" i="1"/>
  <c r="BZ329" i="1"/>
  <c r="CG378" i="1"/>
  <c r="AB534" i="1"/>
  <c r="AB532" i="1"/>
  <c r="AB527" i="1"/>
  <c r="AB480" i="1"/>
  <c r="AD476" i="1"/>
  <c r="AB476" i="1" s="1"/>
  <c r="AD475" i="1"/>
  <c r="CR468" i="1"/>
  <c r="Q468" i="1" s="1"/>
  <c r="CP468" i="1" s="1"/>
  <c r="O468" i="1" s="1"/>
  <c r="GM468" i="1" s="1"/>
  <c r="GP468" i="1" s="1"/>
  <c r="CC484" i="1"/>
  <c r="CP455" i="1"/>
  <c r="O455" i="1" s="1"/>
  <c r="GM455" i="1" s="1"/>
  <c r="GP455" i="1" s="1"/>
  <c r="CY453" i="1"/>
  <c r="X453" i="1" s="1"/>
  <c r="CZ453" i="1"/>
  <c r="Y453" i="1" s="1"/>
  <c r="U450" i="1"/>
  <c r="V448" i="1"/>
  <c r="CC329" i="1"/>
  <c r="AT378" i="1"/>
  <c r="CZ339" i="1"/>
  <c r="Y339" i="1" s="1"/>
  <c r="CY339" i="1"/>
  <c r="X339" i="1" s="1"/>
  <c r="CR478" i="1"/>
  <c r="Q478" i="1" s="1"/>
  <c r="CS478" i="1"/>
  <c r="CP475" i="1"/>
  <c r="O475" i="1" s="1"/>
  <c r="V460" i="1"/>
  <c r="AB458" i="1"/>
  <c r="T450" i="1"/>
  <c r="U448" i="1"/>
  <c r="CY363" i="1"/>
  <c r="X363" i="1" s="1"/>
  <c r="CZ363" i="1"/>
  <c r="Y363" i="1" s="1"/>
  <c r="CY361" i="1"/>
  <c r="X361" i="1" s="1"/>
  <c r="CZ361" i="1"/>
  <c r="Y361" i="1" s="1"/>
  <c r="CP357" i="1"/>
  <c r="O357" i="1" s="1"/>
  <c r="GM357" i="1" s="1"/>
  <c r="GP357" i="1" s="1"/>
  <c r="CZ332" i="1"/>
  <c r="Y332" i="1" s="1"/>
  <c r="CY332" i="1"/>
  <c r="X332" i="1" s="1"/>
  <c r="CZ521" i="1"/>
  <c r="Y521" i="1" s="1"/>
  <c r="AD478" i="1"/>
  <c r="AB478" i="1" s="1"/>
  <c r="CZ475" i="1"/>
  <c r="Y475" i="1" s="1"/>
  <c r="AB475" i="1"/>
  <c r="GX462" i="1"/>
  <c r="U460" i="1"/>
  <c r="CB484" i="1"/>
  <c r="S450" i="1"/>
  <c r="T448" i="1"/>
  <c r="CP366" i="1"/>
  <c r="O366" i="1" s="1"/>
  <c r="GM366" i="1" s="1"/>
  <c r="GP366" i="1" s="1"/>
  <c r="CP339" i="1"/>
  <c r="O339" i="1" s="1"/>
  <c r="F552" i="1"/>
  <c r="AB521" i="1"/>
  <c r="BD484" i="1"/>
  <c r="AB479" i="1"/>
  <c r="W468" i="1"/>
  <c r="GX460" i="1"/>
  <c r="T460" i="1"/>
  <c r="CR450" i="1"/>
  <c r="Q450" i="1" s="1"/>
  <c r="CP450" i="1" s="1"/>
  <c r="O450" i="1" s="1"/>
  <c r="CS450" i="1"/>
  <c r="R450" i="1" s="1"/>
  <c r="GK450" i="1" s="1"/>
  <c r="AD450" i="1"/>
  <c r="AB450" i="1" s="1"/>
  <c r="CT448" i="1"/>
  <c r="S448" i="1" s="1"/>
  <c r="AB448" i="1"/>
  <c r="CR531" i="1"/>
  <c r="Q531" i="1" s="1"/>
  <c r="CP531" i="1" s="1"/>
  <c r="O531" i="1" s="1"/>
  <c r="CS531" i="1"/>
  <c r="GX482" i="1"/>
  <c r="V468" i="1"/>
  <c r="S460" i="1"/>
  <c r="BZ484" i="1"/>
  <c r="CY449" i="1"/>
  <c r="X449" i="1" s="1"/>
  <c r="CZ449" i="1"/>
  <c r="Y449" i="1" s="1"/>
  <c r="AQ378" i="1"/>
  <c r="CP363" i="1"/>
  <c r="O363" i="1" s="1"/>
  <c r="W334" i="1"/>
  <c r="CS611" i="1"/>
  <c r="R611" i="1" s="1"/>
  <c r="GK611" i="1" s="1"/>
  <c r="CS532" i="1"/>
  <c r="R532" i="1" s="1"/>
  <c r="GK532" i="1" s="1"/>
  <c r="AD531" i="1"/>
  <c r="AB531" i="1" s="1"/>
  <c r="BB516" i="1"/>
  <c r="T482" i="1"/>
  <c r="AD467" i="1"/>
  <c r="AB467" i="1" s="1"/>
  <c r="CR467" i="1"/>
  <c r="Q467" i="1" s="1"/>
  <c r="CP467" i="1" s="1"/>
  <c r="O467" i="1" s="1"/>
  <c r="GM467" i="1" s="1"/>
  <c r="GP467" i="1" s="1"/>
  <c r="CS467" i="1"/>
  <c r="R467" i="1" s="1"/>
  <c r="GK467" i="1" s="1"/>
  <c r="CR462" i="1"/>
  <c r="Q462" i="1" s="1"/>
  <c r="CS462" i="1"/>
  <c r="R462" i="1" s="1"/>
  <c r="GK462" i="1" s="1"/>
  <c r="AD460" i="1"/>
  <c r="AB460" i="1" s="1"/>
  <c r="CR460" i="1"/>
  <c r="Q460" i="1" s="1"/>
  <c r="CS460" i="1"/>
  <c r="R460" i="1" s="1"/>
  <c r="GK460" i="1" s="1"/>
  <c r="CZ459" i="1"/>
  <c r="Y459" i="1" s="1"/>
  <c r="W456" i="1"/>
  <c r="AB371" i="1"/>
  <c r="CQ371" i="1"/>
  <c r="P371" i="1" s="1"/>
  <c r="CP371" i="1" s="1"/>
  <c r="O371" i="1" s="1"/>
  <c r="CY362" i="1"/>
  <c r="X362" i="1" s="1"/>
  <c r="CZ362" i="1"/>
  <c r="Y362" i="1" s="1"/>
  <c r="CR532" i="1"/>
  <c r="Q532" i="1" s="1"/>
  <c r="CP532" i="1" s="1"/>
  <c r="O532" i="1" s="1"/>
  <c r="CZ526" i="1"/>
  <c r="Y526" i="1" s="1"/>
  <c r="CZ478" i="1"/>
  <c r="Y478" i="1" s="1"/>
  <c r="CS472" i="1"/>
  <c r="R472" i="1" s="1"/>
  <c r="GK472" i="1" s="1"/>
  <c r="GX468" i="1"/>
  <c r="AD462" i="1"/>
  <c r="AB462" i="1" s="1"/>
  <c r="AB461" i="1"/>
  <c r="V456" i="1"/>
  <c r="GX448" i="1"/>
  <c r="CY350" i="1"/>
  <c r="X350" i="1" s="1"/>
  <c r="CZ350" i="1"/>
  <c r="Y350" i="1" s="1"/>
  <c r="BD641" i="1"/>
  <c r="CR482" i="1"/>
  <c r="Q482" i="1" s="1"/>
  <c r="CP482" i="1" s="1"/>
  <c r="O482" i="1" s="1"/>
  <c r="CS482" i="1"/>
  <c r="R482" i="1" s="1"/>
  <c r="GK482" i="1" s="1"/>
  <c r="CR476" i="1"/>
  <c r="Q476" i="1" s="1"/>
  <c r="CP476" i="1" s="1"/>
  <c r="O476" i="1" s="1"/>
  <c r="GM476" i="1" s="1"/>
  <c r="GP476" i="1" s="1"/>
  <c r="P462" i="1"/>
  <c r="U456" i="1"/>
  <c r="GX450" i="1"/>
  <c r="CZ345" i="1"/>
  <c r="Y345" i="1" s="1"/>
  <c r="CY345" i="1"/>
  <c r="X345" i="1" s="1"/>
  <c r="T334" i="1"/>
  <c r="CR371" i="1"/>
  <c r="Q371" i="1" s="1"/>
  <c r="CS371" i="1"/>
  <c r="R371" i="1" s="1"/>
  <c r="GK371" i="1" s="1"/>
  <c r="S355" i="1"/>
  <c r="CR247" i="1"/>
  <c r="Q247" i="1" s="1"/>
  <c r="CS247" i="1"/>
  <c r="R247" i="1" s="1"/>
  <c r="GK247" i="1" s="1"/>
  <c r="AD247" i="1"/>
  <c r="CZ340" i="1"/>
  <c r="Y340" i="1" s="1"/>
  <c r="CY340" i="1"/>
  <c r="X340" i="1" s="1"/>
  <c r="S334" i="1"/>
  <c r="CY292" i="1"/>
  <c r="X292" i="1" s="1"/>
  <c r="CZ292" i="1"/>
  <c r="Y292" i="1" s="1"/>
  <c r="CY239" i="1"/>
  <c r="X239" i="1" s="1"/>
  <c r="CZ239" i="1"/>
  <c r="Y239" i="1" s="1"/>
  <c r="CP239" i="1"/>
  <c r="O239" i="1" s="1"/>
  <c r="AD367" i="1"/>
  <c r="CR367" i="1"/>
  <c r="Q367" i="1" s="1"/>
  <c r="CP367" i="1" s="1"/>
  <c r="O367" i="1" s="1"/>
  <c r="CS367" i="1"/>
  <c r="R367" i="1" s="1"/>
  <c r="GK367" i="1" s="1"/>
  <c r="CP360" i="1"/>
  <c r="O360" i="1" s="1"/>
  <c r="GM360" i="1" s="1"/>
  <c r="GP360" i="1" s="1"/>
  <c r="CP349" i="1"/>
  <c r="O349" i="1" s="1"/>
  <c r="AB343" i="1"/>
  <c r="R334" i="1"/>
  <c r="CR362" i="1"/>
  <c r="Q362" i="1" s="1"/>
  <c r="CS362" i="1"/>
  <c r="R362" i="1" s="1"/>
  <c r="GK362" i="1" s="1"/>
  <c r="AB360" i="1"/>
  <c r="CY359" i="1"/>
  <c r="X359" i="1" s="1"/>
  <c r="CZ359" i="1"/>
  <c r="Y359" i="1" s="1"/>
  <c r="CB378" i="1"/>
  <c r="CQ332" i="1"/>
  <c r="P332" i="1" s="1"/>
  <c r="AB332" i="1"/>
  <c r="CP293" i="1"/>
  <c r="O293" i="1" s="1"/>
  <c r="CY250" i="1"/>
  <c r="X250" i="1" s="1"/>
  <c r="CZ250" i="1"/>
  <c r="Y250" i="1" s="1"/>
  <c r="CP227" i="1"/>
  <c r="O227" i="1" s="1"/>
  <c r="AB367" i="1"/>
  <c r="AD362" i="1"/>
  <c r="AB362" i="1" s="1"/>
  <c r="CP337" i="1"/>
  <c r="O337" i="1" s="1"/>
  <c r="AB333" i="1"/>
  <c r="AO286" i="1"/>
  <c r="F301" i="1"/>
  <c r="GK289" i="1"/>
  <c r="GX376" i="1"/>
  <c r="CZ374" i="1"/>
  <c r="Y374" i="1" s="1"/>
  <c r="AD363" i="1"/>
  <c r="AB363" i="1" s="1"/>
  <c r="CP362" i="1"/>
  <c r="O362" i="1" s="1"/>
  <c r="U358" i="1"/>
  <c r="W351" i="1"/>
  <c r="CY348" i="1"/>
  <c r="X348" i="1" s="1"/>
  <c r="CZ348" i="1"/>
  <c r="Y348" i="1" s="1"/>
  <c r="AB337" i="1"/>
  <c r="CZ336" i="1"/>
  <c r="Y336" i="1" s="1"/>
  <c r="CY336" i="1"/>
  <c r="X336" i="1" s="1"/>
  <c r="CZ371" i="1"/>
  <c r="Y371" i="1" s="1"/>
  <c r="T358" i="1"/>
  <c r="V351" i="1"/>
  <c r="AB345" i="1"/>
  <c r="CS341" i="1"/>
  <c r="CZ294" i="1"/>
  <c r="Y294" i="1" s="1"/>
  <c r="AO254" i="1"/>
  <c r="CG254" i="1"/>
  <c r="BX208" i="1"/>
  <c r="CR240" i="1"/>
  <c r="Q240" i="1" s="1"/>
  <c r="CP240" i="1" s="1"/>
  <c r="O240" i="1" s="1"/>
  <c r="GM240" i="1" s="1"/>
  <c r="GP240" i="1" s="1"/>
  <c r="CS240" i="1"/>
  <c r="R240" i="1" s="1"/>
  <c r="GK240" i="1" s="1"/>
  <c r="AD240" i="1"/>
  <c r="AB240" i="1" s="1"/>
  <c r="AB454" i="1"/>
  <c r="F382" i="1"/>
  <c r="S376" i="1"/>
  <c r="CP376" i="1" s="1"/>
  <c r="O376" i="1" s="1"/>
  <c r="CY372" i="1"/>
  <c r="X372" i="1" s="1"/>
  <c r="CZ372" i="1"/>
  <c r="Y372" i="1" s="1"/>
  <c r="AB366" i="1"/>
  <c r="CZ360" i="1"/>
  <c r="Y360" i="1" s="1"/>
  <c r="AD354" i="1"/>
  <c r="U351" i="1"/>
  <c r="AD348" i="1"/>
  <c r="AB348" i="1" s="1"/>
  <c r="CR341" i="1"/>
  <c r="Q341" i="1" s="1"/>
  <c r="CP341" i="1" s="1"/>
  <c r="O341" i="1" s="1"/>
  <c r="R376" i="1"/>
  <c r="GK376" i="1" s="1"/>
  <c r="CS369" i="1"/>
  <c r="R369" i="1" s="1"/>
  <c r="GK369" i="1" s="1"/>
  <c r="CP354" i="1"/>
  <c r="O354" i="1" s="1"/>
  <c r="GM354" i="1" s="1"/>
  <c r="GP354" i="1" s="1"/>
  <c r="CQ348" i="1"/>
  <c r="P348" i="1" s="1"/>
  <c r="AD466" i="1"/>
  <c r="AB466" i="1" s="1"/>
  <c r="AD376" i="1"/>
  <c r="AB376" i="1" s="1"/>
  <c r="S373" i="1"/>
  <c r="CZ354" i="1"/>
  <c r="Y354" i="1" s="1"/>
  <c r="AB354" i="1"/>
  <c r="BZ286" i="1"/>
  <c r="AQ297" i="1"/>
  <c r="CG297" i="1"/>
  <c r="W371" i="1"/>
  <c r="W367" i="1"/>
  <c r="V362" i="1"/>
  <c r="CR356" i="1"/>
  <c r="Q356" i="1" s="1"/>
  <c r="CS356" i="1"/>
  <c r="W341" i="1"/>
  <c r="BY378" i="1"/>
  <c r="P334" i="1"/>
  <c r="CY295" i="1"/>
  <c r="X295" i="1" s="1"/>
  <c r="CZ295" i="1"/>
  <c r="Y295" i="1" s="1"/>
  <c r="AB464" i="1"/>
  <c r="V371" i="1"/>
  <c r="GX358" i="1"/>
  <c r="S358" i="1"/>
  <c r="AD356" i="1"/>
  <c r="W355" i="1"/>
  <c r="W353" i="1"/>
  <c r="T351" i="1"/>
  <c r="CZ338" i="1"/>
  <c r="Y338" i="1" s="1"/>
  <c r="CS295" i="1"/>
  <c r="R295" i="1" s="1"/>
  <c r="GK295" i="1" s="1"/>
  <c r="AD295" i="1"/>
  <c r="AB295" i="1" s="1"/>
  <c r="CS452" i="1"/>
  <c r="R452" i="1" s="1"/>
  <c r="GK452" i="1" s="1"/>
  <c r="CS448" i="1"/>
  <c r="R448" i="1" s="1"/>
  <c r="GK448" i="1" s="1"/>
  <c r="GX373" i="1"/>
  <c r="U371" i="1"/>
  <c r="CS363" i="1"/>
  <c r="R363" i="1" s="1"/>
  <c r="GK363" i="1" s="1"/>
  <c r="CR358" i="1"/>
  <c r="Q358" i="1" s="1"/>
  <c r="CS358" i="1"/>
  <c r="V353" i="1"/>
  <c r="GX351" i="1"/>
  <c r="S351" i="1"/>
  <c r="U341" i="1"/>
  <c r="AB335" i="1"/>
  <c r="CP245" i="1"/>
  <c r="O245" i="1" s="1"/>
  <c r="CY228" i="1"/>
  <c r="X228" i="1" s="1"/>
  <c r="CZ228" i="1"/>
  <c r="Y228" i="1" s="1"/>
  <c r="CR452" i="1"/>
  <c r="Q452" i="1" s="1"/>
  <c r="CR448" i="1"/>
  <c r="Q448" i="1" s="1"/>
  <c r="CP448" i="1" s="1"/>
  <c r="O448" i="1" s="1"/>
  <c r="F394" i="1"/>
  <c r="T374" i="1"/>
  <c r="T371" i="1"/>
  <c r="U360" i="1"/>
  <c r="AD358" i="1"/>
  <c r="AB358" i="1" s="1"/>
  <c r="AB356" i="1"/>
  <c r="U353" i="1"/>
  <c r="CR351" i="1"/>
  <c r="Q351" i="1" s="1"/>
  <c r="CS351" i="1"/>
  <c r="T341" i="1"/>
  <c r="CC297" i="1"/>
  <c r="AD249" i="1"/>
  <c r="AB249" i="1" s="1"/>
  <c r="CR249" i="1"/>
  <c r="Q249" i="1" s="1"/>
  <c r="CS249" i="1"/>
  <c r="R249" i="1" s="1"/>
  <c r="GK249" i="1" s="1"/>
  <c r="AB245" i="1"/>
  <c r="CY234" i="1"/>
  <c r="X234" i="1" s="1"/>
  <c r="CZ234" i="1"/>
  <c r="Y234" i="1" s="1"/>
  <c r="CZ214" i="1"/>
  <c r="Y214" i="1" s="1"/>
  <c r="CY214" i="1"/>
  <c r="X214" i="1" s="1"/>
  <c r="BC408" i="1"/>
  <c r="W376" i="1"/>
  <c r="GX371" i="1"/>
  <c r="T360" i="1"/>
  <c r="P358" i="1"/>
  <c r="CP358" i="1" s="1"/>
  <c r="O358" i="1" s="1"/>
  <c r="T353" i="1"/>
  <c r="AD351" i="1"/>
  <c r="AB351" i="1" s="1"/>
  <c r="CP345" i="1"/>
  <c r="O345" i="1" s="1"/>
  <c r="S341" i="1"/>
  <c r="CP340" i="1"/>
  <c r="O340" i="1" s="1"/>
  <c r="V334" i="1"/>
  <c r="CQ251" i="1"/>
  <c r="P251" i="1" s="1"/>
  <c r="CP251" i="1" s="1"/>
  <c r="O251" i="1" s="1"/>
  <c r="AB251" i="1"/>
  <c r="CY247" i="1"/>
  <c r="X247" i="1" s="1"/>
  <c r="CZ247" i="1"/>
  <c r="Y247" i="1" s="1"/>
  <c r="V226" i="1"/>
  <c r="W226" i="1"/>
  <c r="CY289" i="1"/>
  <c r="X289" i="1" s="1"/>
  <c r="CZ289" i="1"/>
  <c r="Y289" i="1" s="1"/>
  <c r="BD208" i="1"/>
  <c r="F279" i="1"/>
  <c r="BY297" i="1"/>
  <c r="CP289" i="1"/>
  <c r="O289" i="1" s="1"/>
  <c r="CP252" i="1"/>
  <c r="O252" i="1" s="1"/>
  <c r="GM252" i="1" s="1"/>
  <c r="GP252" i="1" s="1"/>
  <c r="W235" i="1"/>
  <c r="CP220" i="1"/>
  <c r="O220" i="1" s="1"/>
  <c r="CY217" i="1"/>
  <c r="X217" i="1" s="1"/>
  <c r="CZ217" i="1"/>
  <c r="Y217" i="1" s="1"/>
  <c r="W215" i="1"/>
  <c r="V295" i="1"/>
  <c r="CR292" i="1"/>
  <c r="Q292" i="1" s="1"/>
  <c r="CS292" i="1"/>
  <c r="CY291" i="1"/>
  <c r="X291" i="1" s="1"/>
  <c r="CZ291" i="1"/>
  <c r="Y291" i="1" s="1"/>
  <c r="BB208" i="1"/>
  <c r="F267" i="1"/>
  <c r="V235" i="1"/>
  <c r="CZ232" i="1"/>
  <c r="Y232" i="1" s="1"/>
  <c r="CY218" i="1"/>
  <c r="X218" i="1" s="1"/>
  <c r="CZ218" i="1"/>
  <c r="Y218" i="1" s="1"/>
  <c r="AD217" i="1"/>
  <c r="AB217" i="1" s="1"/>
  <c r="CR217" i="1"/>
  <c r="Q217" i="1" s="1"/>
  <c r="CS217" i="1"/>
  <c r="CJ97" i="1"/>
  <c r="U295" i="1"/>
  <c r="CR294" i="1"/>
  <c r="Q294" i="1" s="1"/>
  <c r="CS294" i="1"/>
  <c r="R294" i="1" s="1"/>
  <c r="GK294" i="1" s="1"/>
  <c r="AD292" i="1"/>
  <c r="AB292" i="1" s="1"/>
  <c r="U246" i="1"/>
  <c r="U235" i="1"/>
  <c r="Q226" i="1"/>
  <c r="CP224" i="1"/>
  <c r="O224" i="1" s="1"/>
  <c r="U215" i="1"/>
  <c r="GM132" i="1"/>
  <c r="GP132" i="1" s="1"/>
  <c r="T337" i="1"/>
  <c r="U334" i="1"/>
  <c r="T295" i="1"/>
  <c r="AD294" i="1"/>
  <c r="AB294" i="1" s="1"/>
  <c r="W290" i="1"/>
  <c r="AJ297" i="1" s="1"/>
  <c r="AB250" i="1"/>
  <c r="T246" i="1"/>
  <c r="W242" i="1"/>
  <c r="CZ240" i="1"/>
  <c r="Y240" i="1" s="1"/>
  <c r="T235" i="1"/>
  <c r="CP231" i="1"/>
  <c r="O231" i="1" s="1"/>
  <c r="GM231" i="1" s="1"/>
  <c r="GN231" i="1" s="1"/>
  <c r="CP230" i="1"/>
  <c r="O230" i="1" s="1"/>
  <c r="CY227" i="1"/>
  <c r="X227" i="1" s="1"/>
  <c r="CZ227" i="1"/>
  <c r="Y227" i="1" s="1"/>
  <c r="P226" i="1"/>
  <c r="CP218" i="1"/>
  <c r="O218" i="1" s="1"/>
  <c r="T215" i="1"/>
  <c r="CY333" i="1"/>
  <c r="X333" i="1" s="1"/>
  <c r="CZ333" i="1"/>
  <c r="Y333" i="1" s="1"/>
  <c r="CP294" i="1"/>
  <c r="O294" i="1" s="1"/>
  <c r="V290" i="1"/>
  <c r="AI297" i="1" s="1"/>
  <c r="F270" i="1"/>
  <c r="CS251" i="1"/>
  <c r="R251" i="1" s="1"/>
  <c r="GK251" i="1" s="1"/>
  <c r="CR251" i="1"/>
  <c r="Q251" i="1" s="1"/>
  <c r="S246" i="1"/>
  <c r="V242" i="1"/>
  <c r="CZ229" i="1"/>
  <c r="Y229" i="1" s="1"/>
  <c r="CY229" i="1"/>
  <c r="X229" i="1" s="1"/>
  <c r="AB341" i="1"/>
  <c r="V338" i="1"/>
  <c r="GX337" i="1"/>
  <c r="W335" i="1"/>
  <c r="U290" i="1"/>
  <c r="S242" i="1"/>
  <c r="U226" i="1"/>
  <c r="U338" i="1"/>
  <c r="V335" i="1"/>
  <c r="CY293" i="1"/>
  <c r="X293" i="1" s="1"/>
  <c r="CZ293" i="1"/>
  <c r="Y293" i="1" s="1"/>
  <c r="T290" i="1"/>
  <c r="AG297" i="1" s="1"/>
  <c r="CP249" i="1"/>
  <c r="O249" i="1" s="1"/>
  <c r="GM249" i="1" s="1"/>
  <c r="GP249" i="1" s="1"/>
  <c r="CY244" i="1"/>
  <c r="X244" i="1" s="1"/>
  <c r="CZ244" i="1"/>
  <c r="Y244" i="1" s="1"/>
  <c r="S235" i="1"/>
  <c r="T226" i="1"/>
  <c r="CZ225" i="1"/>
  <c r="Y225" i="1" s="1"/>
  <c r="CY225" i="1"/>
  <c r="X225" i="1" s="1"/>
  <c r="BY254" i="1"/>
  <c r="U335" i="1"/>
  <c r="S290" i="1"/>
  <c r="CZ251" i="1"/>
  <c r="Y251" i="1" s="1"/>
  <c r="S226" i="1"/>
  <c r="T222" i="1"/>
  <c r="U222" i="1"/>
  <c r="Q222" i="1"/>
  <c r="AQ254" i="1"/>
  <c r="BZ208" i="1"/>
  <c r="CP214" i="1"/>
  <c r="O214" i="1" s="1"/>
  <c r="T335" i="1"/>
  <c r="CR290" i="1"/>
  <c r="Q290" i="1" s="1"/>
  <c r="AD297" i="1" s="1"/>
  <c r="CS290" i="1"/>
  <c r="GX226" i="1"/>
  <c r="AB359" i="1"/>
  <c r="AD352" i="1"/>
  <c r="AB352" i="1" s="1"/>
  <c r="S343" i="1"/>
  <c r="AB340" i="1"/>
  <c r="Q337" i="1"/>
  <c r="GX335" i="1"/>
  <c r="CJ378" i="1" s="1"/>
  <c r="P292" i="1"/>
  <c r="GX291" i="1"/>
  <c r="CJ297" i="1" s="1"/>
  <c r="AD290" i="1"/>
  <c r="AB290" i="1" s="1"/>
  <c r="P250" i="1"/>
  <c r="CP250" i="1" s="1"/>
  <c r="O250" i="1" s="1"/>
  <c r="GM250" i="1" s="1"/>
  <c r="GP250" i="1" s="1"/>
  <c r="CP244" i="1"/>
  <c r="O244" i="1" s="1"/>
  <c r="P235" i="1"/>
  <c r="CE129" i="1"/>
  <c r="AV142" i="1"/>
  <c r="BD378" i="1"/>
  <c r="AB338" i="1"/>
  <c r="CR335" i="1"/>
  <c r="Q335" i="1" s="1"/>
  <c r="CS335" i="1"/>
  <c r="Q334" i="1"/>
  <c r="P290" i="1"/>
  <c r="GX246" i="1"/>
  <c r="CY245" i="1"/>
  <c r="X245" i="1" s="1"/>
  <c r="CZ245" i="1"/>
  <c r="Y245" i="1" s="1"/>
  <c r="CZ224" i="1"/>
  <c r="Y224" i="1" s="1"/>
  <c r="CY224" i="1"/>
  <c r="X224" i="1" s="1"/>
  <c r="S222" i="1"/>
  <c r="CY216" i="1"/>
  <c r="X216" i="1" s="1"/>
  <c r="CZ216" i="1"/>
  <c r="Y216" i="1" s="1"/>
  <c r="CP225" i="1"/>
  <c r="O225" i="1" s="1"/>
  <c r="P222" i="1"/>
  <c r="V215" i="1"/>
  <c r="CD129" i="1"/>
  <c r="AU142" i="1"/>
  <c r="CY139" i="1"/>
  <c r="X139" i="1" s="1"/>
  <c r="CZ139" i="1"/>
  <c r="Y139" i="1" s="1"/>
  <c r="CY138" i="1"/>
  <c r="X138" i="1" s="1"/>
  <c r="CZ138" i="1"/>
  <c r="Y138" i="1" s="1"/>
  <c r="BB30" i="1"/>
  <c r="F57" i="1"/>
  <c r="CZ230" i="1"/>
  <c r="Y230" i="1" s="1"/>
  <c r="W223" i="1"/>
  <c r="S215" i="1"/>
  <c r="CC129" i="1"/>
  <c r="AT142" i="1"/>
  <c r="AT76" i="1"/>
  <c r="F115" i="1"/>
  <c r="V223" i="1"/>
  <c r="GX221" i="1"/>
  <c r="CR219" i="1"/>
  <c r="Q219" i="1" s="1"/>
  <c r="CP219" i="1" s="1"/>
  <c r="O219" i="1" s="1"/>
  <c r="CS219" i="1"/>
  <c r="AB218" i="1"/>
  <c r="CB129" i="1"/>
  <c r="AS142" i="1"/>
  <c r="CQ137" i="1"/>
  <c r="P137" i="1" s="1"/>
  <c r="AB137" i="1"/>
  <c r="CY134" i="1"/>
  <c r="X134" i="1" s="1"/>
  <c r="CZ134" i="1"/>
  <c r="Y134" i="1" s="1"/>
  <c r="CR227" i="1"/>
  <c r="Q227" i="1" s="1"/>
  <c r="CS227" i="1"/>
  <c r="CA129" i="1"/>
  <c r="AR142" i="1"/>
  <c r="CQ139" i="1"/>
  <c r="P139" i="1" s="1"/>
  <c r="CP139" i="1" s="1"/>
  <c r="O139" i="1" s="1"/>
  <c r="AB139" i="1"/>
  <c r="CY137" i="1"/>
  <c r="X137" i="1" s="1"/>
  <c r="CZ137" i="1"/>
  <c r="Y137" i="1" s="1"/>
  <c r="AD227" i="1"/>
  <c r="AB220" i="1"/>
  <c r="W216" i="1"/>
  <c r="GX215" i="1"/>
  <c r="CY212" i="1"/>
  <c r="X212" i="1" s="1"/>
  <c r="CZ212" i="1"/>
  <c r="Y212" i="1" s="1"/>
  <c r="AB140" i="1"/>
  <c r="P134" i="1"/>
  <c r="Q134" i="1"/>
  <c r="R134" i="1"/>
  <c r="GK134" i="1" s="1"/>
  <c r="AB235" i="1"/>
  <c r="U223" i="1"/>
  <c r="AD221" i="1"/>
  <c r="AB221" i="1" s="1"/>
  <c r="CR221" i="1"/>
  <c r="Q221" i="1" s="1"/>
  <c r="CS221" i="1"/>
  <c r="AB219" i="1"/>
  <c r="V216" i="1"/>
  <c r="CC254" i="1"/>
  <c r="CR213" i="1"/>
  <c r="Q213" i="1" s="1"/>
  <c r="CS213" i="1"/>
  <c r="R213" i="1" s="1"/>
  <c r="GK213" i="1" s="1"/>
  <c r="BB172" i="1"/>
  <c r="CY135" i="1"/>
  <c r="X135" i="1" s="1"/>
  <c r="CZ135" i="1"/>
  <c r="Y135" i="1" s="1"/>
  <c r="BA44" i="1"/>
  <c r="CJ30" i="1"/>
  <c r="CB297" i="1"/>
  <c r="AB247" i="1"/>
  <c r="CR246" i="1"/>
  <c r="Q246" i="1" s="1"/>
  <c r="CS246" i="1"/>
  <c r="R246" i="1" s="1"/>
  <c r="GK246" i="1" s="1"/>
  <c r="V232" i="1"/>
  <c r="AB227" i="1"/>
  <c r="AB226" i="1"/>
  <c r="T223" i="1"/>
  <c r="AB222" i="1"/>
  <c r="U216" i="1"/>
  <c r="CB254" i="1"/>
  <c r="AD213" i="1"/>
  <c r="AB213" i="1" s="1"/>
  <c r="U129" i="1"/>
  <c r="F164" i="1"/>
  <c r="CR135" i="1"/>
  <c r="Q135" i="1" s="1"/>
  <c r="CS135" i="1"/>
  <c r="R135" i="1" s="1"/>
  <c r="GK135" i="1" s="1"/>
  <c r="CP92" i="1"/>
  <c r="O92" i="1" s="1"/>
  <c r="AD246" i="1"/>
  <c r="AB246" i="1" s="1"/>
  <c r="GX232" i="1"/>
  <c r="S223" i="1"/>
  <c r="CR215" i="1"/>
  <c r="Q215" i="1" s="1"/>
  <c r="CS215" i="1"/>
  <c r="CQ213" i="1"/>
  <c r="P213" i="1" s="1"/>
  <c r="BA129" i="1"/>
  <c r="F162" i="1"/>
  <c r="AD138" i="1"/>
  <c r="AB138" i="1" s="1"/>
  <c r="CR138" i="1"/>
  <c r="Q138" i="1" s="1"/>
  <c r="CP138" i="1" s="1"/>
  <c r="O138" i="1" s="1"/>
  <c r="CS138" i="1"/>
  <c r="R138" i="1" s="1"/>
  <c r="GK138" i="1" s="1"/>
  <c r="AD135" i="1"/>
  <c r="T232" i="1"/>
  <c r="CR223" i="1"/>
  <c r="Q223" i="1" s="1"/>
  <c r="CS223" i="1"/>
  <c r="CY220" i="1"/>
  <c r="X220" i="1" s="1"/>
  <c r="CZ220" i="1"/>
  <c r="Y220" i="1" s="1"/>
  <c r="CZ219" i="1"/>
  <c r="Y219" i="1" s="1"/>
  <c r="GX216" i="1"/>
  <c r="CJ254" i="1" s="1"/>
  <c r="AD215" i="1"/>
  <c r="AB215" i="1" s="1"/>
  <c r="F146" i="1"/>
  <c r="AO129" i="1"/>
  <c r="AB135" i="1"/>
  <c r="AB242" i="1"/>
  <c r="CR241" i="1"/>
  <c r="Q241" i="1" s="1"/>
  <c r="CP241" i="1" s="1"/>
  <c r="O241" i="1" s="1"/>
  <c r="CS241" i="1"/>
  <c r="R241" i="1" s="1"/>
  <c r="GK241" i="1" s="1"/>
  <c r="CS235" i="1"/>
  <c r="R235" i="1" s="1"/>
  <c r="GK235" i="1" s="1"/>
  <c r="P215" i="1"/>
  <c r="Y129" i="1"/>
  <c r="F169" i="1"/>
  <c r="O129" i="1"/>
  <c r="F144" i="1"/>
  <c r="CY92" i="1"/>
  <c r="X92" i="1" s="1"/>
  <c r="CZ92" i="1"/>
  <c r="Y92" i="1" s="1"/>
  <c r="AD241" i="1"/>
  <c r="AB241" i="1" s="1"/>
  <c r="CR232" i="1"/>
  <c r="Q232" i="1" s="1"/>
  <c r="CP232" i="1" s="1"/>
  <c r="O232" i="1" s="1"/>
  <c r="CS232" i="1"/>
  <c r="GX230" i="1"/>
  <c r="CS228" i="1"/>
  <c r="AB225" i="1"/>
  <c r="P223" i="1"/>
  <c r="CZ221" i="1"/>
  <c r="Y221" i="1" s="1"/>
  <c r="CP217" i="1"/>
  <c r="O217" i="1" s="1"/>
  <c r="CR228" i="1"/>
  <c r="Q228" i="1" s="1"/>
  <c r="BD26" i="1"/>
  <c r="F197" i="1"/>
  <c r="AB237" i="1"/>
  <c r="CR236" i="1"/>
  <c r="Q236" i="1" s="1"/>
  <c r="CP236" i="1" s="1"/>
  <c r="O236" i="1" s="1"/>
  <c r="CS236" i="1"/>
  <c r="R236" i="1" s="1"/>
  <c r="GK236" i="1" s="1"/>
  <c r="AB232" i="1"/>
  <c r="U219" i="1"/>
  <c r="V142" i="1"/>
  <c r="AI129" i="1"/>
  <c r="CP140" i="1"/>
  <c r="O140" i="1" s="1"/>
  <c r="GM140" i="1" s="1"/>
  <c r="GP140" i="1" s="1"/>
  <c r="GX134" i="1"/>
  <c r="AB252" i="1"/>
  <c r="CQ247" i="1"/>
  <c r="P247" i="1" s="1"/>
  <c r="CP247" i="1" s="1"/>
  <c r="O247" i="1" s="1"/>
  <c r="AD236" i="1"/>
  <c r="AB236" i="1" s="1"/>
  <c r="CR230" i="1"/>
  <c r="Q230" i="1" s="1"/>
  <c r="CS230" i="1"/>
  <c r="R230" i="1" s="1"/>
  <c r="GK230" i="1" s="1"/>
  <c r="CS226" i="1"/>
  <c r="T129" i="1"/>
  <c r="AJ44" i="1"/>
  <c r="CZ95" i="1"/>
  <c r="Y95" i="1" s="1"/>
  <c r="CY95" i="1"/>
  <c r="X95" i="1" s="1"/>
  <c r="AQ44" i="1"/>
  <c r="BZ30" i="1"/>
  <c r="AP44" i="1"/>
  <c r="CI44" i="1"/>
  <c r="BY30" i="1"/>
  <c r="AH44" i="1"/>
  <c r="AO44" i="1"/>
  <c r="CG44" i="1"/>
  <c r="BX30" i="1"/>
  <c r="AG44" i="1"/>
  <c r="CI142" i="1"/>
  <c r="CP95" i="1"/>
  <c r="O95" i="1" s="1"/>
  <c r="AB88" i="1"/>
  <c r="W135" i="1"/>
  <c r="CG76" i="1"/>
  <c r="AX97" i="1"/>
  <c r="CQ81" i="1"/>
  <c r="P81" i="1" s="1"/>
  <c r="BC30" i="1"/>
  <c r="F60" i="1"/>
  <c r="CR216" i="1"/>
  <c r="Q216" i="1" s="1"/>
  <c r="CS216" i="1"/>
  <c r="W213" i="1"/>
  <c r="U135" i="1"/>
  <c r="W134" i="1"/>
  <c r="V92" i="1"/>
  <c r="CY85" i="1"/>
  <c r="X85" i="1" s="1"/>
  <c r="CZ85" i="1"/>
  <c r="Y85" i="1" s="1"/>
  <c r="W84" i="1"/>
  <c r="GK35" i="1"/>
  <c r="AD216" i="1"/>
  <c r="AB216" i="1" s="1"/>
  <c r="Q212" i="1"/>
  <c r="CP212" i="1" s="1"/>
  <c r="O212" i="1" s="1"/>
  <c r="GM212" i="1" s="1"/>
  <c r="GP212" i="1" s="1"/>
  <c r="AC129" i="1"/>
  <c r="CH142" i="1"/>
  <c r="P142" i="1"/>
  <c r="P135" i="1"/>
  <c r="CP135" i="1" s="1"/>
  <c r="O135" i="1" s="1"/>
  <c r="V134" i="1"/>
  <c r="U92" i="1"/>
  <c r="CY90" i="1"/>
  <c r="X90" i="1" s="1"/>
  <c r="CZ90" i="1"/>
  <c r="Y90" i="1" s="1"/>
  <c r="AB79" i="1"/>
  <c r="AD212" i="1"/>
  <c r="AB212" i="1" s="1"/>
  <c r="BC129" i="1"/>
  <c r="F158" i="1"/>
  <c r="F101" i="1"/>
  <c r="AO76" i="1"/>
  <c r="CY80" i="1"/>
  <c r="X80" i="1" s="1"/>
  <c r="CZ80" i="1"/>
  <c r="Y80" i="1" s="1"/>
  <c r="AB228" i="1"/>
  <c r="GX92" i="1"/>
  <c r="CY89" i="1"/>
  <c r="X89" i="1" s="1"/>
  <c r="CZ89" i="1"/>
  <c r="Y89" i="1" s="1"/>
  <c r="CY88" i="1"/>
  <c r="X88" i="1" s="1"/>
  <c r="CZ88" i="1"/>
  <c r="Y88" i="1" s="1"/>
  <c r="CR86" i="1"/>
  <c r="Q86" i="1" s="1"/>
  <c r="CS86" i="1"/>
  <c r="R86" i="1" s="1"/>
  <c r="GK86" i="1" s="1"/>
  <c r="CP85" i="1"/>
  <c r="O85" i="1" s="1"/>
  <c r="CS80" i="1"/>
  <c r="R80" i="1" s="1"/>
  <c r="GK80" i="1" s="1"/>
  <c r="CR80" i="1"/>
  <c r="Q80" i="1" s="1"/>
  <c r="GX223" i="1"/>
  <c r="BY129" i="1"/>
  <c r="BZ76" i="1"/>
  <c r="AQ97" i="1"/>
  <c r="CR89" i="1"/>
  <c r="Q89" i="1" s="1"/>
  <c r="CP89" i="1" s="1"/>
  <c r="O89" i="1" s="1"/>
  <c r="CS89" i="1"/>
  <c r="R89" i="1" s="1"/>
  <c r="GK89" i="1" s="1"/>
  <c r="CG142" i="1"/>
  <c r="AQ142" i="1"/>
  <c r="V138" i="1"/>
  <c r="GX135" i="1"/>
  <c r="P133" i="1"/>
  <c r="AB132" i="1"/>
  <c r="CP94" i="1"/>
  <c r="O94" i="1" s="1"/>
  <c r="T91" i="1"/>
  <c r="P90" i="1"/>
  <c r="Q90" i="1"/>
  <c r="R90" i="1"/>
  <c r="GK90" i="1" s="1"/>
  <c r="AD89" i="1"/>
  <c r="AB89" i="1" s="1"/>
  <c r="CY83" i="1"/>
  <c r="X83" i="1" s="1"/>
  <c r="CZ83" i="1"/>
  <c r="Y83" i="1" s="1"/>
  <c r="CY82" i="1"/>
  <c r="X82" i="1" s="1"/>
  <c r="CZ82" i="1"/>
  <c r="Y82" i="1" s="1"/>
  <c r="AB80" i="1"/>
  <c r="CY42" i="1"/>
  <c r="X42" i="1" s="1"/>
  <c r="CZ42" i="1"/>
  <c r="Y42" i="1" s="1"/>
  <c r="AB224" i="1"/>
  <c r="BC172" i="1"/>
  <c r="CF142" i="1"/>
  <c r="AP142" i="1"/>
  <c r="AB133" i="1"/>
  <c r="F110" i="1"/>
  <c r="S91" i="1"/>
  <c r="AG97" i="1"/>
  <c r="AT44" i="1"/>
  <c r="CC30" i="1"/>
  <c r="CP37" i="1"/>
  <c r="O37" i="1" s="1"/>
  <c r="AS44" i="1"/>
  <c r="CB30" i="1"/>
  <c r="V84" i="1"/>
  <c r="CR82" i="1"/>
  <c r="Q82" i="1" s="1"/>
  <c r="CS82" i="1"/>
  <c r="CP39" i="1"/>
  <c r="O39" i="1" s="1"/>
  <c r="GX91" i="1"/>
  <c r="U84" i="1"/>
  <c r="AD82" i="1"/>
  <c r="AB82" i="1" s="1"/>
  <c r="CP80" i="1"/>
  <c r="O80" i="1" s="1"/>
  <c r="CY39" i="1"/>
  <c r="X39" i="1" s="1"/>
  <c r="CZ39" i="1"/>
  <c r="Y39" i="1" s="1"/>
  <c r="T84" i="1"/>
  <c r="W94" i="1"/>
  <c r="CR40" i="1"/>
  <c r="Q40" i="1" s="1"/>
  <c r="CS40" i="1"/>
  <c r="R40" i="1" s="1"/>
  <c r="GK40" i="1" s="1"/>
  <c r="AD40" i="1"/>
  <c r="AB40" i="1" s="1"/>
  <c r="CR36" i="1"/>
  <c r="Q36" i="1" s="1"/>
  <c r="AD44" i="1" s="1"/>
  <c r="CS36" i="1"/>
  <c r="CY35" i="1"/>
  <c r="X35" i="1" s="1"/>
  <c r="CZ35" i="1"/>
  <c r="Y35" i="1" s="1"/>
  <c r="GX133" i="1"/>
  <c r="V94" i="1"/>
  <c r="CR91" i="1"/>
  <c r="Q91" i="1" s="1"/>
  <c r="CS91" i="1"/>
  <c r="GX84" i="1"/>
  <c r="CR84" i="1"/>
  <c r="Q84" i="1" s="1"/>
  <c r="CS84" i="1"/>
  <c r="CP40" i="1"/>
  <c r="O40" i="1" s="1"/>
  <c r="AD36" i="1"/>
  <c r="AB36" i="1" s="1"/>
  <c r="U94" i="1"/>
  <c r="AB92" i="1"/>
  <c r="AB91" i="1"/>
  <c r="W86" i="1"/>
  <c r="AB134" i="1"/>
  <c r="W89" i="1"/>
  <c r="V86" i="1"/>
  <c r="AF44" i="1"/>
  <c r="W42" i="1"/>
  <c r="T133" i="1"/>
  <c r="CR93" i="1"/>
  <c r="Q93" i="1" s="1"/>
  <c r="CS93" i="1"/>
  <c r="V89" i="1"/>
  <c r="U86" i="1"/>
  <c r="AB84" i="1"/>
  <c r="V42" i="1"/>
  <c r="AI44" i="1" s="1"/>
  <c r="S40" i="1"/>
  <c r="GX40" i="1"/>
  <c r="AC44" i="1"/>
  <c r="S142" i="1"/>
  <c r="AF129" i="1"/>
  <c r="AD93" i="1"/>
  <c r="AB93" i="1" s="1"/>
  <c r="T86" i="1"/>
  <c r="BY97" i="1"/>
  <c r="V80" i="1"/>
  <c r="CP35" i="1"/>
  <c r="O35" i="1" s="1"/>
  <c r="CP33" i="1"/>
  <c r="O33" i="1" s="1"/>
  <c r="R142" i="1"/>
  <c r="AE129" i="1"/>
  <c r="CR137" i="1"/>
  <c r="Q137" i="1" s="1"/>
  <c r="CS137" i="1"/>
  <c r="R137" i="1" s="1"/>
  <c r="GK137" i="1" s="1"/>
  <c r="CR133" i="1"/>
  <c r="Q133" i="1" s="1"/>
  <c r="CS133" i="1"/>
  <c r="R133" i="1" s="1"/>
  <c r="GK133" i="1" s="1"/>
  <c r="AD94" i="1"/>
  <c r="AB94" i="1" s="1"/>
  <c r="CP93" i="1"/>
  <c r="O93" i="1" s="1"/>
  <c r="GX86" i="1"/>
  <c r="S86" i="1"/>
  <c r="U80" i="1"/>
  <c r="T42" i="1"/>
  <c r="CP34" i="1"/>
  <c r="O34" i="1" s="1"/>
  <c r="GM34" i="1" s="1"/>
  <c r="GP34" i="1" s="1"/>
  <c r="AD90" i="1"/>
  <c r="AB90" i="1" s="1"/>
  <c r="GX33" i="1"/>
  <c r="AD85" i="1"/>
  <c r="AB85" i="1" s="1"/>
  <c r="AD37" i="1"/>
  <c r="AB37" i="1" s="1"/>
  <c r="AD81" i="1"/>
  <c r="AB81" i="1" s="1"/>
  <c r="AB34" i="1"/>
  <c r="CS33" i="1"/>
  <c r="R33" i="1" s="1"/>
  <c r="GK33" i="1" s="1"/>
  <c r="AD33" i="1"/>
  <c r="AB33" i="1" s="1"/>
  <c r="K569" i="8" l="1"/>
  <c r="J563" i="7"/>
  <c r="CP355" i="1"/>
  <c r="O355" i="1" s="1"/>
  <c r="BA484" i="1"/>
  <c r="CJ444" i="1"/>
  <c r="T773" i="8"/>
  <c r="K778" i="8" s="1"/>
  <c r="T767" i="7"/>
  <c r="J772" i="7" s="1"/>
  <c r="T1178" i="8"/>
  <c r="K1183" i="8" s="1"/>
  <c r="T1172" i="7"/>
  <c r="J1177" i="7" s="1"/>
  <c r="K446" i="8"/>
  <c r="J440" i="7"/>
  <c r="CZ335" i="1"/>
  <c r="Y335" i="1" s="1"/>
  <c r="CY335" i="1"/>
  <c r="X335" i="1" s="1"/>
  <c r="K130" i="8"/>
  <c r="J124" i="7"/>
  <c r="R1143" i="8"/>
  <c r="K1149" i="8" s="1"/>
  <c r="R1137" i="7"/>
  <c r="J1143" i="7" s="1"/>
  <c r="T135" i="8"/>
  <c r="K140" i="8" s="1"/>
  <c r="T129" i="7"/>
  <c r="J134" i="7" s="1"/>
  <c r="AI97" i="1"/>
  <c r="AI76" i="1" s="1"/>
  <c r="T45" i="8"/>
  <c r="K51" i="8" s="1"/>
  <c r="T39" i="7"/>
  <c r="J45" i="7" s="1"/>
  <c r="GM135" i="1"/>
  <c r="GP135" i="1" s="1"/>
  <c r="GM138" i="1"/>
  <c r="GP138" i="1" s="1"/>
  <c r="CP246" i="1"/>
  <c r="O246" i="1" s="1"/>
  <c r="GM244" i="1"/>
  <c r="GP244" i="1" s="1"/>
  <c r="R290" i="1"/>
  <c r="GK290" i="1" s="1"/>
  <c r="V373" i="8"/>
  <c r="V367" i="7"/>
  <c r="K375" i="8"/>
  <c r="J369" i="7"/>
  <c r="R396" i="8"/>
  <c r="K400" i="8" s="1"/>
  <c r="R390" i="7"/>
  <c r="J394" i="7" s="1"/>
  <c r="T314" i="8"/>
  <c r="K319" i="8" s="1"/>
  <c r="T308" i="7"/>
  <c r="J313" i="7" s="1"/>
  <c r="R380" i="8"/>
  <c r="K384" i="8" s="1"/>
  <c r="R374" i="7"/>
  <c r="J378" i="7" s="1"/>
  <c r="K484" i="8"/>
  <c r="J478" i="7"/>
  <c r="GM234" i="1"/>
  <c r="GP234" i="1" s="1"/>
  <c r="R388" i="8"/>
  <c r="K392" i="8" s="1"/>
  <c r="R382" i="7"/>
  <c r="J386" i="7" s="1"/>
  <c r="T524" i="8"/>
  <c r="K531" i="8" s="1"/>
  <c r="T518" i="7"/>
  <c r="J525" i="7" s="1"/>
  <c r="R612" i="7"/>
  <c r="J618" i="7" s="1"/>
  <c r="R618" i="8"/>
  <c r="K624" i="8" s="1"/>
  <c r="GM344" i="1"/>
  <c r="GP344" i="1" s="1"/>
  <c r="R353" i="1"/>
  <c r="V555" i="8"/>
  <c r="K563" i="8" s="1"/>
  <c r="V549" i="7"/>
  <c r="J557" i="7" s="1"/>
  <c r="R683" i="1"/>
  <c r="GK683" i="1" s="1"/>
  <c r="V974" i="8"/>
  <c r="V968" i="7"/>
  <c r="R750" i="8"/>
  <c r="K756" i="8" s="1"/>
  <c r="R744" i="7"/>
  <c r="J750" i="7" s="1"/>
  <c r="GM614" i="1"/>
  <c r="GP614" i="1" s="1"/>
  <c r="GM639" i="1"/>
  <c r="GP639" i="1" s="1"/>
  <c r="T806" i="8"/>
  <c r="K810" i="8" s="1"/>
  <c r="T800" i="7"/>
  <c r="J804" i="7" s="1"/>
  <c r="R637" i="8"/>
  <c r="K641" i="8" s="1"/>
  <c r="R631" i="7"/>
  <c r="J635" i="7" s="1"/>
  <c r="T730" i="8"/>
  <c r="K736" i="8" s="1"/>
  <c r="T724" i="7"/>
  <c r="J730" i="7" s="1"/>
  <c r="GM865" i="1"/>
  <c r="GP865" i="1" s="1"/>
  <c r="R856" i="1"/>
  <c r="V1143" i="8"/>
  <c r="K1151" i="8" s="1"/>
  <c r="V1137" i="7"/>
  <c r="J1145" i="7" s="1"/>
  <c r="R808" i="1"/>
  <c r="GK808" i="1" s="1"/>
  <c r="V1080" i="8"/>
  <c r="V1074" i="7"/>
  <c r="R958" i="8"/>
  <c r="K962" i="8" s="1"/>
  <c r="R952" i="7"/>
  <c r="J956" i="7" s="1"/>
  <c r="I959" i="7" s="1"/>
  <c r="T1143" i="8"/>
  <c r="K1150" i="8" s="1"/>
  <c r="T1137" i="7"/>
  <c r="J1144" i="7" s="1"/>
  <c r="T1004" i="8"/>
  <c r="K1008" i="8" s="1"/>
  <c r="T998" i="7"/>
  <c r="J1002" i="7" s="1"/>
  <c r="K98" i="8"/>
  <c r="J92" i="7"/>
  <c r="CZ81" i="1"/>
  <c r="Y81" i="1" s="1"/>
  <c r="CY81" i="1"/>
  <c r="X81" i="1" s="1"/>
  <c r="V176" i="8"/>
  <c r="V170" i="7"/>
  <c r="R94" i="1"/>
  <c r="GK94" i="1" s="1"/>
  <c r="K49" i="8"/>
  <c r="J43" i="7"/>
  <c r="V156" i="8"/>
  <c r="K164" i="8" s="1"/>
  <c r="V150" i="7"/>
  <c r="J158" i="7" s="1"/>
  <c r="R92" i="1"/>
  <c r="K269" i="8"/>
  <c r="J263" i="7"/>
  <c r="K137" i="8"/>
  <c r="J131" i="7"/>
  <c r="K368" i="8"/>
  <c r="J362" i="7"/>
  <c r="K594" i="8"/>
  <c r="J588" i="7"/>
  <c r="R348" i="1"/>
  <c r="V503" i="8"/>
  <c r="K510" i="8" s="1"/>
  <c r="V497" i="7"/>
  <c r="J504" i="7" s="1"/>
  <c r="BB329" i="1"/>
  <c r="F391" i="1"/>
  <c r="CY478" i="1"/>
  <c r="X478" i="1" s="1"/>
  <c r="K680" i="8"/>
  <c r="J674" i="7"/>
  <c r="R274" i="8"/>
  <c r="K277" i="8" s="1"/>
  <c r="R268" i="7"/>
  <c r="J271" i="7" s="1"/>
  <c r="L651" i="8"/>
  <c r="K645" i="7"/>
  <c r="CP336" i="1"/>
  <c r="O336" i="1" s="1"/>
  <c r="K460" i="8"/>
  <c r="J454" i="7"/>
  <c r="CP533" i="1"/>
  <c r="O533" i="1" s="1"/>
  <c r="K755" i="8"/>
  <c r="J749" i="7"/>
  <c r="CC516" i="1"/>
  <c r="AT536" i="1"/>
  <c r="L1125" i="8"/>
  <c r="K1119" i="7"/>
  <c r="CY683" i="1"/>
  <c r="X683" i="1" s="1"/>
  <c r="K976" i="8"/>
  <c r="J970" i="7"/>
  <c r="CZ683" i="1"/>
  <c r="Y683" i="1" s="1"/>
  <c r="V982" i="8"/>
  <c r="V976" i="7"/>
  <c r="R684" i="1"/>
  <c r="GK684" i="1" s="1"/>
  <c r="K1145" i="8"/>
  <c r="J1139" i="7"/>
  <c r="AH768" i="1"/>
  <c r="L1048" i="8"/>
  <c r="K1042" i="7"/>
  <c r="K1129" i="8"/>
  <c r="J1123" i="7"/>
  <c r="K899" i="8"/>
  <c r="J903" i="8" s="1"/>
  <c r="J893" i="7"/>
  <c r="K578" i="8"/>
  <c r="J572" i="7"/>
  <c r="CY356" i="1"/>
  <c r="X356" i="1" s="1"/>
  <c r="CZ356" i="1"/>
  <c r="Y356" i="1" s="1"/>
  <c r="CY615" i="1"/>
  <c r="X615" i="1" s="1"/>
  <c r="K807" i="8"/>
  <c r="J801" i="7"/>
  <c r="K814" i="8"/>
  <c r="J808" i="7"/>
  <c r="CY617" i="1"/>
  <c r="X617" i="1" s="1"/>
  <c r="CZ617" i="1"/>
  <c r="Y617" i="1" s="1"/>
  <c r="CY635" i="1"/>
  <c r="X635" i="1" s="1"/>
  <c r="K890" i="8"/>
  <c r="J884" i="7"/>
  <c r="R349" i="1"/>
  <c r="V513" i="8"/>
  <c r="K521" i="8" s="1"/>
  <c r="V507" i="7"/>
  <c r="J515" i="7" s="1"/>
  <c r="R93" i="1"/>
  <c r="V167" i="8"/>
  <c r="K173" i="8" s="1"/>
  <c r="V161" i="7"/>
  <c r="J167" i="7" s="1"/>
  <c r="L181" i="8"/>
  <c r="K175" i="7"/>
  <c r="R36" i="1"/>
  <c r="GK36" i="1" s="1"/>
  <c r="V55" i="8"/>
  <c r="V49" i="7"/>
  <c r="R107" i="8"/>
  <c r="K113" i="8" s="1"/>
  <c r="R101" i="7"/>
  <c r="J107" i="7" s="1"/>
  <c r="T183" i="8"/>
  <c r="K188" i="8" s="1"/>
  <c r="T177" i="7"/>
  <c r="J182" i="7" s="1"/>
  <c r="T274" i="8"/>
  <c r="K278" i="8" s="1"/>
  <c r="T268" i="7"/>
  <c r="J272" i="7" s="1"/>
  <c r="I274" i="7" s="1"/>
  <c r="CP221" i="1"/>
  <c r="O221" i="1" s="1"/>
  <c r="GM221" i="1" s="1"/>
  <c r="GP221" i="1" s="1"/>
  <c r="L473" i="8"/>
  <c r="K467" i="7"/>
  <c r="GM230" i="1"/>
  <c r="GP230" i="1" s="1"/>
  <c r="R217" i="1"/>
  <c r="GK217" i="1" s="1"/>
  <c r="V242" i="8"/>
  <c r="V236" i="7"/>
  <c r="T365" i="8"/>
  <c r="K370" i="8" s="1"/>
  <c r="T359" i="7"/>
  <c r="J364" i="7" s="1"/>
  <c r="R358" i="1"/>
  <c r="GK358" i="1" s="1"/>
  <c r="V585" i="8"/>
  <c r="V579" i="7"/>
  <c r="R356" i="1"/>
  <c r="GK356" i="1" s="1"/>
  <c r="V577" i="8"/>
  <c r="V571" i="7"/>
  <c r="R341" i="1"/>
  <c r="GK341" i="1" s="1"/>
  <c r="V482" i="8"/>
  <c r="V476" i="7"/>
  <c r="GM362" i="1"/>
  <c r="GP362" i="1" s="1"/>
  <c r="R475" i="8"/>
  <c r="K478" i="8" s="1"/>
  <c r="J481" i="8" s="1"/>
  <c r="R469" i="7"/>
  <c r="J472" i="7" s="1"/>
  <c r="CP727" i="1"/>
  <c r="O727" i="1" s="1"/>
  <c r="T696" i="8"/>
  <c r="K703" i="8" s="1"/>
  <c r="T690" i="7"/>
  <c r="J697" i="7" s="1"/>
  <c r="T492" i="8"/>
  <c r="K499" i="8" s="1"/>
  <c r="T486" i="7"/>
  <c r="J493" i="7" s="1"/>
  <c r="R789" i="8"/>
  <c r="K793" i="8" s="1"/>
  <c r="R783" i="7"/>
  <c r="J787" i="7" s="1"/>
  <c r="L870" i="8"/>
  <c r="K864" i="7"/>
  <c r="CP723" i="1"/>
  <c r="O723" i="1" s="1"/>
  <c r="GM723" i="1" s="1"/>
  <c r="GP723" i="1" s="1"/>
  <c r="K1014" i="8"/>
  <c r="J1008" i="7"/>
  <c r="R807" i="1"/>
  <c r="GK807" i="1" s="1"/>
  <c r="V1073" i="8"/>
  <c r="V1067" i="7"/>
  <c r="CB719" i="1"/>
  <c r="T820" i="8"/>
  <c r="K825" i="8" s="1"/>
  <c r="T814" i="7"/>
  <c r="J819" i="7" s="1"/>
  <c r="T934" i="8"/>
  <c r="K939" i="8" s="1"/>
  <c r="T928" i="7"/>
  <c r="J933" i="7" s="1"/>
  <c r="T896" i="8"/>
  <c r="K901" i="8" s="1"/>
  <c r="T890" i="7"/>
  <c r="J895" i="7" s="1"/>
  <c r="T1127" i="8"/>
  <c r="K1132" i="8" s="1"/>
  <c r="T1121" i="7"/>
  <c r="J1126" i="7" s="1"/>
  <c r="K185" i="8"/>
  <c r="J179" i="7"/>
  <c r="J223" i="8"/>
  <c r="J384" i="7"/>
  <c r="K390" i="8"/>
  <c r="V524" i="8"/>
  <c r="K532" i="8" s="1"/>
  <c r="V518" i="7"/>
  <c r="J526" i="7" s="1"/>
  <c r="R350" i="1"/>
  <c r="K640" i="8"/>
  <c r="J634" i="7"/>
  <c r="K168" i="8"/>
  <c r="J162" i="7"/>
  <c r="CY93" i="1"/>
  <c r="X93" i="1" s="1"/>
  <c r="CZ93" i="1"/>
  <c r="Y93" i="1" s="1"/>
  <c r="CY459" i="1"/>
  <c r="X459" i="1" s="1"/>
  <c r="K655" i="8"/>
  <c r="J649" i="7"/>
  <c r="CP607" i="1"/>
  <c r="O607" i="1" s="1"/>
  <c r="GM607" i="1" s="1"/>
  <c r="GP607" i="1" s="1"/>
  <c r="K784" i="8"/>
  <c r="J778" i="7"/>
  <c r="K752" i="8"/>
  <c r="J746" i="7"/>
  <c r="K961" i="8"/>
  <c r="J965" i="8" s="1"/>
  <c r="J955" i="7"/>
  <c r="K1164" i="8"/>
  <c r="J1158" i="7"/>
  <c r="R1073" i="8"/>
  <c r="K1076" i="8" s="1"/>
  <c r="R1067" i="7"/>
  <c r="J1070" i="7" s="1"/>
  <c r="GM217" i="1"/>
  <c r="GP217" i="1" s="1"/>
  <c r="R292" i="1"/>
  <c r="GK292" i="1" s="1"/>
  <c r="V388" i="8"/>
  <c r="V382" i="7"/>
  <c r="L590" i="8"/>
  <c r="K584" i="7"/>
  <c r="R696" i="8"/>
  <c r="K702" i="8" s="1"/>
  <c r="R690" i="7"/>
  <c r="J696" i="7" s="1"/>
  <c r="T789" i="8"/>
  <c r="K794" i="8" s="1"/>
  <c r="T783" i="7"/>
  <c r="J788" i="7" s="1"/>
  <c r="R918" i="8"/>
  <c r="K922" i="8" s="1"/>
  <c r="R912" i="7"/>
  <c r="J916" i="7" s="1"/>
  <c r="AS719" i="1"/>
  <c r="F746" i="1"/>
  <c r="K984" i="8"/>
  <c r="J978" i="7"/>
  <c r="K169" i="8"/>
  <c r="J163" i="7"/>
  <c r="L133" i="8"/>
  <c r="K127" i="7"/>
  <c r="K147" i="8"/>
  <c r="J141" i="7"/>
  <c r="T118" i="8"/>
  <c r="K124" i="8" s="1"/>
  <c r="T112" i="7"/>
  <c r="J118" i="7" s="1"/>
  <c r="R216" i="1"/>
  <c r="V232" i="8"/>
  <c r="K239" i="8" s="1"/>
  <c r="V226" i="7"/>
  <c r="J233" i="7" s="1"/>
  <c r="L265" i="8"/>
  <c r="K259" i="7"/>
  <c r="CP290" i="1"/>
  <c r="O290" i="1" s="1"/>
  <c r="R300" i="8"/>
  <c r="K303" i="8" s="1"/>
  <c r="J306" i="8" s="1"/>
  <c r="R294" i="7"/>
  <c r="J297" i="7" s="1"/>
  <c r="L312" i="8"/>
  <c r="K306" i="7"/>
  <c r="R365" i="8"/>
  <c r="K369" i="8" s="1"/>
  <c r="R359" i="7"/>
  <c r="J363" i="7" s="1"/>
  <c r="CP356" i="1"/>
  <c r="O356" i="1" s="1"/>
  <c r="K579" i="8"/>
  <c r="J573" i="7"/>
  <c r="T475" i="8"/>
  <c r="K479" i="8" s="1"/>
  <c r="T469" i="7"/>
  <c r="J473" i="7" s="1"/>
  <c r="GM469" i="1"/>
  <c r="GP469" i="1" s="1"/>
  <c r="CP680" i="1"/>
  <c r="O680" i="1" s="1"/>
  <c r="GM680" i="1" s="1"/>
  <c r="GP680" i="1" s="1"/>
  <c r="K953" i="8"/>
  <c r="J947" i="7"/>
  <c r="T740" i="8"/>
  <c r="K746" i="8" s="1"/>
  <c r="T734" i="7"/>
  <c r="J740" i="7" s="1"/>
  <c r="R492" i="8"/>
  <c r="K498" i="8" s="1"/>
  <c r="J502" i="8" s="1"/>
  <c r="R486" i="7"/>
  <c r="J492" i="7" s="1"/>
  <c r="I496" i="7" s="1"/>
  <c r="R635" i="1"/>
  <c r="GK635" i="1" s="1"/>
  <c r="V888" i="8"/>
  <c r="V882" i="7"/>
  <c r="L1025" i="8"/>
  <c r="K1019" i="7"/>
  <c r="GM623" i="1"/>
  <c r="GP623" i="1" s="1"/>
  <c r="GM807" i="1"/>
  <c r="GP807" i="1" s="1"/>
  <c r="R820" i="8"/>
  <c r="K824" i="8" s="1"/>
  <c r="R814" i="7"/>
  <c r="J818" i="7" s="1"/>
  <c r="R853" i="1"/>
  <c r="GK853" i="1" s="1"/>
  <c r="V1127" i="8"/>
  <c r="V1121" i="7"/>
  <c r="R682" i="1"/>
  <c r="GK682" i="1" s="1"/>
  <c r="V966" i="8"/>
  <c r="V960" i="7"/>
  <c r="R896" i="8"/>
  <c r="K900" i="8" s="1"/>
  <c r="R890" i="7"/>
  <c r="J894" i="7" s="1"/>
  <c r="I897" i="7" s="1"/>
  <c r="AF867" i="1"/>
  <c r="AF687" i="1"/>
  <c r="AF673" i="1" s="1"/>
  <c r="R724" i="1"/>
  <c r="GK724" i="1" s="1"/>
  <c r="V1019" i="8"/>
  <c r="V1013" i="7"/>
  <c r="R1127" i="8"/>
  <c r="K1131" i="8" s="1"/>
  <c r="R1121" i="7"/>
  <c r="J1125" i="7" s="1"/>
  <c r="CZ852" i="1"/>
  <c r="Y852" i="1" s="1"/>
  <c r="K109" i="8"/>
  <c r="J103" i="7"/>
  <c r="L627" i="8"/>
  <c r="K621" i="7"/>
  <c r="K539" i="8"/>
  <c r="J533" i="7"/>
  <c r="L501" i="8"/>
  <c r="K495" i="7"/>
  <c r="L141" i="8"/>
  <c r="K135" i="7"/>
  <c r="V662" i="8"/>
  <c r="K669" i="8" s="1"/>
  <c r="V656" i="7"/>
  <c r="J663" i="7" s="1"/>
  <c r="R466" i="1"/>
  <c r="K698" i="8"/>
  <c r="J692" i="7"/>
  <c r="GK336" i="1"/>
  <c r="K459" i="8"/>
  <c r="J453" i="7"/>
  <c r="R628" i="1"/>
  <c r="GK628" i="1" s="1"/>
  <c r="V848" i="8"/>
  <c r="V842" i="7"/>
  <c r="CP863" i="1"/>
  <c r="O863" i="1" s="1"/>
  <c r="J1072" i="8"/>
  <c r="R524" i="8"/>
  <c r="K530" i="8" s="1"/>
  <c r="R518" i="7"/>
  <c r="J524" i="7" s="1"/>
  <c r="GM681" i="1"/>
  <c r="GP681" i="1" s="1"/>
  <c r="R1004" i="8"/>
  <c r="K1007" i="8" s="1"/>
  <c r="R998" i="7"/>
  <c r="J1001" i="7" s="1"/>
  <c r="GK83" i="1"/>
  <c r="K122" i="8"/>
  <c r="J116" i="7"/>
  <c r="T1011" i="8"/>
  <c r="K1016" i="8" s="1"/>
  <c r="J1018" i="8" s="1"/>
  <c r="T1005" i="7"/>
  <c r="J1010" i="7" s="1"/>
  <c r="CZ630" i="1"/>
  <c r="Y630" i="1" s="1"/>
  <c r="K858" i="8"/>
  <c r="J852" i="7"/>
  <c r="CY630" i="1"/>
  <c r="X630" i="1" s="1"/>
  <c r="K977" i="8"/>
  <c r="J971" i="7"/>
  <c r="K621" i="8"/>
  <c r="J615" i="7"/>
  <c r="R781" i="8"/>
  <c r="K785" i="8" s="1"/>
  <c r="J788" i="8" s="1"/>
  <c r="R775" i="7"/>
  <c r="J779" i="7" s="1"/>
  <c r="R740" i="8"/>
  <c r="K745" i="8" s="1"/>
  <c r="J749" i="8" s="1"/>
  <c r="R734" i="7"/>
  <c r="J739" i="7" s="1"/>
  <c r="T672" i="8"/>
  <c r="K676" i="8" s="1"/>
  <c r="T666" i="7"/>
  <c r="J670" i="7" s="1"/>
  <c r="CP453" i="1"/>
  <c r="O453" i="1" s="1"/>
  <c r="K632" i="8"/>
  <c r="J626" i="7"/>
  <c r="T848" i="8"/>
  <c r="K853" i="8" s="1"/>
  <c r="T842" i="7"/>
  <c r="J847" i="7" s="1"/>
  <c r="R1065" i="8"/>
  <c r="K1069" i="8" s="1"/>
  <c r="R1059" i="7"/>
  <c r="J1063" i="7" s="1"/>
  <c r="I1066" i="7" s="1"/>
  <c r="T918" i="8"/>
  <c r="K923" i="8" s="1"/>
  <c r="T912" i="7"/>
  <c r="J917" i="7" s="1"/>
  <c r="CY232" i="1"/>
  <c r="X232" i="1" s="1"/>
  <c r="K344" i="8"/>
  <c r="J338" i="7"/>
  <c r="K262" i="8"/>
  <c r="J256" i="7"/>
  <c r="K335" i="8"/>
  <c r="J329" i="7"/>
  <c r="K425" i="8"/>
  <c r="J432" i="8" s="1"/>
  <c r="J419" i="7"/>
  <c r="L635" i="8"/>
  <c r="K629" i="7"/>
  <c r="V214" i="8"/>
  <c r="K221" i="8" s="1"/>
  <c r="V208" i="7"/>
  <c r="J215" i="7" s="1"/>
  <c r="R214" i="1"/>
  <c r="K367" i="8"/>
  <c r="J361" i="7"/>
  <c r="K382" i="8"/>
  <c r="J376" i="7"/>
  <c r="R474" i="1"/>
  <c r="GK474" i="1" s="1"/>
  <c r="V672" i="8"/>
  <c r="V666" i="7"/>
  <c r="K469" i="8"/>
  <c r="J463" i="7"/>
  <c r="K832" i="8"/>
  <c r="J826" i="7"/>
  <c r="V1088" i="8"/>
  <c r="V1082" i="7"/>
  <c r="R809" i="1"/>
  <c r="GK809" i="1" s="1"/>
  <c r="GM809" i="1" s="1"/>
  <c r="GP809" i="1" s="1"/>
  <c r="CY526" i="1"/>
  <c r="X526" i="1" s="1"/>
  <c r="K721" i="8"/>
  <c r="J715" i="7"/>
  <c r="CZ375" i="1"/>
  <c r="Y375" i="1" s="1"/>
  <c r="CY375" i="1"/>
  <c r="X375" i="1" s="1"/>
  <c r="GM375" i="1" s="1"/>
  <c r="GP375" i="1" s="1"/>
  <c r="K709" i="8"/>
  <c r="J703" i="7"/>
  <c r="V926" i="8"/>
  <c r="V920" i="7"/>
  <c r="R677" i="1"/>
  <c r="GK677" i="1" s="1"/>
  <c r="R630" i="1"/>
  <c r="GK630" i="1" s="1"/>
  <c r="V856" i="8"/>
  <c r="V850" i="7"/>
  <c r="CY851" i="1"/>
  <c r="X851" i="1" s="1"/>
  <c r="K1121" i="8"/>
  <c r="J1115" i="7"/>
  <c r="AH484" i="1"/>
  <c r="T781" i="8"/>
  <c r="K786" i="8" s="1"/>
  <c r="T775" i="7"/>
  <c r="J780" i="7" s="1"/>
  <c r="CP810" i="1"/>
  <c r="O810" i="1" s="1"/>
  <c r="K1099" i="8"/>
  <c r="J1093" i="7"/>
  <c r="T1065" i="8"/>
  <c r="K1070" i="8" s="1"/>
  <c r="T1059" i="7"/>
  <c r="J1064" i="7" s="1"/>
  <c r="K557" i="8"/>
  <c r="J551" i="7"/>
  <c r="T259" i="8"/>
  <c r="K264" i="8" s="1"/>
  <c r="T253" i="7"/>
  <c r="J258" i="7" s="1"/>
  <c r="K436" i="8"/>
  <c r="J430" i="7"/>
  <c r="L230" i="8"/>
  <c r="K224" i="7"/>
  <c r="K587" i="8"/>
  <c r="J581" i="7"/>
  <c r="R228" i="1"/>
  <c r="V322" i="8"/>
  <c r="K329" i="8" s="1"/>
  <c r="V316" i="7"/>
  <c r="J323" i="7" s="1"/>
  <c r="T267" i="8"/>
  <c r="K271" i="8" s="1"/>
  <c r="T261" i="7"/>
  <c r="J265" i="7" s="1"/>
  <c r="R215" i="1"/>
  <c r="V224" i="8"/>
  <c r="V218" i="7"/>
  <c r="L240" i="8"/>
  <c r="K234" i="7"/>
  <c r="K226" i="8"/>
  <c r="J220" i="7"/>
  <c r="K284" i="8"/>
  <c r="J278" i="7"/>
  <c r="R335" i="1"/>
  <c r="AE378" i="1" s="1"/>
  <c r="V444" i="8"/>
  <c r="K452" i="8" s="1"/>
  <c r="V438" i="7"/>
  <c r="J446" i="7" s="1"/>
  <c r="AH297" i="1"/>
  <c r="L378" i="8"/>
  <c r="K372" i="7"/>
  <c r="T249" i="8"/>
  <c r="K255" i="8" s="1"/>
  <c r="T243" i="7"/>
  <c r="J249" i="7" s="1"/>
  <c r="T242" i="8"/>
  <c r="K246" i="8" s="1"/>
  <c r="T236" i="7"/>
  <c r="J240" i="7" s="1"/>
  <c r="GM459" i="1"/>
  <c r="GP459" i="1" s="1"/>
  <c r="T653" i="8"/>
  <c r="K657" i="8" s="1"/>
  <c r="T647" i="7"/>
  <c r="J651" i="7" s="1"/>
  <c r="R531" i="1"/>
  <c r="V740" i="8"/>
  <c r="K747" i="8" s="1"/>
  <c r="V734" i="7"/>
  <c r="J741" i="7" s="1"/>
  <c r="T629" i="8"/>
  <c r="K634" i="8" s="1"/>
  <c r="T623" i="7"/>
  <c r="J628" i="7" s="1"/>
  <c r="CP373" i="1"/>
  <c r="O373" i="1" s="1"/>
  <c r="CJ641" i="1"/>
  <c r="GM464" i="1"/>
  <c r="GP464" i="1" s="1"/>
  <c r="K866" i="8"/>
  <c r="J860" i="7"/>
  <c r="CP621" i="1"/>
  <c r="O621" i="1" s="1"/>
  <c r="R522" i="1"/>
  <c r="AE536" i="1" s="1"/>
  <c r="V707" i="8"/>
  <c r="K715" i="8" s="1"/>
  <c r="V701" i="7"/>
  <c r="J709" i="7" s="1"/>
  <c r="R672" i="8"/>
  <c r="K675" i="8" s="1"/>
  <c r="R666" i="7"/>
  <c r="J669" i="7" s="1"/>
  <c r="R617" i="1"/>
  <c r="GK617" i="1" s="1"/>
  <c r="V813" i="8"/>
  <c r="V807" i="7"/>
  <c r="GM638" i="1"/>
  <c r="GP638" i="1" s="1"/>
  <c r="T904" i="8"/>
  <c r="K908" i="8" s="1"/>
  <c r="J910" i="8" s="1"/>
  <c r="T898" i="7"/>
  <c r="J902" i="7" s="1"/>
  <c r="R803" i="1"/>
  <c r="V1057" i="8"/>
  <c r="V1051" i="7"/>
  <c r="R848" i="8"/>
  <c r="K852" i="8" s="1"/>
  <c r="R842" i="7"/>
  <c r="J846" i="7" s="1"/>
  <c r="T990" i="8"/>
  <c r="K994" i="8" s="1"/>
  <c r="T984" i="7"/>
  <c r="J988" i="7" s="1"/>
  <c r="GM637" i="1"/>
  <c r="GP637" i="1" s="1"/>
  <c r="R764" i="1"/>
  <c r="V1042" i="8"/>
  <c r="V1036" i="7"/>
  <c r="K937" i="8"/>
  <c r="J931" i="7"/>
  <c r="GM677" i="1"/>
  <c r="GP677" i="1" s="1"/>
  <c r="R926" i="8"/>
  <c r="K930" i="8" s="1"/>
  <c r="J933" i="8" s="1"/>
  <c r="R920" i="7"/>
  <c r="J924" i="7" s="1"/>
  <c r="AP719" i="1"/>
  <c r="R1088" i="8"/>
  <c r="K1092" i="8" s="1"/>
  <c r="R1082" i="7"/>
  <c r="J1086" i="7" s="1"/>
  <c r="V79" i="8"/>
  <c r="K86" i="8" s="1"/>
  <c r="V73" i="7"/>
  <c r="J80" i="7" s="1"/>
  <c r="R42" i="1"/>
  <c r="V135" i="8"/>
  <c r="V129" i="7"/>
  <c r="R85" i="1"/>
  <c r="GK85" i="1" s="1"/>
  <c r="CY219" i="1"/>
  <c r="X219" i="1" s="1"/>
  <c r="GM219" i="1" s="1"/>
  <c r="GP219" i="1" s="1"/>
  <c r="K261" i="8"/>
  <c r="J255" i="7"/>
  <c r="CP229" i="1"/>
  <c r="O229" i="1" s="1"/>
  <c r="K546" i="8"/>
  <c r="J540" i="7"/>
  <c r="CY352" i="1"/>
  <c r="X352" i="1" s="1"/>
  <c r="GM352" i="1" s="1"/>
  <c r="GP352" i="1" s="1"/>
  <c r="CZ352" i="1"/>
  <c r="Y352" i="1" s="1"/>
  <c r="K217" i="8"/>
  <c r="J211" i="7"/>
  <c r="I217" i="7" s="1"/>
  <c r="K673" i="8"/>
  <c r="J667" i="7"/>
  <c r="K1172" i="8"/>
  <c r="J1166" i="7"/>
  <c r="CY862" i="1"/>
  <c r="X862" i="1" s="1"/>
  <c r="CZ862" i="1"/>
  <c r="Y862" i="1" s="1"/>
  <c r="K1082" i="8"/>
  <c r="J1076" i="7"/>
  <c r="CY808" i="1"/>
  <c r="X808" i="1" s="1"/>
  <c r="AK816" i="1" s="1"/>
  <c r="CZ808" i="1"/>
  <c r="Y808" i="1" s="1"/>
  <c r="CY678" i="1"/>
  <c r="X678" i="1" s="1"/>
  <c r="K936" i="8"/>
  <c r="J930" i="7"/>
  <c r="GK533" i="1"/>
  <c r="GM533" i="1" s="1"/>
  <c r="GP533" i="1" s="1"/>
  <c r="K754" i="8"/>
  <c r="J748" i="7"/>
  <c r="CP624" i="1"/>
  <c r="O624" i="1" s="1"/>
  <c r="K833" i="8"/>
  <c r="J827" i="7"/>
  <c r="L1102" i="8"/>
  <c r="K1096" i="7"/>
  <c r="R314" i="8"/>
  <c r="K318" i="8" s="1"/>
  <c r="R308" i="7"/>
  <c r="J312" i="7" s="1"/>
  <c r="R84" i="1"/>
  <c r="GK84" i="1" s="1"/>
  <c r="V128" i="8"/>
  <c r="V122" i="7"/>
  <c r="CP84" i="1"/>
  <c r="O84" i="1" s="1"/>
  <c r="GM236" i="1"/>
  <c r="GP236" i="1" s="1"/>
  <c r="R267" i="8"/>
  <c r="K270" i="8" s="1"/>
  <c r="R261" i="7"/>
  <c r="J264" i="7" s="1"/>
  <c r="AD254" i="1"/>
  <c r="CP335" i="1"/>
  <c r="O335" i="1" s="1"/>
  <c r="K447" i="8"/>
  <c r="J441" i="7"/>
  <c r="R249" i="8"/>
  <c r="K254" i="8" s="1"/>
  <c r="R243" i="7"/>
  <c r="J248" i="7" s="1"/>
  <c r="R242" i="8"/>
  <c r="K245" i="8" s="1"/>
  <c r="R236" i="7"/>
  <c r="J239" i="7" s="1"/>
  <c r="T322" i="8"/>
  <c r="K328" i="8" s="1"/>
  <c r="T316" i="7"/>
  <c r="J322" i="7" s="1"/>
  <c r="K416" i="8"/>
  <c r="J410" i="7"/>
  <c r="GM367" i="1"/>
  <c r="GP367" i="1" s="1"/>
  <c r="CP462" i="1"/>
  <c r="O462" i="1" s="1"/>
  <c r="GM462" i="1" s="1"/>
  <c r="GP462" i="1" s="1"/>
  <c r="K742" i="8"/>
  <c r="J736" i="7"/>
  <c r="I743" i="7" s="1"/>
  <c r="R629" i="8"/>
  <c r="K633" i="8" s="1"/>
  <c r="R623" i="7"/>
  <c r="J627" i="7" s="1"/>
  <c r="R458" i="1"/>
  <c r="GK458" i="1" s="1"/>
  <c r="V645" i="8"/>
  <c r="V639" i="7"/>
  <c r="K776" i="8"/>
  <c r="J770" i="7"/>
  <c r="K710" i="8"/>
  <c r="J704" i="7"/>
  <c r="R520" i="1"/>
  <c r="V696" i="8"/>
  <c r="K704" i="8" s="1"/>
  <c r="V690" i="7"/>
  <c r="J698" i="7" s="1"/>
  <c r="GM617" i="1"/>
  <c r="GP617" i="1" s="1"/>
  <c r="T1119" i="8"/>
  <c r="K1124" i="8" s="1"/>
  <c r="T1113" i="7"/>
  <c r="J1118" i="7" s="1"/>
  <c r="R904" i="8"/>
  <c r="K907" i="8" s="1"/>
  <c r="R898" i="7"/>
  <c r="J901" i="7" s="1"/>
  <c r="R864" i="1"/>
  <c r="GK864" i="1" s="1"/>
  <c r="V1178" i="8"/>
  <c r="V1172" i="7"/>
  <c r="T966" i="8"/>
  <c r="K971" i="8" s="1"/>
  <c r="T960" i="7"/>
  <c r="J965" i="7" s="1"/>
  <c r="T926" i="8"/>
  <c r="K931" i="8" s="1"/>
  <c r="T920" i="7"/>
  <c r="J925" i="7" s="1"/>
  <c r="AL816" i="1"/>
  <c r="AL800" i="1" s="1"/>
  <c r="T1088" i="8"/>
  <c r="K1093" i="8" s="1"/>
  <c r="J1095" i="8" s="1"/>
  <c r="T1082" i="7"/>
  <c r="J1087" i="7" s="1"/>
  <c r="CY684" i="1"/>
  <c r="X684" i="1" s="1"/>
  <c r="K292" i="8"/>
  <c r="J286" i="7"/>
  <c r="K81" i="8"/>
  <c r="J75" i="7"/>
  <c r="CY94" i="1"/>
  <c r="X94" i="1" s="1"/>
  <c r="K178" i="8"/>
  <c r="J172" i="7"/>
  <c r="CZ94" i="1"/>
  <c r="Y94" i="1" s="1"/>
  <c r="K252" i="8"/>
  <c r="J246" i="7"/>
  <c r="K324" i="8"/>
  <c r="J318" i="7"/>
  <c r="V62" i="8"/>
  <c r="V56" i="7"/>
  <c r="R37" i="1"/>
  <c r="GK37" i="1" s="1"/>
  <c r="K243" i="8"/>
  <c r="J237" i="7"/>
  <c r="L348" i="8"/>
  <c r="K342" i="7"/>
  <c r="K547" i="8"/>
  <c r="J541" i="7"/>
  <c r="CP449" i="1"/>
  <c r="O449" i="1" s="1"/>
  <c r="AB484" i="1" s="1"/>
  <c r="K623" i="8"/>
  <c r="J617" i="7"/>
  <c r="L394" i="8"/>
  <c r="K388" i="7"/>
  <c r="V380" i="8"/>
  <c r="V374" i="7"/>
  <c r="R291" i="1"/>
  <c r="GK291" i="1" s="1"/>
  <c r="V396" i="8"/>
  <c r="V390" i="7"/>
  <c r="R293" i="1"/>
  <c r="GK293" i="1" s="1"/>
  <c r="GM293" i="1" s="1"/>
  <c r="GP293" i="1" s="1"/>
  <c r="GK347" i="1"/>
  <c r="K496" i="8"/>
  <c r="J490" i="7"/>
  <c r="R449" i="1"/>
  <c r="V618" i="8"/>
  <c r="K626" i="8" s="1"/>
  <c r="V612" i="7"/>
  <c r="J620" i="7" s="1"/>
  <c r="K712" i="8"/>
  <c r="J706" i="7"/>
  <c r="CY37" i="1"/>
  <c r="X37" i="1" s="1"/>
  <c r="K64" i="8"/>
  <c r="J58" i="7"/>
  <c r="CZ37" i="1"/>
  <c r="Y37" i="1" s="1"/>
  <c r="GM37" i="1" s="1"/>
  <c r="GP37" i="1" s="1"/>
  <c r="CP291" i="1"/>
  <c r="O291" i="1" s="1"/>
  <c r="GM291" i="1" s="1"/>
  <c r="GP291" i="1" s="1"/>
  <c r="K383" i="8"/>
  <c r="J377" i="7"/>
  <c r="AH687" i="1"/>
  <c r="L932" i="8"/>
  <c r="K926" i="7"/>
  <c r="AO516" i="1"/>
  <c r="F540" i="1"/>
  <c r="L1168" i="8"/>
  <c r="K1162" i="7"/>
  <c r="K791" i="8"/>
  <c r="J796" i="8" s="1"/>
  <c r="J785" i="7"/>
  <c r="L795" i="8"/>
  <c r="K789" i="7"/>
  <c r="K398" i="8"/>
  <c r="J392" i="7"/>
  <c r="K920" i="8"/>
  <c r="J914" i="7"/>
  <c r="R1057" i="8"/>
  <c r="K1061" i="8" s="1"/>
  <c r="R1051" i="7"/>
  <c r="J1055" i="7" s="1"/>
  <c r="R183" i="8"/>
  <c r="K187" i="8" s="1"/>
  <c r="R177" i="7"/>
  <c r="J181" i="7" s="1"/>
  <c r="R221" i="1"/>
  <c r="GK221" i="1" s="1"/>
  <c r="V274" i="8"/>
  <c r="V268" i="7"/>
  <c r="L453" i="8"/>
  <c r="K447" i="7"/>
  <c r="K437" i="8"/>
  <c r="J431" i="7"/>
  <c r="R860" i="1"/>
  <c r="GK860" i="1" s="1"/>
  <c r="V1162" i="8"/>
  <c r="V1156" i="7"/>
  <c r="T1073" i="8"/>
  <c r="K1077" i="8" s="1"/>
  <c r="J1079" i="8" s="1"/>
  <c r="T1067" i="7"/>
  <c r="J1071" i="7" s="1"/>
  <c r="GM83" i="1"/>
  <c r="GP83" i="1" s="1"/>
  <c r="R118" i="8"/>
  <c r="K123" i="8" s="1"/>
  <c r="R112" i="7"/>
  <c r="J117" i="7" s="1"/>
  <c r="R226" i="1"/>
  <c r="GK226" i="1" s="1"/>
  <c r="V307" i="8"/>
  <c r="V301" i="7"/>
  <c r="R82" i="1"/>
  <c r="V107" i="8"/>
  <c r="K115" i="8" s="1"/>
  <c r="V101" i="7"/>
  <c r="J109" i="7" s="1"/>
  <c r="AH97" i="1"/>
  <c r="CP82" i="1"/>
  <c r="O82" i="1" s="1"/>
  <c r="K110" i="8"/>
  <c r="J104" i="7"/>
  <c r="GM89" i="1"/>
  <c r="GP89" i="1" s="1"/>
  <c r="R232" i="1"/>
  <c r="GK232" i="1" s="1"/>
  <c r="V342" i="8"/>
  <c r="V336" i="7"/>
  <c r="GM241" i="1"/>
  <c r="GP241" i="1" s="1"/>
  <c r="R223" i="1"/>
  <c r="GK223" i="1" s="1"/>
  <c r="V285" i="8"/>
  <c r="V279" i="7"/>
  <c r="T232" i="8"/>
  <c r="K238" i="8" s="1"/>
  <c r="T226" i="7"/>
  <c r="J232" i="7" s="1"/>
  <c r="L288" i="8"/>
  <c r="K282" i="7"/>
  <c r="T422" i="8"/>
  <c r="K429" i="8" s="1"/>
  <c r="T416" i="7"/>
  <c r="J423" i="7" s="1"/>
  <c r="T342" i="8"/>
  <c r="K347" i="8" s="1"/>
  <c r="T336" i="7"/>
  <c r="J341" i="7" s="1"/>
  <c r="R351" i="1"/>
  <c r="GK351" i="1" s="1"/>
  <c r="V535" i="8"/>
  <c r="V529" i="7"/>
  <c r="R322" i="8"/>
  <c r="K327" i="8" s="1"/>
  <c r="R316" i="7"/>
  <c r="J321" i="7" s="1"/>
  <c r="R455" i="8"/>
  <c r="K461" i="8" s="1"/>
  <c r="R449" i="7"/>
  <c r="J455" i="7" s="1"/>
  <c r="CZ353" i="1"/>
  <c r="Y353" i="1" s="1"/>
  <c r="CP460" i="1"/>
  <c r="O460" i="1" s="1"/>
  <c r="T513" i="8"/>
  <c r="K520" i="8" s="1"/>
  <c r="T507" i="7"/>
  <c r="J514" i="7" s="1"/>
  <c r="AD484" i="1"/>
  <c r="R645" i="8"/>
  <c r="K649" i="8" s="1"/>
  <c r="R639" i="7"/>
  <c r="J643" i="7" s="1"/>
  <c r="T799" i="8"/>
  <c r="K803" i="8" s="1"/>
  <c r="T793" i="7"/>
  <c r="J797" i="7" s="1"/>
  <c r="R679" i="1"/>
  <c r="GK679" i="1" s="1"/>
  <c r="V942" i="8"/>
  <c r="V936" i="7"/>
  <c r="T888" i="8"/>
  <c r="K893" i="8" s="1"/>
  <c r="T882" i="7"/>
  <c r="J887" i="7" s="1"/>
  <c r="GM618" i="1"/>
  <c r="GP618" i="1" s="1"/>
  <c r="R605" i="1"/>
  <c r="V773" i="8"/>
  <c r="V767" i="7"/>
  <c r="AD536" i="1"/>
  <c r="K699" i="8"/>
  <c r="J693" i="7"/>
  <c r="T830" i="8"/>
  <c r="K835" i="8" s="1"/>
  <c r="T824" i="7"/>
  <c r="J829" i="7" s="1"/>
  <c r="CP852" i="1"/>
  <c r="O852" i="1" s="1"/>
  <c r="GM852" i="1" s="1"/>
  <c r="GP852" i="1" s="1"/>
  <c r="GM863" i="1"/>
  <c r="GP863" i="1" s="1"/>
  <c r="R966" i="8"/>
  <c r="K970" i="8" s="1"/>
  <c r="R960" i="7"/>
  <c r="J964" i="7" s="1"/>
  <c r="K992" i="8"/>
  <c r="J986" i="7"/>
  <c r="R685" i="1"/>
  <c r="GK685" i="1" s="1"/>
  <c r="V990" i="8"/>
  <c r="V984" i="7"/>
  <c r="R678" i="1"/>
  <c r="GK678" i="1" s="1"/>
  <c r="V934" i="8"/>
  <c r="V928" i="7"/>
  <c r="T1104" i="8"/>
  <c r="K1109" i="8" s="1"/>
  <c r="T1098" i="7"/>
  <c r="J1103" i="7" s="1"/>
  <c r="CZ684" i="1"/>
  <c r="Y684" i="1" s="1"/>
  <c r="AL687" i="1" s="1"/>
  <c r="L279" i="8"/>
  <c r="K273" i="7"/>
  <c r="L305" i="8"/>
  <c r="K299" i="7"/>
  <c r="BD30" i="1"/>
  <c r="F69" i="1"/>
  <c r="V422" i="8"/>
  <c r="K430" i="8" s="1"/>
  <c r="V416" i="7"/>
  <c r="J424" i="7" s="1"/>
  <c r="R333" i="1"/>
  <c r="GM342" i="1"/>
  <c r="GP342" i="1" s="1"/>
  <c r="R95" i="1"/>
  <c r="GK95" i="1" s="1"/>
  <c r="GM95" i="1" s="1"/>
  <c r="GP95" i="1" s="1"/>
  <c r="V183" i="8"/>
  <c r="V177" i="7"/>
  <c r="K413" i="8"/>
  <c r="J407" i="7"/>
  <c r="V730" i="8"/>
  <c r="K737" i="8" s="1"/>
  <c r="V724" i="7"/>
  <c r="J731" i="7" s="1"/>
  <c r="R529" i="1"/>
  <c r="K753" i="8"/>
  <c r="J747" i="7"/>
  <c r="L420" i="8"/>
  <c r="K414" i="7"/>
  <c r="L575" i="8"/>
  <c r="K569" i="7"/>
  <c r="K505" i="8"/>
  <c r="J499" i="7"/>
  <c r="GM862" i="1"/>
  <c r="GP862" i="1" s="1"/>
  <c r="R1011" i="8"/>
  <c r="K1015" i="8" s="1"/>
  <c r="R1005" i="7"/>
  <c r="J1009" i="7" s="1"/>
  <c r="R619" i="1"/>
  <c r="GK619" i="1" s="1"/>
  <c r="V820" i="8"/>
  <c r="V814" i="7"/>
  <c r="K620" i="8"/>
  <c r="J614" i="7"/>
  <c r="K850" i="8"/>
  <c r="J855" i="8" s="1"/>
  <c r="J844" i="7"/>
  <c r="I849" i="7" s="1"/>
  <c r="K867" i="8"/>
  <c r="J861" i="7"/>
  <c r="K1137" i="8"/>
  <c r="J1131" i="7"/>
  <c r="CY854" i="1"/>
  <c r="X854" i="1" s="1"/>
  <c r="CZ854" i="1"/>
  <c r="Y854" i="1" s="1"/>
  <c r="L948" i="8"/>
  <c r="K942" i="7"/>
  <c r="V1004" i="8"/>
  <c r="V998" i="7"/>
  <c r="R722" i="1"/>
  <c r="K1006" i="8"/>
  <c r="J1010" i="8" s="1"/>
  <c r="J1000" i="7"/>
  <c r="CY632" i="1"/>
  <c r="X632" i="1" s="1"/>
  <c r="K874" i="8"/>
  <c r="J868" i="7"/>
  <c r="CZ632" i="1"/>
  <c r="Y632" i="1" s="1"/>
  <c r="T107" i="8"/>
  <c r="K114" i="8" s="1"/>
  <c r="T101" i="7"/>
  <c r="J108" i="7" s="1"/>
  <c r="GM227" i="1"/>
  <c r="GP227" i="1" s="1"/>
  <c r="CY605" i="1"/>
  <c r="X605" i="1" s="1"/>
  <c r="K775" i="8"/>
  <c r="J769" i="7"/>
  <c r="V830" i="8"/>
  <c r="V824" i="7"/>
  <c r="R624" i="1"/>
  <c r="GK624" i="1" s="1"/>
  <c r="R91" i="1"/>
  <c r="V145" i="8"/>
  <c r="K153" i="8" s="1"/>
  <c r="V139" i="7"/>
  <c r="J147" i="7" s="1"/>
  <c r="AJ97" i="1"/>
  <c r="K101" i="8"/>
  <c r="J95" i="7"/>
  <c r="R232" i="8"/>
  <c r="K237" i="8" s="1"/>
  <c r="R226" i="7"/>
  <c r="J231" i="7" s="1"/>
  <c r="R422" i="8"/>
  <c r="K428" i="8" s="1"/>
  <c r="R416" i="7"/>
  <c r="J422" i="7" s="1"/>
  <c r="CP351" i="1"/>
  <c r="O351" i="1" s="1"/>
  <c r="K538" i="8"/>
  <c r="J532" i="7"/>
  <c r="GM245" i="1"/>
  <c r="GP245" i="1" s="1"/>
  <c r="GM336" i="1"/>
  <c r="GP336" i="1" s="1"/>
  <c r="T455" i="8"/>
  <c r="K462" i="8" s="1"/>
  <c r="T449" i="7"/>
  <c r="J456" i="7" s="1"/>
  <c r="T592" i="8"/>
  <c r="K597" i="8" s="1"/>
  <c r="T586" i="7"/>
  <c r="J591" i="7" s="1"/>
  <c r="CY353" i="1"/>
  <c r="X353" i="1" s="1"/>
  <c r="T679" i="8"/>
  <c r="K685" i="8" s="1"/>
  <c r="T673" i="7"/>
  <c r="J679" i="7" s="1"/>
  <c r="R411" i="8"/>
  <c r="K417" i="8" s="1"/>
  <c r="R405" i="7"/>
  <c r="J411" i="7" s="1"/>
  <c r="R478" i="1"/>
  <c r="V679" i="8"/>
  <c r="K686" i="8" s="1"/>
  <c r="V673" i="7"/>
  <c r="J680" i="7" s="1"/>
  <c r="R513" i="8"/>
  <c r="K519" i="8" s="1"/>
  <c r="R507" i="7"/>
  <c r="J513" i="7" s="1"/>
  <c r="GM473" i="1"/>
  <c r="GP473" i="1" s="1"/>
  <c r="R799" i="8"/>
  <c r="K802" i="8" s="1"/>
  <c r="R793" i="7"/>
  <c r="J796" i="7" s="1"/>
  <c r="GM480" i="1"/>
  <c r="GP480" i="1" s="1"/>
  <c r="GM679" i="1"/>
  <c r="GP679" i="1" s="1"/>
  <c r="CP630" i="1"/>
  <c r="O630" i="1" s="1"/>
  <c r="GM630" i="1" s="1"/>
  <c r="GP630" i="1" s="1"/>
  <c r="AD641" i="1"/>
  <c r="T707" i="8"/>
  <c r="K714" i="8" s="1"/>
  <c r="T701" i="7"/>
  <c r="J708" i="7" s="1"/>
  <c r="GM624" i="1"/>
  <c r="GP624" i="1" s="1"/>
  <c r="R830" i="8"/>
  <c r="K834" i="8" s="1"/>
  <c r="R824" i="7"/>
  <c r="J828" i="7" s="1"/>
  <c r="R950" i="8"/>
  <c r="K954" i="8" s="1"/>
  <c r="R944" i="7"/>
  <c r="J948" i="7" s="1"/>
  <c r="K1181" i="8"/>
  <c r="J1175" i="7"/>
  <c r="CP683" i="1"/>
  <c r="O683" i="1" s="1"/>
  <c r="GM683" i="1" s="1"/>
  <c r="GP683" i="1" s="1"/>
  <c r="AD687" i="1"/>
  <c r="CP684" i="1"/>
  <c r="O684" i="1" s="1"/>
  <c r="R1104" i="8"/>
  <c r="K1108" i="8" s="1"/>
  <c r="R1098" i="7"/>
  <c r="J1102" i="7" s="1"/>
  <c r="AH729" i="1"/>
  <c r="AH719" i="1" s="1"/>
  <c r="R526" i="1"/>
  <c r="V720" i="8"/>
  <c r="K727" i="8" s="1"/>
  <c r="V714" i="7"/>
  <c r="J721" i="7" s="1"/>
  <c r="CZ36" i="1"/>
  <c r="Y36" i="1" s="1"/>
  <c r="K57" i="8"/>
  <c r="J51" i="7"/>
  <c r="CY36" i="1"/>
  <c r="X36" i="1" s="1"/>
  <c r="CY338" i="1"/>
  <c r="X338" i="1" s="1"/>
  <c r="K468" i="8"/>
  <c r="J462" i="7"/>
  <c r="K251" i="8"/>
  <c r="J258" i="8" s="1"/>
  <c r="J245" i="7"/>
  <c r="CP333" i="1"/>
  <c r="O333" i="1" s="1"/>
  <c r="GK355" i="1"/>
  <c r="K570" i="8"/>
  <c r="J564" i="7"/>
  <c r="V1104" i="8"/>
  <c r="V1098" i="7"/>
  <c r="R812" i="1"/>
  <c r="GK812" i="1" s="1"/>
  <c r="R609" i="1"/>
  <c r="GK609" i="1" s="1"/>
  <c r="GM609" i="1" s="1"/>
  <c r="GP609" i="1" s="1"/>
  <c r="V789" i="8"/>
  <c r="V783" i="7"/>
  <c r="L836" i="8"/>
  <c r="K830" i="7"/>
  <c r="CP613" i="1"/>
  <c r="O613" i="1" s="1"/>
  <c r="GM613" i="1" s="1"/>
  <c r="GP613" i="1" s="1"/>
  <c r="K801" i="8"/>
  <c r="J805" i="8" s="1"/>
  <c r="J795" i="7"/>
  <c r="L1094" i="8"/>
  <c r="K1088" i="7"/>
  <c r="V872" i="8"/>
  <c r="V866" i="7"/>
  <c r="R632" i="1"/>
  <c r="GK632" i="1" s="1"/>
  <c r="CP526" i="1"/>
  <c r="O526" i="1" s="1"/>
  <c r="CP353" i="1"/>
  <c r="O353" i="1" s="1"/>
  <c r="K558" i="8"/>
  <c r="J552" i="7"/>
  <c r="R730" i="8"/>
  <c r="K735" i="8" s="1"/>
  <c r="R724" i="7"/>
  <c r="J729" i="7" s="1"/>
  <c r="CP474" i="1"/>
  <c r="O474" i="1" s="1"/>
  <c r="GM474" i="1" s="1"/>
  <c r="GP474" i="1" s="1"/>
  <c r="K674" i="8"/>
  <c r="J668" i="7"/>
  <c r="K1180" i="8"/>
  <c r="J1174" i="7"/>
  <c r="CP619" i="1"/>
  <c r="O619" i="1" s="1"/>
  <c r="GM619" i="1" s="1"/>
  <c r="GP619" i="1" s="1"/>
  <c r="K823" i="8"/>
  <c r="J817" i="7"/>
  <c r="CP348" i="1"/>
  <c r="O348" i="1" s="1"/>
  <c r="K507" i="8"/>
  <c r="J501" i="7"/>
  <c r="CP91" i="1"/>
  <c r="O91" i="1" s="1"/>
  <c r="K148" i="8"/>
  <c r="J142" i="7"/>
  <c r="R219" i="1"/>
  <c r="GK219" i="1" s="1"/>
  <c r="V259" i="8"/>
  <c r="V253" i="7"/>
  <c r="K283" i="8"/>
  <c r="J277" i="7"/>
  <c r="K309" i="8"/>
  <c r="J303" i="7"/>
  <c r="AG254" i="1"/>
  <c r="R214" i="8"/>
  <c r="K219" i="8" s="1"/>
  <c r="R208" i="7"/>
  <c r="J213" i="7" s="1"/>
  <c r="L564" i="8"/>
  <c r="K558" i="7"/>
  <c r="GM359" i="1"/>
  <c r="GP359" i="1" s="1"/>
  <c r="R592" i="8"/>
  <c r="K596" i="8" s="1"/>
  <c r="J599" i="8" s="1"/>
  <c r="R586" i="7"/>
  <c r="J590" i="7" s="1"/>
  <c r="K568" i="8"/>
  <c r="J562" i="7"/>
  <c r="GM482" i="1"/>
  <c r="GP482" i="1" s="1"/>
  <c r="T720" i="8"/>
  <c r="K726" i="8" s="1"/>
  <c r="T714" i="7"/>
  <c r="J720" i="7" s="1"/>
  <c r="GM363" i="1"/>
  <c r="GP363" i="1" s="1"/>
  <c r="T411" i="8"/>
  <c r="K418" i="8" s="1"/>
  <c r="T405" i="7"/>
  <c r="J412" i="7" s="1"/>
  <c r="CP478" i="1"/>
  <c r="O478" i="1" s="1"/>
  <c r="K681" i="8"/>
  <c r="J675" i="7"/>
  <c r="GM456" i="1"/>
  <c r="GP456" i="1" s="1"/>
  <c r="AH641" i="1"/>
  <c r="AH602" i="1" s="1"/>
  <c r="L844" i="8"/>
  <c r="K838" i="7"/>
  <c r="R707" i="8"/>
  <c r="K713" i="8" s="1"/>
  <c r="R701" i="7"/>
  <c r="J707" i="7" s="1"/>
  <c r="T838" i="8"/>
  <c r="K843" i="8" s="1"/>
  <c r="T832" i="7"/>
  <c r="J837" i="7" s="1"/>
  <c r="CP856" i="1"/>
  <c r="O856" i="1" s="1"/>
  <c r="K1146" i="8"/>
  <c r="J1140" i="7"/>
  <c r="T950" i="8"/>
  <c r="K955" i="8" s="1"/>
  <c r="T944" i="7"/>
  <c r="J949" i="7" s="1"/>
  <c r="K1021" i="8"/>
  <c r="J1015" i="7"/>
  <c r="K1044" i="8"/>
  <c r="J1038" i="7"/>
  <c r="K1022" i="8"/>
  <c r="J1016" i="7"/>
  <c r="T1162" i="8"/>
  <c r="K1167" i="8" s="1"/>
  <c r="T1156" i="7"/>
  <c r="J1161" i="7" s="1"/>
  <c r="CY864" i="1"/>
  <c r="X864" i="1" s="1"/>
  <c r="K48" i="8"/>
  <c r="J54" i="8" s="1"/>
  <c r="J42" i="7"/>
  <c r="GK229" i="1"/>
  <c r="GM229" i="1" s="1"/>
  <c r="GP229" i="1" s="1"/>
  <c r="K336" i="8"/>
  <c r="J330" i="7"/>
  <c r="W129" i="1"/>
  <c r="F166" i="1"/>
  <c r="K732" i="8"/>
  <c r="J726" i="7"/>
  <c r="K515" i="8"/>
  <c r="J509" i="7"/>
  <c r="CZ458" i="1"/>
  <c r="Y458" i="1" s="1"/>
  <c r="K647" i="8"/>
  <c r="J641" i="7"/>
  <c r="K663" i="8"/>
  <c r="J671" i="8" s="1"/>
  <c r="J657" i="7"/>
  <c r="BB286" i="1"/>
  <c r="BB408" i="1"/>
  <c r="F310" i="1"/>
  <c r="CZ726" i="1"/>
  <c r="Y726" i="1" s="1"/>
  <c r="K1029" i="8"/>
  <c r="J1023" i="7"/>
  <c r="CY726" i="1"/>
  <c r="X726" i="1" s="1"/>
  <c r="J636" i="8"/>
  <c r="K968" i="8"/>
  <c r="J962" i="7"/>
  <c r="K822" i="8"/>
  <c r="J827" i="8" s="1"/>
  <c r="J816" i="7"/>
  <c r="V1027" i="8"/>
  <c r="V1021" i="7"/>
  <c r="R726" i="1"/>
  <c r="GK726" i="1" s="1"/>
  <c r="K1106" i="8"/>
  <c r="J1100" i="7"/>
  <c r="R634" i="1"/>
  <c r="GK634" i="1" s="1"/>
  <c r="V880" i="8"/>
  <c r="V874" i="7"/>
  <c r="K1156" i="8"/>
  <c r="J1150" i="7"/>
  <c r="CZ858" i="1"/>
  <c r="Y858" i="1" s="1"/>
  <c r="CY858" i="1"/>
  <c r="X858" i="1" s="1"/>
  <c r="GM858" i="1" s="1"/>
  <c r="GP858" i="1" s="1"/>
  <c r="T1057" i="8"/>
  <c r="K1062" i="8" s="1"/>
  <c r="T1051" i="7"/>
  <c r="J1056" i="7" s="1"/>
  <c r="R45" i="8"/>
  <c r="K50" i="8" s="1"/>
  <c r="R39" i="7"/>
  <c r="J44" i="7" s="1"/>
  <c r="L442" i="8"/>
  <c r="K436" i="7"/>
  <c r="GM808" i="1"/>
  <c r="GP808" i="1" s="1"/>
  <c r="CY454" i="1"/>
  <c r="X454" i="1" s="1"/>
  <c r="GM454" i="1" s="1"/>
  <c r="GP454" i="1" s="1"/>
  <c r="CZ454" i="1"/>
  <c r="Y454" i="1" s="1"/>
  <c r="CP216" i="1"/>
  <c r="O216" i="1" s="1"/>
  <c r="K234" i="8"/>
  <c r="J241" i="8" s="1"/>
  <c r="J228" i="7"/>
  <c r="K227" i="8"/>
  <c r="J221" i="7"/>
  <c r="T300" i="8"/>
  <c r="K304" i="8" s="1"/>
  <c r="T294" i="7"/>
  <c r="J298" i="7" s="1"/>
  <c r="I300" i="7" s="1"/>
  <c r="CP36" i="1"/>
  <c r="O36" i="1" s="1"/>
  <c r="T79" i="8"/>
  <c r="K85" i="8" s="1"/>
  <c r="T73" i="7"/>
  <c r="J79" i="7" s="1"/>
  <c r="R135" i="8"/>
  <c r="K139" i="8" s="1"/>
  <c r="R129" i="7"/>
  <c r="J133" i="7" s="1"/>
  <c r="I136" i="7" s="1"/>
  <c r="T156" i="8"/>
  <c r="K163" i="8" s="1"/>
  <c r="T150" i="7"/>
  <c r="J157" i="7" s="1"/>
  <c r="Q129" i="1"/>
  <c r="R227" i="1"/>
  <c r="GK227" i="1" s="1"/>
  <c r="V314" i="8"/>
  <c r="V308" i="7"/>
  <c r="T214" i="8"/>
  <c r="K220" i="8" s="1"/>
  <c r="T208" i="7"/>
  <c r="J214" i="7" s="1"/>
  <c r="GM295" i="1"/>
  <c r="GP295" i="1" s="1"/>
  <c r="L542" i="8"/>
  <c r="K536" i="7"/>
  <c r="T503" i="8"/>
  <c r="K509" i="8" s="1"/>
  <c r="T497" i="7"/>
  <c r="J503" i="7" s="1"/>
  <c r="GM337" i="1"/>
  <c r="GP337" i="1" s="1"/>
  <c r="AC484" i="1"/>
  <c r="AC444" i="1" s="1"/>
  <c r="T662" i="8"/>
  <c r="K668" i="8" s="1"/>
  <c r="T656" i="7"/>
  <c r="J662" i="7" s="1"/>
  <c r="K882" i="8"/>
  <c r="J876" i="7"/>
  <c r="R631" i="1"/>
  <c r="GK631" i="1" s="1"/>
  <c r="V864" i="8"/>
  <c r="V858" i="7"/>
  <c r="R626" i="1"/>
  <c r="GK626" i="1" s="1"/>
  <c r="V838" i="8"/>
  <c r="V832" i="7"/>
  <c r="R838" i="8"/>
  <c r="K842" i="8" s="1"/>
  <c r="R832" i="7"/>
  <c r="J836" i="7" s="1"/>
  <c r="T942" i="8"/>
  <c r="K947" i="8" s="1"/>
  <c r="T936" i="7"/>
  <c r="J941" i="7" s="1"/>
  <c r="AH816" i="1"/>
  <c r="L1086" i="8"/>
  <c r="K1080" i="7"/>
  <c r="R1162" i="8"/>
  <c r="K1166" i="8" s="1"/>
  <c r="R1156" i="7"/>
  <c r="J1160" i="7" s="1"/>
  <c r="GM810" i="1"/>
  <c r="GP810" i="1" s="1"/>
  <c r="R1096" i="8"/>
  <c r="K1100" i="8" s="1"/>
  <c r="R1090" i="7"/>
  <c r="J1094" i="7" s="1"/>
  <c r="V96" i="8"/>
  <c r="K104" i="8" s="1"/>
  <c r="V90" i="7"/>
  <c r="J98" i="7" s="1"/>
  <c r="R81" i="1"/>
  <c r="CB76" i="1"/>
  <c r="AS97" i="1"/>
  <c r="K516" i="8"/>
  <c r="J510" i="7"/>
  <c r="K526" i="8"/>
  <c r="J520" i="7"/>
  <c r="K345" i="8"/>
  <c r="J339" i="7"/>
  <c r="GK224" i="1"/>
  <c r="K294" i="8"/>
  <c r="J288" i="7"/>
  <c r="K316" i="8"/>
  <c r="J321" i="8" s="1"/>
  <c r="J310" i="7"/>
  <c r="GK352" i="1"/>
  <c r="K548" i="8"/>
  <c r="J542" i="7"/>
  <c r="L1152" i="8"/>
  <c r="K1146" i="7"/>
  <c r="K952" i="8"/>
  <c r="J957" i="8" s="1"/>
  <c r="J946" i="7"/>
  <c r="L956" i="8"/>
  <c r="K950" i="7"/>
  <c r="BC761" i="1"/>
  <c r="F784" i="1"/>
  <c r="K969" i="8"/>
  <c r="J963" i="7"/>
  <c r="K435" i="8"/>
  <c r="J429" i="7"/>
  <c r="T958" i="8"/>
  <c r="K963" i="8" s="1"/>
  <c r="T952" i="7"/>
  <c r="J957" i="7" s="1"/>
  <c r="K391" i="8"/>
  <c r="J385" i="7"/>
  <c r="L165" i="8"/>
  <c r="K159" i="7"/>
  <c r="R290" i="8"/>
  <c r="K295" i="8" s="1"/>
  <c r="R284" i="7"/>
  <c r="J289" i="7" s="1"/>
  <c r="R332" i="8"/>
  <c r="K337" i="8" s="1"/>
  <c r="J341" i="8" s="1"/>
  <c r="R326" i="7"/>
  <c r="J331" i="7" s="1"/>
  <c r="L488" i="8"/>
  <c r="K482" i="7"/>
  <c r="GM33" i="1"/>
  <c r="GP33" i="1" s="1"/>
  <c r="R79" i="8"/>
  <c r="K84" i="8" s="1"/>
  <c r="R73" i="7"/>
  <c r="J78" i="7" s="1"/>
  <c r="GM94" i="1"/>
  <c r="GP94" i="1" s="1"/>
  <c r="CP228" i="1"/>
  <c r="O228" i="1" s="1"/>
  <c r="K325" i="8"/>
  <c r="J319" i="7"/>
  <c r="R156" i="8"/>
  <c r="K162" i="8" s="1"/>
  <c r="R150" i="7"/>
  <c r="J156" i="7" s="1"/>
  <c r="T290" i="8"/>
  <c r="K296" i="8" s="1"/>
  <c r="T284" i="7"/>
  <c r="J290" i="7" s="1"/>
  <c r="CP235" i="1"/>
  <c r="O235" i="1" s="1"/>
  <c r="T396" i="8"/>
  <c r="K401" i="8" s="1"/>
  <c r="T390" i="7"/>
  <c r="J395" i="7" s="1"/>
  <c r="T332" i="8"/>
  <c r="K338" i="8" s="1"/>
  <c r="T326" i="7"/>
  <c r="J332" i="7" s="1"/>
  <c r="T380" i="8"/>
  <c r="K385" i="8" s="1"/>
  <c r="T374" i="7"/>
  <c r="J379" i="7" s="1"/>
  <c r="GM340" i="1"/>
  <c r="GP340" i="1" s="1"/>
  <c r="K537" i="8"/>
  <c r="J531" i="7"/>
  <c r="T466" i="8"/>
  <c r="K472" i="8" s="1"/>
  <c r="T460" i="7"/>
  <c r="J466" i="7" s="1"/>
  <c r="K438" i="8"/>
  <c r="J432" i="7"/>
  <c r="R503" i="8"/>
  <c r="K508" i="8" s="1"/>
  <c r="R497" i="7"/>
  <c r="J502" i="7" s="1"/>
  <c r="T388" i="8"/>
  <c r="K393" i="8" s="1"/>
  <c r="T382" i="7"/>
  <c r="J387" i="7" s="1"/>
  <c r="T618" i="8"/>
  <c r="K625" i="8" s="1"/>
  <c r="T612" i="7"/>
  <c r="J619" i="7" s="1"/>
  <c r="GM461" i="1"/>
  <c r="GP461" i="1" s="1"/>
  <c r="R662" i="8"/>
  <c r="K667" i="8" s="1"/>
  <c r="R656" i="7"/>
  <c r="J661" i="7" s="1"/>
  <c r="T750" i="8"/>
  <c r="K757" i="8" s="1"/>
  <c r="T744" i="7"/>
  <c r="J751" i="7" s="1"/>
  <c r="R615" i="1"/>
  <c r="GK615" i="1" s="1"/>
  <c r="V806" i="8"/>
  <c r="V800" i="7"/>
  <c r="GM457" i="1"/>
  <c r="GP457" i="1" s="1"/>
  <c r="CP631" i="1"/>
  <c r="O631" i="1" s="1"/>
  <c r="GM611" i="1"/>
  <c r="GP611" i="1" s="1"/>
  <c r="T637" i="8"/>
  <c r="K642" i="8" s="1"/>
  <c r="J644" i="8" s="1"/>
  <c r="T631" i="7"/>
  <c r="J636" i="7" s="1"/>
  <c r="K921" i="8"/>
  <c r="J915" i="7"/>
  <c r="R942" i="8"/>
  <c r="K946" i="8" s="1"/>
  <c r="J949" i="8" s="1"/>
  <c r="R936" i="7"/>
  <c r="J940" i="7" s="1"/>
  <c r="I943" i="7" s="1"/>
  <c r="CP812" i="1"/>
  <c r="O812" i="1" s="1"/>
  <c r="GM812" i="1" s="1"/>
  <c r="GP812" i="1" s="1"/>
  <c r="K1107" i="8"/>
  <c r="J1101" i="7"/>
  <c r="T1096" i="8"/>
  <c r="K1101" i="8" s="1"/>
  <c r="J1103" i="8" s="1"/>
  <c r="T1090" i="7"/>
  <c r="J1095" i="7" s="1"/>
  <c r="I1097" i="7" s="1"/>
  <c r="K120" i="8"/>
  <c r="J114" i="7"/>
  <c r="V249" i="8"/>
  <c r="K256" i="8" s="1"/>
  <c r="V243" i="7"/>
  <c r="J250" i="7" s="1"/>
  <c r="R218" i="1"/>
  <c r="K159" i="8"/>
  <c r="J166" i="8" s="1"/>
  <c r="J153" i="7"/>
  <c r="T72" i="8"/>
  <c r="K76" i="8" s="1"/>
  <c r="J78" i="8" s="1"/>
  <c r="T66" i="7"/>
  <c r="J70" i="7" s="1"/>
  <c r="I72" i="7" s="1"/>
  <c r="K527" i="8"/>
  <c r="J521" i="7"/>
  <c r="K648" i="8"/>
  <c r="J642" i="7"/>
  <c r="J280" i="8"/>
  <c r="K731" i="8"/>
  <c r="J725" i="7"/>
  <c r="K504" i="8"/>
  <c r="J498" i="7"/>
  <c r="CY685" i="1"/>
  <c r="X685" i="1" s="1"/>
  <c r="K991" i="8"/>
  <c r="J985" i="7"/>
  <c r="F786" i="1"/>
  <c r="AT761" i="1"/>
  <c r="J465" i="8"/>
  <c r="K840" i="8"/>
  <c r="J834" i="7"/>
  <c r="L980" i="8"/>
  <c r="K974" i="7"/>
  <c r="V729" i="1"/>
  <c r="AI719" i="1"/>
  <c r="AI30" i="1"/>
  <c r="V44" i="1"/>
  <c r="BA687" i="1"/>
  <c r="CJ673" i="1"/>
  <c r="W729" i="1"/>
  <c r="AJ719" i="1"/>
  <c r="AD719" i="1"/>
  <c r="Q729" i="1"/>
  <c r="V297" i="1"/>
  <c r="AI286" i="1"/>
  <c r="CJ602" i="1"/>
  <c r="BA641" i="1"/>
  <c r="AG208" i="1"/>
  <c r="T254" i="1"/>
  <c r="AJ602" i="1"/>
  <c r="W641" i="1"/>
  <c r="W297" i="1"/>
  <c r="AJ286" i="1"/>
  <c r="CJ208" i="1"/>
  <c r="BA254" i="1"/>
  <c r="Q254" i="1"/>
  <c r="AD208" i="1"/>
  <c r="AB816" i="1"/>
  <c r="U816" i="1"/>
  <c r="AH800" i="1"/>
  <c r="Q687" i="1"/>
  <c r="AD673" i="1"/>
  <c r="U641" i="1"/>
  <c r="AH286" i="1"/>
  <c r="U297" i="1"/>
  <c r="W97" i="1"/>
  <c r="AJ76" i="1"/>
  <c r="Q297" i="1"/>
  <c r="AD286" i="1"/>
  <c r="Q44" i="1"/>
  <c r="AD30" i="1"/>
  <c r="GM247" i="1"/>
  <c r="GP247" i="1" s="1"/>
  <c r="CY343" i="1"/>
  <c r="X343" i="1" s="1"/>
  <c r="CZ343" i="1"/>
  <c r="Y343" i="1" s="1"/>
  <c r="GM465" i="1"/>
  <c r="GP465" i="1" s="1"/>
  <c r="CP764" i="1"/>
  <c r="O764" i="1" s="1"/>
  <c r="F696" i="1"/>
  <c r="AP673" i="1"/>
  <c r="F157" i="1"/>
  <c r="S129" i="1"/>
  <c r="GM80" i="1"/>
  <c r="GP80" i="1" s="1"/>
  <c r="AG76" i="1"/>
  <c r="T97" i="1"/>
  <c r="GM88" i="1"/>
  <c r="GP88" i="1" s="1"/>
  <c r="AQ76" i="1"/>
  <c r="F107" i="1"/>
  <c r="AY142" i="1"/>
  <c r="CH129" i="1"/>
  <c r="CY242" i="1"/>
  <c r="X242" i="1" s="1"/>
  <c r="CZ242" i="1"/>
  <c r="Y242" i="1" s="1"/>
  <c r="GM532" i="1"/>
  <c r="GP532" i="1" s="1"/>
  <c r="AG286" i="1"/>
  <c r="T297" i="1"/>
  <c r="U536" i="1"/>
  <c r="AH516" i="1"/>
  <c r="GM530" i="1"/>
  <c r="GP530" i="1" s="1"/>
  <c r="AQ641" i="1"/>
  <c r="CG641" i="1"/>
  <c r="BZ602" i="1"/>
  <c r="AJ761" i="1"/>
  <c r="W768" i="1"/>
  <c r="BB897" i="1"/>
  <c r="F742" i="1"/>
  <c r="BB719" i="1"/>
  <c r="CI848" i="1"/>
  <c r="AZ867" i="1"/>
  <c r="CJ761" i="1"/>
  <c r="BA768" i="1"/>
  <c r="AJ800" i="1"/>
  <c r="W816" i="1"/>
  <c r="AS673" i="1"/>
  <c r="F704" i="1"/>
  <c r="CI673" i="1"/>
  <c r="AZ687" i="1"/>
  <c r="AO761" i="1"/>
  <c r="F772" i="1"/>
  <c r="CY223" i="1"/>
  <c r="X223" i="1" s="1"/>
  <c r="CZ223" i="1"/>
  <c r="Y223" i="1" s="1"/>
  <c r="CG761" i="1"/>
  <c r="AX768" i="1"/>
  <c r="AK44" i="1"/>
  <c r="AP30" i="1"/>
  <c r="F53" i="1"/>
  <c r="AS297" i="1"/>
  <c r="CB286" i="1"/>
  <c r="GM139" i="1"/>
  <c r="GP139" i="1" s="1"/>
  <c r="AJ254" i="1"/>
  <c r="BC204" i="1"/>
  <c r="F424" i="1"/>
  <c r="GM232" i="1"/>
  <c r="GP232" i="1" s="1"/>
  <c r="CP605" i="1"/>
  <c r="O605" i="1" s="1"/>
  <c r="AC641" i="1"/>
  <c r="GM620" i="1"/>
  <c r="GP620" i="1" s="1"/>
  <c r="GM860" i="1"/>
  <c r="GP860" i="1" s="1"/>
  <c r="GK803" i="1"/>
  <c r="GM803" i="1" s="1"/>
  <c r="AE816" i="1"/>
  <c r="AT729" i="1"/>
  <c r="CC719" i="1"/>
  <c r="CC673" i="1"/>
  <c r="AT687" i="1"/>
  <c r="GM626" i="1"/>
  <c r="GP626" i="1" s="1"/>
  <c r="GM851" i="1"/>
  <c r="BA867" i="1"/>
  <c r="CJ848" i="1"/>
  <c r="CC286" i="1"/>
  <c r="AT297" i="1"/>
  <c r="GK334" i="1"/>
  <c r="AH30" i="1"/>
  <c r="U44" i="1"/>
  <c r="AP816" i="1"/>
  <c r="CI816" i="1"/>
  <c r="BY800" i="1"/>
  <c r="CJ329" i="1"/>
  <c r="BA378" i="1"/>
  <c r="V484" i="1"/>
  <c r="AI444" i="1"/>
  <c r="CP215" i="1"/>
  <c r="O215" i="1" s="1"/>
  <c r="AR129" i="1"/>
  <c r="F170" i="1"/>
  <c r="AI254" i="1"/>
  <c r="BD329" i="1"/>
  <c r="BD408" i="1"/>
  <c r="F403" i="1"/>
  <c r="AF254" i="1"/>
  <c r="CY358" i="1"/>
  <c r="X358" i="1" s="1"/>
  <c r="CZ358" i="1"/>
  <c r="Y358" i="1" s="1"/>
  <c r="CG286" i="1"/>
  <c r="AX297" i="1"/>
  <c r="CG208" i="1"/>
  <c r="AX254" i="1"/>
  <c r="CY355" i="1"/>
  <c r="X355" i="1" s="1"/>
  <c r="CZ355" i="1"/>
  <c r="Y355" i="1" s="1"/>
  <c r="CF484" i="1"/>
  <c r="P484" i="1"/>
  <c r="CH484" i="1"/>
  <c r="CG329" i="1"/>
  <c r="AX378" i="1"/>
  <c r="AI641" i="1"/>
  <c r="V536" i="1"/>
  <c r="AI516" i="1"/>
  <c r="CY534" i="1"/>
  <c r="X534" i="1" s="1"/>
  <c r="CZ534" i="1"/>
  <c r="Y534" i="1" s="1"/>
  <c r="GM610" i="1"/>
  <c r="GP610" i="1" s="1"/>
  <c r="AQ848" i="1"/>
  <c r="F877" i="1"/>
  <c r="AD816" i="1"/>
  <c r="CY724" i="1"/>
  <c r="X724" i="1" s="1"/>
  <c r="CZ724" i="1"/>
  <c r="Y724" i="1" s="1"/>
  <c r="GM682" i="1"/>
  <c r="GP682" i="1" s="1"/>
  <c r="AJ848" i="1"/>
  <c r="W867" i="1"/>
  <c r="CP724" i="1"/>
  <c r="O724" i="1" s="1"/>
  <c r="AD867" i="1"/>
  <c r="S816" i="1"/>
  <c r="AF800" i="1"/>
  <c r="CJ800" i="1"/>
  <c r="BA816" i="1"/>
  <c r="V761" i="1"/>
  <c r="F791" i="1"/>
  <c r="GM765" i="1"/>
  <c r="GP765" i="1" s="1"/>
  <c r="F62" i="1"/>
  <c r="AT30" i="1"/>
  <c r="AT172" i="1"/>
  <c r="CI30" i="1"/>
  <c r="AZ44" i="1"/>
  <c r="BA97" i="1"/>
  <c r="BA172" i="1" s="1"/>
  <c r="CJ76" i="1"/>
  <c r="GM339" i="1"/>
  <c r="GP339" i="1" s="1"/>
  <c r="F777" i="1"/>
  <c r="AP761" i="1"/>
  <c r="CP90" i="1"/>
  <c r="O90" i="1" s="1"/>
  <c r="GM90" i="1" s="1"/>
  <c r="GP90" i="1" s="1"/>
  <c r="CP81" i="1"/>
  <c r="O81" i="1" s="1"/>
  <c r="AC97" i="1"/>
  <c r="F64" i="1"/>
  <c r="BA30" i="1"/>
  <c r="CP222" i="1"/>
  <c r="O222" i="1" s="1"/>
  <c r="GM222" i="1" s="1"/>
  <c r="GP222" i="1" s="1"/>
  <c r="AV129" i="1"/>
  <c r="F147" i="1"/>
  <c r="AH378" i="1"/>
  <c r="AQ286" i="1"/>
  <c r="F307" i="1"/>
  <c r="AO208" i="1"/>
  <c r="AO408" i="1"/>
  <c r="F258" i="1"/>
  <c r="BD602" i="1"/>
  <c r="F666" i="1"/>
  <c r="BD897" i="1"/>
  <c r="GM371" i="1"/>
  <c r="GP371" i="1" s="1"/>
  <c r="CY450" i="1"/>
  <c r="X450" i="1" s="1"/>
  <c r="GM450" i="1" s="1"/>
  <c r="GP450" i="1" s="1"/>
  <c r="CZ450" i="1"/>
  <c r="Y450" i="1" s="1"/>
  <c r="AP641" i="1"/>
  <c r="CI641" i="1"/>
  <c r="BY602" i="1"/>
  <c r="CY621" i="1"/>
  <c r="X621" i="1" s="1"/>
  <c r="GM621" i="1" s="1"/>
  <c r="GP621" i="1" s="1"/>
  <c r="CZ621" i="1"/>
  <c r="Y621" i="1" s="1"/>
  <c r="AQ816" i="1"/>
  <c r="BZ800" i="1"/>
  <c r="BC719" i="1"/>
  <c r="BC897" i="1"/>
  <c r="F745" i="1"/>
  <c r="F883" i="1"/>
  <c r="BC848" i="1"/>
  <c r="W687" i="1"/>
  <c r="AJ673" i="1"/>
  <c r="AH848" i="1"/>
  <c r="U867" i="1"/>
  <c r="F697" i="1"/>
  <c r="AQ673" i="1"/>
  <c r="CI719" i="1"/>
  <c r="AZ729" i="1"/>
  <c r="Q768" i="1"/>
  <c r="AD761" i="1"/>
  <c r="Q641" i="1"/>
  <c r="AD602" i="1"/>
  <c r="AP129" i="1"/>
  <c r="F151" i="1"/>
  <c r="AE44" i="1"/>
  <c r="AQ30" i="1"/>
  <c r="AQ172" i="1"/>
  <c r="F54" i="1"/>
  <c r="AW142" i="1"/>
  <c r="CF129" i="1"/>
  <c r="AX76" i="1"/>
  <c r="F104" i="1"/>
  <c r="V129" i="1"/>
  <c r="F165" i="1"/>
  <c r="CP223" i="1"/>
  <c r="O223" i="1" s="1"/>
  <c r="CP134" i="1"/>
  <c r="O134" i="1" s="1"/>
  <c r="GM134" i="1" s="1"/>
  <c r="GP134" i="1" s="1"/>
  <c r="GM225" i="1"/>
  <c r="GP225" i="1" s="1"/>
  <c r="CZ235" i="1"/>
  <c r="Y235" i="1" s="1"/>
  <c r="GM235" i="1" s="1"/>
  <c r="GP235" i="1" s="1"/>
  <c r="CY235" i="1"/>
  <c r="X235" i="1" s="1"/>
  <c r="GM220" i="1"/>
  <c r="GP220" i="1" s="1"/>
  <c r="AC297" i="1"/>
  <c r="GM239" i="1"/>
  <c r="GP239" i="1" s="1"/>
  <c r="AJ378" i="1"/>
  <c r="CY448" i="1"/>
  <c r="X448" i="1" s="1"/>
  <c r="CZ448" i="1"/>
  <c r="Y448" i="1" s="1"/>
  <c r="AS484" i="1"/>
  <c r="CB444" i="1"/>
  <c r="CY608" i="1"/>
  <c r="X608" i="1" s="1"/>
  <c r="GM608" i="1" s="1"/>
  <c r="GP608" i="1" s="1"/>
  <c r="CZ608" i="1"/>
  <c r="Y608" i="1" s="1"/>
  <c r="F504" i="1"/>
  <c r="BA444" i="1"/>
  <c r="F754" i="1"/>
  <c r="BD719" i="1"/>
  <c r="CI761" i="1"/>
  <c r="AZ768" i="1"/>
  <c r="CG673" i="1"/>
  <c r="AX687" i="1"/>
  <c r="AK867" i="1"/>
  <c r="T816" i="1"/>
  <c r="AG800" i="1"/>
  <c r="GM725" i="1"/>
  <c r="GP725" i="1" s="1"/>
  <c r="AD516" i="1"/>
  <c r="Q536" i="1"/>
  <c r="AD378" i="1"/>
  <c r="CZ91" i="1"/>
  <c r="Y91" i="1" s="1"/>
  <c r="CY91" i="1"/>
  <c r="X91" i="1" s="1"/>
  <c r="AU129" i="1"/>
  <c r="F161" i="1"/>
  <c r="F396" i="1"/>
  <c r="AT329" i="1"/>
  <c r="F778" i="1"/>
  <c r="AQ761" i="1"/>
  <c r="CY40" i="1"/>
  <c r="X40" i="1" s="1"/>
  <c r="GM40" i="1" s="1"/>
  <c r="GP40" i="1" s="1"/>
  <c r="CZ40" i="1"/>
  <c r="Y40" i="1" s="1"/>
  <c r="GM39" i="1"/>
  <c r="GP39" i="1" s="1"/>
  <c r="BC26" i="1"/>
  <c r="F188" i="1"/>
  <c r="GM85" i="1"/>
  <c r="GP85" i="1" s="1"/>
  <c r="AT129" i="1"/>
  <c r="F160" i="1"/>
  <c r="AC254" i="1"/>
  <c r="CP226" i="1"/>
  <c r="O226" i="1" s="1"/>
  <c r="GM226" i="1" s="1"/>
  <c r="GP226" i="1" s="1"/>
  <c r="CP332" i="1"/>
  <c r="O332" i="1" s="1"/>
  <c r="AC378" i="1"/>
  <c r="CY634" i="1"/>
  <c r="X634" i="1" s="1"/>
  <c r="GM634" i="1" s="1"/>
  <c r="GP634" i="1" s="1"/>
  <c r="CZ634" i="1"/>
  <c r="Y634" i="1" s="1"/>
  <c r="GM470" i="1"/>
  <c r="GP470" i="1" s="1"/>
  <c r="AG444" i="1"/>
  <c r="T484" i="1"/>
  <c r="AS761" i="1"/>
  <c r="F785" i="1"/>
  <c r="GM628" i="1"/>
  <c r="GP628" i="1" s="1"/>
  <c r="GM636" i="1"/>
  <c r="GP636" i="1" s="1"/>
  <c r="GM853" i="1"/>
  <c r="GP853" i="1" s="1"/>
  <c r="AG673" i="1"/>
  <c r="T687" i="1"/>
  <c r="AT848" i="1"/>
  <c r="F885" i="1"/>
  <c r="F739" i="1"/>
  <c r="AQ719" i="1"/>
  <c r="AD444" i="1"/>
  <c r="Q484" i="1"/>
  <c r="AX867" i="1"/>
  <c r="CG848" i="1"/>
  <c r="CE768" i="1"/>
  <c r="CF768" i="1"/>
  <c r="CH768" i="1"/>
  <c r="P768" i="1"/>
  <c r="AC761" i="1"/>
  <c r="CY86" i="1"/>
  <c r="X86" i="1" s="1"/>
  <c r="CZ86" i="1"/>
  <c r="Y86" i="1" s="1"/>
  <c r="BD516" i="1"/>
  <c r="F561" i="1"/>
  <c r="GK82" i="1"/>
  <c r="GM82" i="1" s="1"/>
  <c r="GP82" i="1" s="1"/>
  <c r="AD97" i="1"/>
  <c r="BB26" i="1"/>
  <c r="F185" i="1"/>
  <c r="AH254" i="1"/>
  <c r="GM251" i="1"/>
  <c r="GP251" i="1" s="1"/>
  <c r="BA297" i="1"/>
  <c r="CJ286" i="1"/>
  <c r="CB329" i="1"/>
  <c r="AS378" i="1"/>
  <c r="AG378" i="1"/>
  <c r="GM369" i="1"/>
  <c r="GP369" i="1" s="1"/>
  <c r="GM347" i="1"/>
  <c r="GP347" i="1" s="1"/>
  <c r="AQ516" i="1"/>
  <c r="F546" i="1"/>
  <c r="AK687" i="1"/>
  <c r="V687" i="1"/>
  <c r="AI673" i="1"/>
  <c r="GM857" i="1"/>
  <c r="GP857" i="1" s="1"/>
  <c r="AG848" i="1"/>
  <c r="T867" i="1"/>
  <c r="AF30" i="1"/>
  <c r="S44" i="1"/>
  <c r="CY290" i="1"/>
  <c r="X290" i="1" s="1"/>
  <c r="CZ290" i="1"/>
  <c r="Y290" i="1" s="1"/>
  <c r="CY351" i="1"/>
  <c r="X351" i="1" s="1"/>
  <c r="CZ351" i="1"/>
  <c r="Y351" i="1" s="1"/>
  <c r="AG516" i="1"/>
  <c r="T536" i="1"/>
  <c r="AT800" i="1"/>
  <c r="F834" i="1"/>
  <c r="F156" i="1"/>
  <c r="R129" i="1"/>
  <c r="AH76" i="1"/>
  <c r="U97" i="1"/>
  <c r="CP133" i="1"/>
  <c r="O133" i="1" s="1"/>
  <c r="GM133" i="1" s="1"/>
  <c r="GP133" i="1" s="1"/>
  <c r="AJ30" i="1"/>
  <c r="W44" i="1"/>
  <c r="AS254" i="1"/>
  <c r="CB208" i="1"/>
  <c r="CY215" i="1"/>
  <c r="X215" i="1" s="1"/>
  <c r="CZ215" i="1"/>
  <c r="Y215" i="1" s="1"/>
  <c r="AL254" i="1" s="1"/>
  <c r="CY222" i="1"/>
  <c r="X222" i="1" s="1"/>
  <c r="CZ222" i="1"/>
  <c r="Y222" i="1" s="1"/>
  <c r="F264" i="1"/>
  <c r="AQ208" i="1"/>
  <c r="AQ408" i="1"/>
  <c r="GM224" i="1"/>
  <c r="GP224" i="1" s="1"/>
  <c r="AI378" i="1"/>
  <c r="CY373" i="1"/>
  <c r="X373" i="1" s="1"/>
  <c r="CZ373" i="1"/>
  <c r="Y373" i="1" s="1"/>
  <c r="CP343" i="1"/>
  <c r="O343" i="1" s="1"/>
  <c r="GM343" i="1" s="1"/>
  <c r="GP343" i="1" s="1"/>
  <c r="GM361" i="1"/>
  <c r="GP361" i="1" s="1"/>
  <c r="GM475" i="1"/>
  <c r="GP475" i="1" s="1"/>
  <c r="AX536" i="1"/>
  <c r="CG516" i="1"/>
  <c r="W484" i="1"/>
  <c r="AJ444" i="1"/>
  <c r="CP458" i="1"/>
  <c r="O458" i="1" s="1"/>
  <c r="GM479" i="1"/>
  <c r="GP479" i="1" s="1"/>
  <c r="CP864" i="1"/>
  <c r="O864" i="1" s="1"/>
  <c r="GM864" i="1" s="1"/>
  <c r="GP864" i="1" s="1"/>
  <c r="CG816" i="1"/>
  <c r="CG719" i="1"/>
  <c r="AX729" i="1"/>
  <c r="GM805" i="1"/>
  <c r="GP805" i="1" s="1"/>
  <c r="AO30" i="1"/>
  <c r="F48" i="1"/>
  <c r="AO172" i="1"/>
  <c r="GM358" i="1"/>
  <c r="GP358" i="1" s="1"/>
  <c r="AG719" i="1"/>
  <c r="T729" i="1"/>
  <c r="P129" i="1"/>
  <c r="F145" i="1"/>
  <c r="CP86" i="1"/>
  <c r="O86" i="1" s="1"/>
  <c r="CY625" i="1"/>
  <c r="X625" i="1" s="1"/>
  <c r="GM625" i="1" s="1"/>
  <c r="GP625" i="1" s="1"/>
  <c r="CZ625" i="1"/>
  <c r="Y625" i="1" s="1"/>
  <c r="AF848" i="1"/>
  <c r="S867" i="1"/>
  <c r="AB44" i="1"/>
  <c r="GM35" i="1"/>
  <c r="CZ84" i="1"/>
  <c r="Y84" i="1" s="1"/>
  <c r="CY84" i="1"/>
  <c r="X84" i="1" s="1"/>
  <c r="CI129" i="1"/>
  <c r="AZ142" i="1"/>
  <c r="CY246" i="1"/>
  <c r="X246" i="1" s="1"/>
  <c r="CZ246" i="1"/>
  <c r="Y246" i="1" s="1"/>
  <c r="BY286" i="1"/>
  <c r="CI297" i="1"/>
  <c r="AP297" i="1"/>
  <c r="CY341" i="1"/>
  <c r="X341" i="1" s="1"/>
  <c r="CZ341" i="1"/>
  <c r="Y341" i="1" s="1"/>
  <c r="CP452" i="1"/>
  <c r="O452" i="1" s="1"/>
  <c r="CP334" i="1"/>
  <c r="O334" i="1" s="1"/>
  <c r="CY334" i="1"/>
  <c r="X334" i="1" s="1"/>
  <c r="CZ334" i="1"/>
  <c r="Y334" i="1" s="1"/>
  <c r="AQ329" i="1"/>
  <c r="F388" i="1"/>
  <c r="GM368" i="1"/>
  <c r="GP368" i="1" s="1"/>
  <c r="GM727" i="1"/>
  <c r="GP727" i="1" s="1"/>
  <c r="CP520" i="1"/>
  <c r="O520" i="1" s="1"/>
  <c r="CJ516" i="1"/>
  <c r="BA536" i="1"/>
  <c r="AF444" i="1"/>
  <c r="S484" i="1"/>
  <c r="F658" i="1"/>
  <c r="AS602" i="1"/>
  <c r="AS897" i="1"/>
  <c r="V816" i="1"/>
  <c r="AI800" i="1"/>
  <c r="AF729" i="1"/>
  <c r="AC729" i="1"/>
  <c r="CY460" i="1"/>
  <c r="X460" i="1" s="1"/>
  <c r="CZ460" i="1"/>
  <c r="Y460" i="1" s="1"/>
  <c r="AF297" i="1"/>
  <c r="P44" i="1"/>
  <c r="CE44" i="1"/>
  <c r="CF44" i="1"/>
  <c r="CH44" i="1"/>
  <c r="AC30" i="1"/>
  <c r="GM289" i="1"/>
  <c r="CY452" i="1"/>
  <c r="X452" i="1" s="1"/>
  <c r="CZ452" i="1"/>
  <c r="Y452" i="1" s="1"/>
  <c r="GM615" i="1"/>
  <c r="GP615" i="1" s="1"/>
  <c r="AG30" i="1"/>
  <c r="T44" i="1"/>
  <c r="AP378" i="1"/>
  <c r="BY329" i="1"/>
  <c r="CI378" i="1"/>
  <c r="CY376" i="1"/>
  <c r="X376" i="1" s="1"/>
  <c r="CZ376" i="1"/>
  <c r="Y376" i="1" s="1"/>
  <c r="AL484" i="1"/>
  <c r="GM372" i="1"/>
  <c r="GP372" i="1" s="1"/>
  <c r="CZ631" i="1"/>
  <c r="Y631" i="1" s="1"/>
  <c r="CY631" i="1"/>
  <c r="X631" i="1" s="1"/>
  <c r="F497" i="1"/>
  <c r="BB566" i="1"/>
  <c r="BB444" i="1"/>
  <c r="CF536" i="1"/>
  <c r="AC516" i="1"/>
  <c r="CH536" i="1"/>
  <c r="P536" i="1"/>
  <c r="CE536" i="1"/>
  <c r="AF641" i="1"/>
  <c r="CP678" i="1"/>
  <c r="O678" i="1" s="1"/>
  <c r="GM678" i="1" s="1"/>
  <c r="GP678" i="1" s="1"/>
  <c r="F749" i="1"/>
  <c r="BA719" i="1"/>
  <c r="AC816" i="1"/>
  <c r="AL729" i="1"/>
  <c r="GK605" i="1"/>
  <c r="AE641" i="1"/>
  <c r="AF768" i="1"/>
  <c r="CY764" i="1"/>
  <c r="X764" i="1" s="1"/>
  <c r="CZ764" i="1"/>
  <c r="Y764" i="1" s="1"/>
  <c r="GM294" i="1"/>
  <c r="GP294" i="1" s="1"/>
  <c r="BY208" i="1"/>
  <c r="AP254" i="1"/>
  <c r="CI254" i="1"/>
  <c r="AT484" i="1"/>
  <c r="CC444" i="1"/>
  <c r="AF516" i="1"/>
  <c r="S536" i="1"/>
  <c r="V867" i="1"/>
  <c r="AI848" i="1"/>
  <c r="AT254" i="1"/>
  <c r="CC208" i="1"/>
  <c r="GM345" i="1"/>
  <c r="GP345" i="1" s="1"/>
  <c r="AP97" i="1"/>
  <c r="AP172" i="1" s="1"/>
  <c r="CI97" i="1"/>
  <c r="BY76" i="1"/>
  <c r="F61" i="1"/>
  <c r="AS30" i="1"/>
  <c r="AS172" i="1"/>
  <c r="AX142" i="1"/>
  <c r="CG129" i="1"/>
  <c r="CP213" i="1"/>
  <c r="O213" i="1" s="1"/>
  <c r="GM213" i="1" s="1"/>
  <c r="GP213" i="1" s="1"/>
  <c r="CP137" i="1"/>
  <c r="O137" i="1" s="1"/>
  <c r="GM137" i="1" s="1"/>
  <c r="GP137" i="1" s="1"/>
  <c r="CY226" i="1"/>
  <c r="X226" i="1" s="1"/>
  <c r="CZ226" i="1"/>
  <c r="Y226" i="1" s="1"/>
  <c r="AK484" i="1"/>
  <c r="AF378" i="1"/>
  <c r="AP444" i="1"/>
  <c r="F493" i="1"/>
  <c r="AL536" i="1"/>
  <c r="CP676" i="1"/>
  <c r="O676" i="1" s="1"/>
  <c r="AC687" i="1"/>
  <c r="GM606" i="1"/>
  <c r="GP606" i="1" s="1"/>
  <c r="CP814" i="1"/>
  <c r="O814" i="1" s="1"/>
  <c r="GM814" i="1" s="1"/>
  <c r="GP814" i="1" s="1"/>
  <c r="CP685" i="1"/>
  <c r="O685" i="1" s="1"/>
  <c r="GM685" i="1" s="1"/>
  <c r="GP685" i="1" s="1"/>
  <c r="AC867" i="1"/>
  <c r="AB729" i="1"/>
  <c r="AF97" i="1"/>
  <c r="AQ129" i="1"/>
  <c r="F152" i="1"/>
  <c r="CP292" i="1"/>
  <c r="O292" i="1" s="1"/>
  <c r="GM292" i="1" s="1"/>
  <c r="GP292" i="1" s="1"/>
  <c r="AX44" i="1"/>
  <c r="CG30" i="1"/>
  <c r="GK215" i="1"/>
  <c r="AS129" i="1"/>
  <c r="F159" i="1"/>
  <c r="CP242" i="1"/>
  <c r="O242" i="1" s="1"/>
  <c r="GM242" i="1" s="1"/>
  <c r="GP242" i="1" s="1"/>
  <c r="AQ484" i="1"/>
  <c r="BZ444" i="1"/>
  <c r="CG484" i="1"/>
  <c r="CI484" i="1"/>
  <c r="BD444" i="1"/>
  <c r="F509" i="1"/>
  <c r="BD566" i="1"/>
  <c r="AP536" i="1"/>
  <c r="CI536" i="1"/>
  <c r="BY516" i="1"/>
  <c r="AJ516" i="1"/>
  <c r="W536" i="1"/>
  <c r="F500" i="1"/>
  <c r="BC566" i="1"/>
  <c r="BC927" i="1" s="1"/>
  <c r="BC444" i="1"/>
  <c r="GK520" i="1"/>
  <c r="GM453" i="1"/>
  <c r="GP453" i="1" s="1"/>
  <c r="AL867" i="1"/>
  <c r="AG602" i="1"/>
  <c r="T641" i="1"/>
  <c r="AE768" i="1"/>
  <c r="GK764" i="1"/>
  <c r="AO673" i="1"/>
  <c r="AO897" i="1"/>
  <c r="F691" i="1"/>
  <c r="AS848" i="1"/>
  <c r="F884" i="1"/>
  <c r="I790" i="7" l="1"/>
  <c r="I1073" i="7"/>
  <c r="I242" i="7"/>
  <c r="P242" i="7" s="1"/>
  <c r="I1163" i="7"/>
  <c r="K1163" i="7" s="1"/>
  <c r="I799" i="7"/>
  <c r="I459" i="7"/>
  <c r="I927" i="7"/>
  <c r="I252" i="7"/>
  <c r="I733" i="7"/>
  <c r="I111" i="7"/>
  <c r="I528" i="7"/>
  <c r="I1089" i="7"/>
  <c r="P1089" i="7" s="1"/>
  <c r="I517" i="7"/>
  <c r="I426" i="7"/>
  <c r="I160" i="7"/>
  <c r="K160" i="7" s="1"/>
  <c r="I315" i="7"/>
  <c r="P315" i="7" s="1"/>
  <c r="I1058" i="7"/>
  <c r="K1058" i="7" s="1"/>
  <c r="I821" i="7"/>
  <c r="P821" i="7" s="1"/>
  <c r="I904" i="7"/>
  <c r="P904" i="7" s="1"/>
  <c r="I475" i="7"/>
  <c r="P475" i="7" s="1"/>
  <c r="I335" i="7"/>
  <c r="P335" i="7" s="1"/>
  <c r="I672" i="7"/>
  <c r="I638" i="7"/>
  <c r="K638" i="7" s="1"/>
  <c r="I121" i="7"/>
  <c r="K121" i="7" s="1"/>
  <c r="I325" i="7"/>
  <c r="I665" i="7"/>
  <c r="I782" i="7"/>
  <c r="I593" i="7"/>
  <c r="I630" i="7"/>
  <c r="I967" i="7"/>
  <c r="P967" i="7" s="1"/>
  <c r="I48" i="7"/>
  <c r="P48" i="7" s="1"/>
  <c r="P54" i="8"/>
  <c r="L54" i="8"/>
  <c r="K743" i="7"/>
  <c r="P743" i="7"/>
  <c r="P749" i="8"/>
  <c r="L749" i="8"/>
  <c r="P1018" i="8"/>
  <c r="L1018" i="8"/>
  <c r="P502" i="8"/>
  <c r="L502" i="8"/>
  <c r="P78" i="8"/>
  <c r="L78" i="8"/>
  <c r="L805" i="8"/>
  <c r="P805" i="8"/>
  <c r="P459" i="7"/>
  <c r="K459" i="7"/>
  <c r="P1079" i="8"/>
  <c r="L1079" i="8"/>
  <c r="K242" i="7"/>
  <c r="P426" i="7"/>
  <c r="K426" i="7"/>
  <c r="L788" i="8"/>
  <c r="P788" i="8"/>
  <c r="P432" i="8"/>
  <c r="L432" i="8"/>
  <c r="AK800" i="1"/>
  <c r="X816" i="1"/>
  <c r="P1163" i="7"/>
  <c r="P1066" i="7"/>
  <c r="K1066" i="7"/>
  <c r="L166" i="8"/>
  <c r="P166" i="8"/>
  <c r="P949" i="8"/>
  <c r="L949" i="8"/>
  <c r="L306" i="8"/>
  <c r="P306" i="8"/>
  <c r="P933" i="8"/>
  <c r="L933" i="8"/>
  <c r="L965" i="8"/>
  <c r="P965" i="8"/>
  <c r="L341" i="8"/>
  <c r="P341" i="8"/>
  <c r="P1058" i="7"/>
  <c r="K904" i="7"/>
  <c r="K475" i="7"/>
  <c r="P481" i="8"/>
  <c r="L481" i="8"/>
  <c r="P638" i="7"/>
  <c r="L644" i="8"/>
  <c r="P644" i="8"/>
  <c r="K665" i="7"/>
  <c r="P665" i="7"/>
  <c r="L241" i="8"/>
  <c r="P241" i="8"/>
  <c r="P1095" i="8"/>
  <c r="L1095" i="8"/>
  <c r="P910" i="8"/>
  <c r="L910" i="8"/>
  <c r="P782" i="7"/>
  <c r="K782" i="7"/>
  <c r="K1097" i="7"/>
  <c r="P1097" i="7"/>
  <c r="L903" i="8"/>
  <c r="P903" i="8"/>
  <c r="J973" i="8"/>
  <c r="I951" i="7"/>
  <c r="J628" i="8"/>
  <c r="K426" i="8"/>
  <c r="J420" i="7"/>
  <c r="GK333" i="1"/>
  <c r="GM333" i="1" s="1"/>
  <c r="GP333" i="1" s="1"/>
  <c r="I184" i="7"/>
  <c r="T176" i="8"/>
  <c r="K180" i="8" s="1"/>
  <c r="T170" i="7"/>
  <c r="J174" i="7" s="1"/>
  <c r="R1119" i="8"/>
  <c r="K1123" i="8" s="1"/>
  <c r="R1113" i="7"/>
  <c r="J1117" i="7" s="1"/>
  <c r="J190" i="8"/>
  <c r="GK93" i="1"/>
  <c r="GM93" i="1" s="1"/>
  <c r="GP93" i="1" s="1"/>
  <c r="K170" i="8"/>
  <c r="J164" i="7"/>
  <c r="T813" i="8"/>
  <c r="K817" i="8" s="1"/>
  <c r="T807" i="7"/>
  <c r="J811" i="7" s="1"/>
  <c r="GK92" i="1"/>
  <c r="GM92" i="1" s="1"/>
  <c r="GP92" i="1" s="1"/>
  <c r="K160" i="8"/>
  <c r="J154" i="7"/>
  <c r="I1004" i="7"/>
  <c r="AL378" i="1"/>
  <c r="T566" i="8"/>
  <c r="K573" i="8" s="1"/>
  <c r="T560" i="7"/>
  <c r="J567" i="7" s="1"/>
  <c r="P855" i="8"/>
  <c r="L855" i="8"/>
  <c r="GK531" i="1"/>
  <c r="GM531" i="1" s="1"/>
  <c r="GP531" i="1" s="1"/>
  <c r="K743" i="8"/>
  <c r="J737" i="7"/>
  <c r="GM353" i="1"/>
  <c r="GP353" i="1" s="1"/>
  <c r="AK641" i="1"/>
  <c r="R864" i="8"/>
  <c r="K868" i="8" s="1"/>
  <c r="J871" i="8" s="1"/>
  <c r="R858" i="7"/>
  <c r="J862" i="7" s="1"/>
  <c r="T482" i="8"/>
  <c r="K487" i="8" s="1"/>
  <c r="T476" i="7"/>
  <c r="J481" i="7" s="1"/>
  <c r="T281" i="8"/>
  <c r="T275" i="7"/>
  <c r="AE97" i="1"/>
  <c r="U729" i="1"/>
  <c r="V97" i="1"/>
  <c r="P1103" i="8"/>
  <c r="L1103" i="8"/>
  <c r="GM228" i="1"/>
  <c r="GP228" i="1" s="1"/>
  <c r="GM36" i="1"/>
  <c r="GP36" i="1" s="1"/>
  <c r="P636" i="8"/>
  <c r="L636" i="8"/>
  <c r="T645" i="8"/>
  <c r="K650" i="8" s="1"/>
  <c r="J652" i="8" s="1"/>
  <c r="T639" i="7"/>
  <c r="J644" i="7" s="1"/>
  <c r="I646" i="7" s="1"/>
  <c r="P593" i="7"/>
  <c r="K593" i="7"/>
  <c r="J474" i="8"/>
  <c r="I754" i="7"/>
  <c r="I235" i="7"/>
  <c r="R62" i="8"/>
  <c r="K66" i="8" s="1"/>
  <c r="J69" i="8" s="1"/>
  <c r="R56" i="7"/>
  <c r="J60" i="7" s="1"/>
  <c r="R934" i="8"/>
  <c r="K938" i="8" s="1"/>
  <c r="J941" i="8" s="1"/>
  <c r="R928" i="7"/>
  <c r="J932" i="7" s="1"/>
  <c r="I935" i="7" s="1"/>
  <c r="GK228" i="1"/>
  <c r="K326" i="8"/>
  <c r="J320" i="7"/>
  <c r="J729" i="8"/>
  <c r="I381" i="7"/>
  <c r="P496" i="7"/>
  <c r="K496" i="7"/>
  <c r="J760" i="8"/>
  <c r="R813" i="8"/>
  <c r="K816" i="8" s="1"/>
  <c r="R807" i="7"/>
  <c r="J810" i="7" s="1"/>
  <c r="T974" i="8"/>
  <c r="K979" i="8" s="1"/>
  <c r="J981" i="8" s="1"/>
  <c r="T968" i="7"/>
  <c r="J973" i="7" s="1"/>
  <c r="AL44" i="1"/>
  <c r="GM290" i="1"/>
  <c r="GP290" i="1" s="1"/>
  <c r="R373" i="8"/>
  <c r="K376" i="8" s="1"/>
  <c r="J379" i="8" s="1"/>
  <c r="R367" i="7"/>
  <c r="J370" i="7" s="1"/>
  <c r="I373" i="7" s="1"/>
  <c r="L796" i="8"/>
  <c r="P796" i="8"/>
  <c r="J454" i="8"/>
  <c r="AE484" i="1"/>
  <c r="AE444" i="1" s="1"/>
  <c r="T307" i="8"/>
  <c r="K311" i="8" s="1"/>
  <c r="T301" i="7"/>
  <c r="J305" i="7" s="1"/>
  <c r="GM460" i="1"/>
  <c r="GP460" i="1" s="1"/>
  <c r="AE254" i="1"/>
  <c r="R307" i="8"/>
  <c r="K310" i="8" s="1"/>
  <c r="J313" i="8" s="1"/>
  <c r="R301" i="7"/>
  <c r="J304" i="7" s="1"/>
  <c r="T864" i="8"/>
  <c r="K869" i="8" s="1"/>
  <c r="T858" i="7"/>
  <c r="J863" i="7" s="1"/>
  <c r="GM341" i="1"/>
  <c r="GP341" i="1" s="1"/>
  <c r="R482" i="8"/>
  <c r="K486" i="8" s="1"/>
  <c r="R476" i="7"/>
  <c r="J480" i="7" s="1"/>
  <c r="I483" i="7" s="1"/>
  <c r="R281" i="8"/>
  <c r="K286" i="8" s="1"/>
  <c r="R275" i="7"/>
  <c r="I1105" i="7"/>
  <c r="AS76" i="1"/>
  <c r="F114" i="1"/>
  <c r="P300" i="7"/>
  <c r="K300" i="7"/>
  <c r="R1027" i="8"/>
  <c r="K1031" i="8" s="1"/>
  <c r="R1021" i="7"/>
  <c r="J1025" i="7" s="1"/>
  <c r="GM726" i="1"/>
  <c r="GP726" i="1" s="1"/>
  <c r="P599" i="8"/>
  <c r="L599" i="8"/>
  <c r="R466" i="8"/>
  <c r="K471" i="8" s="1"/>
  <c r="R460" i="7"/>
  <c r="J465" i="7" s="1"/>
  <c r="I468" i="7" s="1"/>
  <c r="GK478" i="1"/>
  <c r="GM478" i="1" s="1"/>
  <c r="GP478" i="1" s="1"/>
  <c r="K682" i="8"/>
  <c r="J676" i="7"/>
  <c r="K700" i="8"/>
  <c r="J694" i="7"/>
  <c r="T1080" i="8"/>
  <c r="K1085" i="8" s="1"/>
  <c r="T1074" i="7"/>
  <c r="J1079" i="7" s="1"/>
  <c r="R720" i="8"/>
  <c r="K725" i="8" s="1"/>
  <c r="R714" i="7"/>
  <c r="J719" i="7" s="1"/>
  <c r="I723" i="7" s="1"/>
  <c r="J387" i="8"/>
  <c r="I975" i="7"/>
  <c r="GK348" i="1"/>
  <c r="GM348" i="1" s="1"/>
  <c r="GP348" i="1" s="1"/>
  <c r="K506" i="8"/>
  <c r="J500" i="7"/>
  <c r="R433" i="8"/>
  <c r="K439" i="8" s="1"/>
  <c r="J443" i="8" s="1"/>
  <c r="R427" i="7"/>
  <c r="J433" i="7" s="1"/>
  <c r="P827" i="8"/>
  <c r="L827" i="8"/>
  <c r="T167" i="8"/>
  <c r="K172" i="8" s="1"/>
  <c r="T161" i="7"/>
  <c r="J166" i="7" s="1"/>
  <c r="AL97" i="1"/>
  <c r="T128" i="8"/>
  <c r="K132" i="8" s="1"/>
  <c r="T122" i="7"/>
  <c r="J126" i="7" s="1"/>
  <c r="P325" i="7"/>
  <c r="K325" i="7"/>
  <c r="L258" i="8"/>
  <c r="P258" i="8"/>
  <c r="P959" i="7"/>
  <c r="K959" i="7"/>
  <c r="R888" i="8"/>
  <c r="K892" i="8" s="1"/>
  <c r="R882" i="7"/>
  <c r="J886" i="7" s="1"/>
  <c r="R990" i="8"/>
  <c r="K993" i="8" s="1"/>
  <c r="J996" i="8" s="1"/>
  <c r="R984" i="7"/>
  <c r="J987" i="7" s="1"/>
  <c r="I990" i="7" s="1"/>
  <c r="P72" i="7"/>
  <c r="K72" i="7"/>
  <c r="R1178" i="8"/>
  <c r="K1182" i="8" s="1"/>
  <c r="J1185" i="8" s="1"/>
  <c r="R1172" i="7"/>
  <c r="J1176" i="7" s="1"/>
  <c r="R55" i="8"/>
  <c r="K58" i="8" s="1"/>
  <c r="R49" i="7"/>
  <c r="J52" i="7" s="1"/>
  <c r="GK91" i="1"/>
  <c r="GM91" i="1" s="1"/>
  <c r="GP91" i="1" s="1"/>
  <c r="K149" i="8"/>
  <c r="J143" i="7"/>
  <c r="K927" i="7"/>
  <c r="P927" i="7"/>
  <c r="T1135" i="8"/>
  <c r="K1140" i="8" s="1"/>
  <c r="T1129" i="7"/>
  <c r="J1134" i="7" s="1"/>
  <c r="GK529" i="1"/>
  <c r="GM529" i="1" s="1"/>
  <c r="GP529" i="1" s="1"/>
  <c r="K733" i="8"/>
  <c r="J727" i="7"/>
  <c r="I700" i="7"/>
  <c r="J1064" i="8"/>
  <c r="R176" i="8"/>
  <c r="K179" i="8" s="1"/>
  <c r="J182" i="8" s="1"/>
  <c r="R170" i="7"/>
  <c r="J173" i="7" s="1"/>
  <c r="R1080" i="8"/>
  <c r="K1084" i="8" s="1"/>
  <c r="R1074" i="7"/>
  <c r="J1078" i="7" s="1"/>
  <c r="GK42" i="1"/>
  <c r="GM42" i="1" s="1"/>
  <c r="GP42" i="1" s="1"/>
  <c r="K83" i="8"/>
  <c r="J77" i="7"/>
  <c r="J706" i="8"/>
  <c r="J819" i="8"/>
  <c r="I1128" i="7"/>
  <c r="J489" i="8"/>
  <c r="GM84" i="1"/>
  <c r="GP84" i="1" s="1"/>
  <c r="R128" i="8"/>
  <c r="K131" i="8" s="1"/>
  <c r="R122" i="7"/>
  <c r="J125" i="7" s="1"/>
  <c r="K252" i="7"/>
  <c r="P252" i="7"/>
  <c r="K790" i="7"/>
  <c r="P790" i="7"/>
  <c r="K672" i="7"/>
  <c r="P672" i="7"/>
  <c r="I1120" i="7"/>
  <c r="L1072" i="8"/>
  <c r="P1072" i="8"/>
  <c r="L223" i="8"/>
  <c r="P223" i="8"/>
  <c r="J895" i="8"/>
  <c r="GM534" i="1"/>
  <c r="GP534" i="1" s="1"/>
  <c r="P111" i="7"/>
  <c r="K111" i="7"/>
  <c r="P630" i="7"/>
  <c r="K630" i="7"/>
  <c r="GK522" i="1"/>
  <c r="GM522" i="1" s="1"/>
  <c r="GP522" i="1" s="1"/>
  <c r="K711" i="8"/>
  <c r="J705" i="7"/>
  <c r="GK856" i="1"/>
  <c r="GM856" i="1" s="1"/>
  <c r="GP856" i="1" s="1"/>
  <c r="K1147" i="8"/>
  <c r="J1141" i="7"/>
  <c r="T224" i="8"/>
  <c r="K229" i="8" s="1"/>
  <c r="T218" i="7"/>
  <c r="J223" i="7" s="1"/>
  <c r="AE297" i="1"/>
  <c r="AK254" i="1"/>
  <c r="R224" i="8"/>
  <c r="K228" i="8" s="1"/>
  <c r="J231" i="8" s="1"/>
  <c r="R218" i="7"/>
  <c r="J222" i="7" s="1"/>
  <c r="AL641" i="1"/>
  <c r="T1019" i="8"/>
  <c r="K1024" i="8" s="1"/>
  <c r="T1013" i="7"/>
  <c r="J1018" i="7" s="1"/>
  <c r="T585" i="8"/>
  <c r="K589" i="8" s="1"/>
  <c r="T579" i="7"/>
  <c r="J583" i="7" s="1"/>
  <c r="L321" i="8"/>
  <c r="P321" i="8"/>
  <c r="GK81" i="1"/>
  <c r="K100" i="8"/>
  <c r="J94" i="7"/>
  <c r="J523" i="8"/>
  <c r="T872" i="8"/>
  <c r="K877" i="8" s="1"/>
  <c r="T866" i="7"/>
  <c r="J871" i="7" s="1"/>
  <c r="R1135" i="8"/>
  <c r="K1139" i="8" s="1"/>
  <c r="J1142" i="8" s="1"/>
  <c r="R1129" i="7"/>
  <c r="J1133" i="7" s="1"/>
  <c r="I1136" i="7" s="1"/>
  <c r="I1012" i="7"/>
  <c r="J248" i="8"/>
  <c r="I82" i="7"/>
  <c r="T544" i="8"/>
  <c r="K551" i="8" s="1"/>
  <c r="T538" i="7"/>
  <c r="J545" i="7" s="1"/>
  <c r="GM854" i="1"/>
  <c r="GP854" i="1" s="1"/>
  <c r="J372" i="8"/>
  <c r="K665" i="8"/>
  <c r="J659" i="7"/>
  <c r="GK466" i="1"/>
  <c r="GM466" i="1" s="1"/>
  <c r="GP466" i="1" s="1"/>
  <c r="J117" i="8"/>
  <c r="AK536" i="1"/>
  <c r="J1134" i="8"/>
  <c r="R974" i="8"/>
  <c r="K978" i="8" s="1"/>
  <c r="R968" i="7"/>
  <c r="J972" i="7" s="1"/>
  <c r="P528" i="7"/>
  <c r="K528" i="7"/>
  <c r="K821" i="7"/>
  <c r="J127" i="8"/>
  <c r="GK335" i="1"/>
  <c r="GM335" i="1" s="1"/>
  <c r="GP335" i="1" s="1"/>
  <c r="K448" i="8"/>
  <c r="J442" i="7"/>
  <c r="AL768" i="1"/>
  <c r="T1042" i="8"/>
  <c r="K1047" i="8" s="1"/>
  <c r="T1036" i="7"/>
  <c r="J1041" i="7" s="1"/>
  <c r="AK729" i="1"/>
  <c r="R1019" i="8"/>
  <c r="K1023" i="8" s="1"/>
  <c r="J1026" i="8" s="1"/>
  <c r="R1013" i="7"/>
  <c r="J1017" i="7" s="1"/>
  <c r="R585" i="8"/>
  <c r="K588" i="8" s="1"/>
  <c r="J591" i="8" s="1"/>
  <c r="R579" i="7"/>
  <c r="J582" i="7" s="1"/>
  <c r="I585" i="7" s="1"/>
  <c r="P943" i="7"/>
  <c r="K943" i="7"/>
  <c r="J1111" i="8"/>
  <c r="T1027" i="8"/>
  <c r="K1032" i="8" s="1"/>
  <c r="J1034" i="8" s="1"/>
  <c r="T1021" i="7"/>
  <c r="J1026" i="7" s="1"/>
  <c r="I1179" i="7"/>
  <c r="K111" i="8"/>
  <c r="J105" i="7"/>
  <c r="J925" i="8"/>
  <c r="J88" i="8"/>
  <c r="I267" i="7"/>
  <c r="J1087" i="8"/>
  <c r="R544" i="8"/>
  <c r="K550" i="8" s="1"/>
  <c r="R538" i="7"/>
  <c r="J544" i="7" s="1"/>
  <c r="GK214" i="1"/>
  <c r="GM214" i="1" s="1"/>
  <c r="K218" i="8"/>
  <c r="J212" i="7"/>
  <c r="GK350" i="1"/>
  <c r="GM350" i="1" s="1"/>
  <c r="GP350" i="1" s="1"/>
  <c r="K528" i="8"/>
  <c r="J522" i="7"/>
  <c r="GK349" i="1"/>
  <c r="GM349" i="1" s="1"/>
  <c r="GP349" i="1" s="1"/>
  <c r="K517" i="8"/>
  <c r="J511" i="7"/>
  <c r="GK353" i="1"/>
  <c r="K559" i="8"/>
  <c r="J553" i="7"/>
  <c r="AL297" i="1"/>
  <c r="T373" i="8"/>
  <c r="K377" i="8" s="1"/>
  <c r="T367" i="7"/>
  <c r="J371" i="7" s="1"/>
  <c r="P465" i="8"/>
  <c r="L465" i="8"/>
  <c r="J273" i="8"/>
  <c r="AE687" i="1"/>
  <c r="AE673" i="1" s="1"/>
  <c r="T535" i="8"/>
  <c r="K541" i="8" s="1"/>
  <c r="T529" i="7"/>
  <c r="J535" i="7" s="1"/>
  <c r="R145" i="8"/>
  <c r="K151" i="8" s="1"/>
  <c r="J155" i="8" s="1"/>
  <c r="R139" i="7"/>
  <c r="J145" i="7" s="1"/>
  <c r="GM223" i="1"/>
  <c r="GP223" i="1" s="1"/>
  <c r="K285" i="8"/>
  <c r="J279" i="7"/>
  <c r="P897" i="7"/>
  <c r="K897" i="7"/>
  <c r="J512" i="8"/>
  <c r="T55" i="8"/>
  <c r="K59" i="8" s="1"/>
  <c r="J61" i="8" s="1"/>
  <c r="T49" i="7"/>
  <c r="J53" i="7" s="1"/>
  <c r="I55" i="7" s="1"/>
  <c r="I415" i="7"/>
  <c r="I397" i="7"/>
  <c r="U687" i="1"/>
  <c r="AH673" i="1"/>
  <c r="GK449" i="1"/>
  <c r="K622" i="8"/>
  <c r="J616" i="7"/>
  <c r="I293" i="7"/>
  <c r="T1170" i="8"/>
  <c r="K1175" i="8" s="1"/>
  <c r="T1164" i="7"/>
  <c r="J1169" i="7" s="1"/>
  <c r="I831" i="7"/>
  <c r="R342" i="8"/>
  <c r="K346" i="8" s="1"/>
  <c r="J349" i="8" s="1"/>
  <c r="R336" i="7"/>
  <c r="J340" i="7" s="1"/>
  <c r="I343" i="7" s="1"/>
  <c r="GM635" i="1"/>
  <c r="GP635" i="1" s="1"/>
  <c r="R856" i="8"/>
  <c r="K860" i="8" s="1"/>
  <c r="R850" i="7"/>
  <c r="J854" i="7" s="1"/>
  <c r="J134" i="8"/>
  <c r="L671" i="8"/>
  <c r="P671" i="8"/>
  <c r="T982" i="8"/>
  <c r="K987" i="8" s="1"/>
  <c r="T976" i="7"/>
  <c r="J981" i="7" s="1"/>
  <c r="T62" i="8"/>
  <c r="K67" i="8" s="1"/>
  <c r="T56" i="7"/>
  <c r="J61" i="7" s="1"/>
  <c r="AK378" i="1"/>
  <c r="R566" i="8"/>
  <c r="K572" i="8" s="1"/>
  <c r="J576" i="8" s="1"/>
  <c r="R560" i="7"/>
  <c r="J566" i="7" s="1"/>
  <c r="J534" i="8"/>
  <c r="R167" i="8"/>
  <c r="K171" i="8" s="1"/>
  <c r="J175" i="8" s="1"/>
  <c r="R161" i="7"/>
  <c r="J165" i="7" s="1"/>
  <c r="I169" i="7" s="1"/>
  <c r="P274" i="7"/>
  <c r="K274" i="7"/>
  <c r="AK768" i="1"/>
  <c r="R1042" i="8"/>
  <c r="K1046" i="8" s="1"/>
  <c r="J1049" i="8" s="1"/>
  <c r="R1036" i="7"/>
  <c r="J1040" i="7" s="1"/>
  <c r="GM376" i="1"/>
  <c r="GP376" i="1" s="1"/>
  <c r="GM246" i="1"/>
  <c r="GP246" i="1" s="1"/>
  <c r="GM373" i="1"/>
  <c r="GP373" i="1" s="1"/>
  <c r="T880" i="8"/>
  <c r="K885" i="8" s="1"/>
  <c r="T874" i="7"/>
  <c r="J879" i="7" s="1"/>
  <c r="T145" i="8"/>
  <c r="K152" i="8" s="1"/>
  <c r="T139" i="7"/>
  <c r="J146" i="7" s="1"/>
  <c r="AB867" i="1"/>
  <c r="Y816" i="1"/>
  <c r="I839" i="7"/>
  <c r="P733" i="7"/>
  <c r="K733" i="7"/>
  <c r="GK218" i="1"/>
  <c r="GM218" i="1" s="1"/>
  <c r="GP218" i="1" s="1"/>
  <c r="K253" i="8"/>
  <c r="J247" i="7"/>
  <c r="I919" i="7"/>
  <c r="I506" i="7"/>
  <c r="BB204" i="1"/>
  <c r="F421" i="1"/>
  <c r="R555" i="8"/>
  <c r="K561" i="8" s="1"/>
  <c r="J565" i="8" s="1"/>
  <c r="R549" i="7"/>
  <c r="J555" i="7" s="1"/>
  <c r="R872" i="8"/>
  <c r="K876" i="8" s="1"/>
  <c r="J879" i="8" s="1"/>
  <c r="R866" i="7"/>
  <c r="J870" i="7" s="1"/>
  <c r="J421" i="8"/>
  <c r="J403" i="8"/>
  <c r="J299" i="8"/>
  <c r="GM632" i="1"/>
  <c r="GP632" i="1" s="1"/>
  <c r="R1170" i="8"/>
  <c r="K1174" i="8" s="1"/>
  <c r="J1177" i="8" s="1"/>
  <c r="R1164" i="7"/>
  <c r="J1168" i="7" s="1"/>
  <c r="J554" i="8"/>
  <c r="J837" i="8"/>
  <c r="J1169" i="8"/>
  <c r="R806" i="8"/>
  <c r="K809" i="8" s="1"/>
  <c r="J812" i="8" s="1"/>
  <c r="R800" i="7"/>
  <c r="J803" i="7" s="1"/>
  <c r="I806" i="7" s="1"/>
  <c r="AH761" i="1"/>
  <c r="U768" i="1"/>
  <c r="AT516" i="1"/>
  <c r="F554" i="1"/>
  <c r="P517" i="7"/>
  <c r="K517" i="7"/>
  <c r="GK722" i="1"/>
  <c r="GM722" i="1" s="1"/>
  <c r="AE729" i="1"/>
  <c r="GM449" i="1"/>
  <c r="GP449" i="1" s="1"/>
  <c r="R259" i="8"/>
  <c r="K263" i="8" s="1"/>
  <c r="R253" i="7"/>
  <c r="J257" i="7" s="1"/>
  <c r="I260" i="7" s="1"/>
  <c r="J1126" i="8"/>
  <c r="P1073" i="7"/>
  <c r="K1073" i="7"/>
  <c r="P799" i="7"/>
  <c r="K799" i="7"/>
  <c r="GM684" i="1"/>
  <c r="GP684" i="1" s="1"/>
  <c r="S687" i="1"/>
  <c r="GM351" i="1"/>
  <c r="GP351" i="1" s="1"/>
  <c r="R535" i="8"/>
  <c r="K540" i="8" s="1"/>
  <c r="J543" i="8" s="1"/>
  <c r="R529" i="7"/>
  <c r="J534" i="7" s="1"/>
  <c r="R880" i="8"/>
  <c r="K884" i="8" s="1"/>
  <c r="J887" i="8" s="1"/>
  <c r="R874" i="7"/>
  <c r="J878" i="7" s="1"/>
  <c r="I881" i="7" s="1"/>
  <c r="GM448" i="1"/>
  <c r="GP448" i="1" s="1"/>
  <c r="CE484" i="1"/>
  <c r="T285" i="8"/>
  <c r="T279" i="7"/>
  <c r="J281" i="7" s="1"/>
  <c r="AE867" i="1"/>
  <c r="J845" i="8"/>
  <c r="J739" i="8"/>
  <c r="GM338" i="1"/>
  <c r="GP338" i="1" s="1"/>
  <c r="R1154" i="8"/>
  <c r="K1158" i="8" s="1"/>
  <c r="J1161" i="8" s="1"/>
  <c r="R1148" i="7"/>
  <c r="J1152" i="7" s="1"/>
  <c r="I1043" i="7"/>
  <c r="R982" i="8"/>
  <c r="K986" i="8" s="1"/>
  <c r="J989" i="8" s="1"/>
  <c r="R976" i="7"/>
  <c r="J980" i="7" s="1"/>
  <c r="I983" i="7" s="1"/>
  <c r="J678" i="8"/>
  <c r="I711" i="7"/>
  <c r="GM356" i="1"/>
  <c r="GP356" i="1" s="1"/>
  <c r="GK216" i="1"/>
  <c r="GM216" i="1" s="1"/>
  <c r="K235" i="8"/>
  <c r="J229" i="7"/>
  <c r="J659" i="8"/>
  <c r="J395" i="8"/>
  <c r="T577" i="8"/>
  <c r="K582" i="8" s="1"/>
  <c r="T571" i="7"/>
  <c r="J576" i="7" s="1"/>
  <c r="I1147" i="7"/>
  <c r="R96" i="8"/>
  <c r="K102" i="8" s="1"/>
  <c r="J106" i="8" s="1"/>
  <c r="R90" i="7"/>
  <c r="J96" i="7" s="1"/>
  <c r="R444" i="8"/>
  <c r="K450" i="8" s="1"/>
  <c r="R438" i="7"/>
  <c r="J444" i="7" s="1"/>
  <c r="L280" i="8"/>
  <c r="P280" i="8"/>
  <c r="P217" i="7"/>
  <c r="K217" i="7"/>
  <c r="J266" i="8"/>
  <c r="K967" i="7"/>
  <c r="I622" i="7"/>
  <c r="T555" i="8"/>
  <c r="K562" i="8" s="1"/>
  <c r="T549" i="7"/>
  <c r="J556" i="7" s="1"/>
  <c r="I559" i="7" s="1"/>
  <c r="T433" i="8"/>
  <c r="K440" i="8" s="1"/>
  <c r="T427" i="7"/>
  <c r="J434" i="7" s="1"/>
  <c r="R285" i="8"/>
  <c r="R279" i="7"/>
  <c r="P136" i="7"/>
  <c r="K136" i="7"/>
  <c r="P957" i="8"/>
  <c r="L957" i="8"/>
  <c r="T1154" i="8"/>
  <c r="K1159" i="8" s="1"/>
  <c r="T1148" i="7"/>
  <c r="J1153" i="7" s="1"/>
  <c r="I307" i="7"/>
  <c r="GK526" i="1"/>
  <c r="GM526" i="1" s="1"/>
  <c r="GP526" i="1" s="1"/>
  <c r="K723" i="8"/>
  <c r="J717" i="7"/>
  <c r="R773" i="8"/>
  <c r="K777" i="8" s="1"/>
  <c r="J780" i="8" s="1"/>
  <c r="R767" i="7"/>
  <c r="J771" i="7" s="1"/>
  <c r="I774" i="7" s="1"/>
  <c r="P1010" i="8"/>
  <c r="L1010" i="8"/>
  <c r="P849" i="7"/>
  <c r="K849" i="7"/>
  <c r="J331" i="8"/>
  <c r="AH444" i="1"/>
  <c r="U484" i="1"/>
  <c r="J717" i="8"/>
  <c r="T856" i="8"/>
  <c r="K861" i="8" s="1"/>
  <c r="J863" i="8" s="1"/>
  <c r="T850" i="7"/>
  <c r="J855" i="7" s="1"/>
  <c r="I366" i="7"/>
  <c r="R653" i="8"/>
  <c r="K656" i="8" s="1"/>
  <c r="R647" i="7"/>
  <c r="J650" i="7" s="1"/>
  <c r="I653" i="7" s="1"/>
  <c r="I389" i="7"/>
  <c r="I889" i="7"/>
  <c r="R577" i="8"/>
  <c r="K581" i="8" s="1"/>
  <c r="J584" i="8" s="1"/>
  <c r="R571" i="7"/>
  <c r="J575" i="7" s="1"/>
  <c r="I578" i="7" s="1"/>
  <c r="J1153" i="8"/>
  <c r="R679" i="8"/>
  <c r="K684" i="8" s="1"/>
  <c r="J688" i="8" s="1"/>
  <c r="R673" i="7"/>
  <c r="J678" i="7" s="1"/>
  <c r="I682" i="7" s="1"/>
  <c r="J142" i="8"/>
  <c r="T96" i="8"/>
  <c r="K103" i="8" s="1"/>
  <c r="T90" i="7"/>
  <c r="J97" i="7" s="1"/>
  <c r="T444" i="8"/>
  <c r="K451" i="8" s="1"/>
  <c r="T438" i="7"/>
  <c r="J445" i="7" s="1"/>
  <c r="AL76" i="1"/>
  <c r="Y97" i="1"/>
  <c r="AK329" i="1"/>
  <c r="X378" i="1"/>
  <c r="GP803" i="1"/>
  <c r="CD816" i="1" s="1"/>
  <c r="CA816" i="1"/>
  <c r="F181" i="1"/>
  <c r="AP26" i="1"/>
  <c r="Y297" i="1"/>
  <c r="AL286" i="1"/>
  <c r="X729" i="1"/>
  <c r="AK719" i="1"/>
  <c r="AL329" i="1"/>
  <c r="Y378" i="1"/>
  <c r="AK602" i="1"/>
  <c r="X641" i="1"/>
  <c r="AK208" i="1"/>
  <c r="X254" i="1"/>
  <c r="AP516" i="1"/>
  <c r="F545" i="1"/>
  <c r="AS26" i="1"/>
  <c r="F189" i="1"/>
  <c r="AT566" i="1"/>
  <c r="AT444" i="1"/>
  <c r="F502" i="1"/>
  <c r="P30" i="1"/>
  <c r="F47" i="1"/>
  <c r="P172" i="1"/>
  <c r="BA516" i="1"/>
  <c r="F556" i="1"/>
  <c r="F750" i="1"/>
  <c r="T719" i="1"/>
  <c r="F543" i="1"/>
  <c r="AX516" i="1"/>
  <c r="AS208" i="1"/>
  <c r="AS408" i="1"/>
  <c r="AS927" i="1" s="1"/>
  <c r="F271" i="1"/>
  <c r="AB378" i="1"/>
  <c r="GM332" i="1"/>
  <c r="F779" i="1"/>
  <c r="AZ761" i="1"/>
  <c r="AW129" i="1"/>
  <c r="F148" i="1"/>
  <c r="AT26" i="1"/>
  <c r="F190" i="1"/>
  <c r="GM215" i="1"/>
  <c r="GP215" i="1" s="1"/>
  <c r="BA848" i="1"/>
  <c r="F887" i="1"/>
  <c r="BB598" i="1"/>
  <c r="F910" i="1"/>
  <c r="Y800" i="1"/>
  <c r="F843" i="1"/>
  <c r="R768" i="1"/>
  <c r="AE761" i="1"/>
  <c r="AB848" i="1"/>
  <c r="O867" i="1"/>
  <c r="AK297" i="1"/>
  <c r="F319" i="1"/>
  <c r="U286" i="1"/>
  <c r="BA208" i="1"/>
  <c r="F274" i="1"/>
  <c r="BA408" i="1"/>
  <c r="BA927" i="1" s="1"/>
  <c r="F741" i="1"/>
  <c r="Q719" i="1"/>
  <c r="CI329" i="1"/>
  <c r="AZ378" i="1"/>
  <c r="AD800" i="1"/>
  <c r="Q816" i="1"/>
  <c r="Q897" i="1" s="1"/>
  <c r="V286" i="1"/>
  <c r="F320" i="1"/>
  <c r="GP214" i="1"/>
  <c r="P297" i="1"/>
  <c r="AC286" i="1"/>
  <c r="CH297" i="1"/>
  <c r="CE297" i="1"/>
  <c r="CF297" i="1"/>
  <c r="F889" i="1"/>
  <c r="U848" i="1"/>
  <c r="F192" i="1"/>
  <c r="BA26" i="1"/>
  <c r="AX208" i="1"/>
  <c r="F261" i="1"/>
  <c r="AX408" i="1"/>
  <c r="V444" i="1"/>
  <c r="F507" i="1"/>
  <c r="V566" i="1"/>
  <c r="AF286" i="1"/>
  <c r="S297" i="1"/>
  <c r="Q208" i="1"/>
  <c r="F266" i="1"/>
  <c r="CI208" i="1"/>
  <c r="AZ254" i="1"/>
  <c r="AG329" i="1"/>
  <c r="T378" i="1"/>
  <c r="Y254" i="1"/>
  <c r="AL208" i="1"/>
  <c r="AE30" i="1"/>
  <c r="R44" i="1"/>
  <c r="BA329" i="1"/>
  <c r="F398" i="1"/>
  <c r="AT673" i="1"/>
  <c r="AT897" i="1"/>
  <c r="F705" i="1"/>
  <c r="F314" i="1"/>
  <c r="AS286" i="1"/>
  <c r="U602" i="1"/>
  <c r="F663" i="1"/>
  <c r="U897" i="1"/>
  <c r="AJ208" i="1"/>
  <c r="W254" i="1"/>
  <c r="AV536" i="1"/>
  <c r="CE516" i="1"/>
  <c r="AP329" i="1"/>
  <c r="F387" i="1"/>
  <c r="AX286" i="1"/>
  <c r="F304" i="1"/>
  <c r="CG602" i="1"/>
  <c r="AX641" i="1"/>
  <c r="T76" i="1"/>
  <c r="F118" i="1"/>
  <c r="F56" i="1"/>
  <c r="Q30" i="1"/>
  <c r="AB444" i="1"/>
  <c r="O484" i="1"/>
  <c r="T602" i="1"/>
  <c r="F662" i="1"/>
  <c r="T897" i="1"/>
  <c r="AL516" i="1"/>
  <c r="Y536" i="1"/>
  <c r="F59" i="1"/>
  <c r="S30" i="1"/>
  <c r="W673" i="1"/>
  <c r="F711" i="1"/>
  <c r="BD598" i="1"/>
  <c r="F922" i="1"/>
  <c r="CH97" i="1"/>
  <c r="P97" i="1"/>
  <c r="AC76" i="1"/>
  <c r="CE97" i="1"/>
  <c r="CF97" i="1"/>
  <c r="BA800" i="1"/>
  <c r="F836" i="1"/>
  <c r="AQ602" i="1"/>
  <c r="F651" i="1"/>
  <c r="AQ897" i="1"/>
  <c r="F120" i="1"/>
  <c r="V76" i="1"/>
  <c r="W286" i="1"/>
  <c r="F321" i="1"/>
  <c r="AJ329" i="1"/>
  <c r="W378" i="1"/>
  <c r="F698" i="1"/>
  <c r="AZ673" i="1"/>
  <c r="AO26" i="1"/>
  <c r="F176" i="1"/>
  <c r="AO927" i="1"/>
  <c r="AW536" i="1"/>
  <c r="CF516" i="1"/>
  <c r="O44" i="1"/>
  <c r="AB30" i="1"/>
  <c r="F736" i="1"/>
  <c r="AX719" i="1"/>
  <c r="P761" i="1"/>
  <c r="F771" i="1"/>
  <c r="AD329" i="1"/>
  <c r="Q378" i="1"/>
  <c r="GM355" i="1"/>
  <c r="GP355" i="1" s="1"/>
  <c r="GM81" i="1"/>
  <c r="AB97" i="1"/>
  <c r="CI800" i="1"/>
  <c r="AZ816" i="1"/>
  <c r="AT719" i="1"/>
  <c r="F747" i="1"/>
  <c r="W800" i="1"/>
  <c r="F840" i="1"/>
  <c r="X800" i="1"/>
  <c r="F842" i="1"/>
  <c r="F753" i="1"/>
  <c r="W719" i="1"/>
  <c r="CI602" i="1"/>
  <c r="AZ641" i="1"/>
  <c r="F182" i="1"/>
  <c r="AQ26" i="1"/>
  <c r="CI76" i="1"/>
  <c r="AZ97" i="1"/>
  <c r="AP566" i="1"/>
  <c r="BB440" i="1"/>
  <c r="F579" i="1"/>
  <c r="F882" i="1"/>
  <c r="S848" i="1"/>
  <c r="AQ204" i="1"/>
  <c r="F418" i="1"/>
  <c r="T848" i="1"/>
  <c r="F888" i="1"/>
  <c r="F317" i="1"/>
  <c r="BA286" i="1"/>
  <c r="CH761" i="1"/>
  <c r="AY768" i="1"/>
  <c r="Q516" i="1"/>
  <c r="F548" i="1"/>
  <c r="BA566" i="1"/>
  <c r="AK97" i="1"/>
  <c r="F559" i="1"/>
  <c r="V516" i="1"/>
  <c r="F825" i="1"/>
  <c r="AP800" i="1"/>
  <c r="R816" i="1"/>
  <c r="AE800" i="1"/>
  <c r="Q673" i="1"/>
  <c r="F699" i="1"/>
  <c r="W30" i="1"/>
  <c r="F68" i="1"/>
  <c r="W172" i="1"/>
  <c r="AY129" i="1"/>
  <c r="F150" i="1"/>
  <c r="T673" i="1"/>
  <c r="F708" i="1"/>
  <c r="F51" i="1"/>
  <c r="AX30" i="1"/>
  <c r="AX172" i="1"/>
  <c r="F119" i="1"/>
  <c r="U76" i="1"/>
  <c r="F395" i="1"/>
  <c r="AS329" i="1"/>
  <c r="CA44" i="1"/>
  <c r="GP35" i="1"/>
  <c r="CD44" i="1" s="1"/>
  <c r="BC22" i="1"/>
  <c r="BC957" i="1"/>
  <c r="F943" i="1"/>
  <c r="F831" i="1"/>
  <c r="S800" i="1"/>
  <c r="AI602" i="1"/>
  <c r="V641" i="1"/>
  <c r="AF208" i="1"/>
  <c r="S254" i="1"/>
  <c r="F66" i="1"/>
  <c r="U30" i="1"/>
  <c r="U172" i="1"/>
  <c r="X44" i="1"/>
  <c r="AK30" i="1"/>
  <c r="R867" i="1"/>
  <c r="AE848" i="1"/>
  <c r="F558" i="1"/>
  <c r="U516" i="1"/>
  <c r="W602" i="1"/>
  <c r="F665" i="1"/>
  <c r="W897" i="1"/>
  <c r="BA673" i="1"/>
  <c r="F707" i="1"/>
  <c r="CE254" i="1"/>
  <c r="CF254" i="1"/>
  <c r="CH254" i="1"/>
  <c r="AC208" i="1"/>
  <c r="P254" i="1"/>
  <c r="AP602" i="1"/>
  <c r="AP897" i="1"/>
  <c r="F650" i="1"/>
  <c r="F539" i="1"/>
  <c r="P516" i="1"/>
  <c r="AF719" i="1"/>
  <c r="S729" i="1"/>
  <c r="X484" i="1"/>
  <c r="AK444" i="1"/>
  <c r="AB297" i="1"/>
  <c r="GM452" i="1"/>
  <c r="GP452" i="1" s="1"/>
  <c r="AH208" i="1"/>
  <c r="U254" i="1"/>
  <c r="AV768" i="1"/>
  <c r="CE761" i="1"/>
  <c r="F505" i="1"/>
  <c r="T566" i="1"/>
  <c r="T444" i="1"/>
  <c r="Q602" i="1"/>
  <c r="F653" i="1"/>
  <c r="BC598" i="1"/>
  <c r="F913" i="1"/>
  <c r="AO204" i="1"/>
  <c r="F412" i="1"/>
  <c r="Q867" i="1"/>
  <c r="AD848" i="1"/>
  <c r="AX329" i="1"/>
  <c r="F385" i="1"/>
  <c r="F775" i="1"/>
  <c r="AX761" i="1"/>
  <c r="BA761" i="1"/>
  <c r="F788" i="1"/>
  <c r="F318" i="1"/>
  <c r="T286" i="1"/>
  <c r="GM631" i="1"/>
  <c r="GP631" i="1" s="1"/>
  <c r="S641" i="1"/>
  <c r="AF602" i="1"/>
  <c r="W761" i="1"/>
  <c r="F792" i="1"/>
  <c r="AP208" i="1"/>
  <c r="F263" i="1"/>
  <c r="AP408" i="1"/>
  <c r="T30" i="1"/>
  <c r="F65" i="1"/>
  <c r="T172" i="1"/>
  <c r="R641" i="1"/>
  <c r="AE602" i="1"/>
  <c r="AQ444" i="1"/>
  <c r="F494" i="1"/>
  <c r="AQ566" i="1"/>
  <c r="AL719" i="1"/>
  <c r="Y729" i="1"/>
  <c r="CA297" i="1"/>
  <c r="GP289" i="1"/>
  <c r="CD297" i="1" s="1"/>
  <c r="AS598" i="1"/>
  <c r="F914" i="1"/>
  <c r="F557" i="1"/>
  <c r="T516" i="1"/>
  <c r="BB927" i="1"/>
  <c r="GM724" i="1"/>
  <c r="GP724" i="1" s="1"/>
  <c r="BD204" i="1"/>
  <c r="F433" i="1"/>
  <c r="BD927" i="1"/>
  <c r="AE329" i="1"/>
  <c r="R378" i="1"/>
  <c r="U800" i="1"/>
  <c r="F838" i="1"/>
  <c r="T208" i="1"/>
  <c r="F275" i="1"/>
  <c r="AB536" i="1"/>
  <c r="GM520" i="1"/>
  <c r="AK761" i="1"/>
  <c r="X768" i="1"/>
  <c r="AZ484" i="1"/>
  <c r="CI444" i="1"/>
  <c r="R297" i="1"/>
  <c r="AE286" i="1"/>
  <c r="AW768" i="1"/>
  <c r="CF761" i="1"/>
  <c r="GM86" i="1"/>
  <c r="GP86" i="1" s="1"/>
  <c r="T800" i="1"/>
  <c r="F837" i="1"/>
  <c r="F780" i="1"/>
  <c r="Q761" i="1"/>
  <c r="F891" i="1"/>
  <c r="W848" i="1"/>
  <c r="CH444" i="1"/>
  <c r="AY484" i="1"/>
  <c r="CE641" i="1"/>
  <c r="CF641" i="1"/>
  <c r="P641" i="1"/>
  <c r="CH641" i="1"/>
  <c r="AC602" i="1"/>
  <c r="F878" i="1"/>
  <c r="AZ848" i="1"/>
  <c r="GM764" i="1"/>
  <c r="AB768" i="1"/>
  <c r="Q286" i="1"/>
  <c r="F309" i="1"/>
  <c r="F67" i="1"/>
  <c r="V30" i="1"/>
  <c r="V172" i="1"/>
  <c r="AB254" i="1"/>
  <c r="BD440" i="1"/>
  <c r="F591" i="1"/>
  <c r="AL761" i="1"/>
  <c r="Y768" i="1"/>
  <c r="S97" i="1"/>
  <c r="S172" i="1" s="1"/>
  <c r="AF76" i="1"/>
  <c r="GP722" i="1"/>
  <c r="GM334" i="1"/>
  <c r="GP334" i="1" s="1"/>
  <c r="BC440" i="1"/>
  <c r="F582" i="1"/>
  <c r="F551" i="1"/>
  <c r="S516" i="1"/>
  <c r="CH30" i="1"/>
  <c r="AY44" i="1"/>
  <c r="AP286" i="1"/>
  <c r="F306" i="1"/>
  <c r="Q566" i="1"/>
  <c r="F496" i="1"/>
  <c r="Q444" i="1"/>
  <c r="AK848" i="1"/>
  <c r="X867" i="1"/>
  <c r="F740" i="1"/>
  <c r="AZ719" i="1"/>
  <c r="F826" i="1"/>
  <c r="AQ800" i="1"/>
  <c r="BA76" i="1"/>
  <c r="F117" i="1"/>
  <c r="F487" i="1"/>
  <c r="P566" i="1"/>
  <c r="P444" i="1"/>
  <c r="AI208" i="1"/>
  <c r="V254" i="1"/>
  <c r="F315" i="1"/>
  <c r="AT286" i="1"/>
  <c r="GM605" i="1"/>
  <c r="AB641" i="1"/>
  <c r="CA867" i="1"/>
  <c r="GP851" i="1"/>
  <c r="CD867" i="1" s="1"/>
  <c r="AC673" i="1"/>
  <c r="CE687" i="1"/>
  <c r="CF687" i="1"/>
  <c r="CH687" i="1"/>
  <c r="P687" i="1"/>
  <c r="AZ129" i="1"/>
  <c r="F153" i="1"/>
  <c r="GM676" i="1"/>
  <c r="AB687" i="1"/>
  <c r="R687" i="1"/>
  <c r="AY536" i="1"/>
  <c r="CH516" i="1"/>
  <c r="AE516" i="1"/>
  <c r="R536" i="1"/>
  <c r="V800" i="1"/>
  <c r="F839" i="1"/>
  <c r="S768" i="1"/>
  <c r="AF761" i="1"/>
  <c r="CG444" i="1"/>
  <c r="AX484" i="1"/>
  <c r="S673" i="1"/>
  <c r="F702" i="1"/>
  <c r="CG800" i="1"/>
  <c r="AX816" i="1"/>
  <c r="CE816" i="1"/>
  <c r="CF816" i="1"/>
  <c r="AC800" i="1"/>
  <c r="P816" i="1"/>
  <c r="CH816" i="1"/>
  <c r="AL602" i="1"/>
  <c r="Y641" i="1"/>
  <c r="P867" i="1"/>
  <c r="CE867" i="1"/>
  <c r="CF867" i="1"/>
  <c r="CH867" i="1"/>
  <c r="AC848" i="1"/>
  <c r="AL444" i="1"/>
  <c r="Y484" i="1"/>
  <c r="AW44" i="1"/>
  <c r="CF30" i="1"/>
  <c r="S566" i="1"/>
  <c r="F499" i="1"/>
  <c r="S444" i="1"/>
  <c r="AZ297" i="1"/>
  <c r="CI286" i="1"/>
  <c r="W444" i="1"/>
  <c r="F508" i="1"/>
  <c r="W566" i="1"/>
  <c r="V673" i="1"/>
  <c r="F710" i="1"/>
  <c r="Q97" i="1"/>
  <c r="Q172" i="1" s="1"/>
  <c r="AD76" i="1"/>
  <c r="AX673" i="1"/>
  <c r="F694" i="1"/>
  <c r="AS444" i="1"/>
  <c r="AS566" i="1"/>
  <c r="F501" i="1"/>
  <c r="F55" i="1"/>
  <c r="AZ30" i="1"/>
  <c r="AZ172" i="1"/>
  <c r="CF444" i="1"/>
  <c r="AW484" i="1"/>
  <c r="F121" i="1"/>
  <c r="W76" i="1"/>
  <c r="AB800" i="1"/>
  <c r="O816" i="1"/>
  <c r="BA602" i="1"/>
  <c r="F661" i="1"/>
  <c r="BA897" i="1"/>
  <c r="R254" i="1"/>
  <c r="AE208" i="1"/>
  <c r="CE729" i="1"/>
  <c r="CF729" i="1"/>
  <c r="AC719" i="1"/>
  <c r="P729" i="1"/>
  <c r="CH729" i="1"/>
  <c r="Y867" i="1"/>
  <c r="AL848" i="1"/>
  <c r="AP76" i="1"/>
  <c r="F106" i="1"/>
  <c r="AI329" i="1"/>
  <c r="V378" i="1"/>
  <c r="AF329" i="1"/>
  <c r="S378" i="1"/>
  <c r="AT208" i="1"/>
  <c r="AT408" i="1"/>
  <c r="F272" i="1"/>
  <c r="AB719" i="1"/>
  <c r="O729" i="1"/>
  <c r="W516" i="1"/>
  <c r="F560" i="1"/>
  <c r="V848" i="1"/>
  <c r="F890" i="1"/>
  <c r="GM458" i="1"/>
  <c r="F874" i="1"/>
  <c r="AX848" i="1"/>
  <c r="AO598" i="1"/>
  <c r="F901" i="1"/>
  <c r="AZ536" i="1"/>
  <c r="CI516" i="1"/>
  <c r="AX129" i="1"/>
  <c r="F149" i="1"/>
  <c r="AL673" i="1"/>
  <c r="Y687" i="1"/>
  <c r="AV44" i="1"/>
  <c r="CE30" i="1"/>
  <c r="AK673" i="1"/>
  <c r="X687" i="1"/>
  <c r="R97" i="1"/>
  <c r="AE76" i="1"/>
  <c r="AC329" i="1"/>
  <c r="P378" i="1"/>
  <c r="CH378" i="1"/>
  <c r="CE378" i="1"/>
  <c r="CF378" i="1"/>
  <c r="U719" i="1"/>
  <c r="F751" i="1"/>
  <c r="AH329" i="1"/>
  <c r="U378" i="1"/>
  <c r="CE444" i="1"/>
  <c r="AV484" i="1"/>
  <c r="F752" i="1"/>
  <c r="V719" i="1"/>
  <c r="I570" i="7" l="1"/>
  <c r="I1028" i="7"/>
  <c r="I1020" i="7"/>
  <c r="I128" i="7"/>
  <c r="I63" i="7"/>
  <c r="K48" i="7"/>
  <c r="I865" i="7"/>
  <c r="I100" i="7"/>
  <c r="P100" i="7" s="1"/>
  <c r="I548" i="7"/>
  <c r="K548" i="7" s="1"/>
  <c r="K1089" i="7"/>
  <c r="I1155" i="7"/>
  <c r="P1155" i="7" s="1"/>
  <c r="I873" i="7"/>
  <c r="P873" i="7" s="1"/>
  <c r="I537" i="7"/>
  <c r="I437" i="7"/>
  <c r="K335" i="7"/>
  <c r="I448" i="7"/>
  <c r="P121" i="7"/>
  <c r="I1171" i="7"/>
  <c r="K1171" i="7" s="1"/>
  <c r="I857" i="7"/>
  <c r="K857" i="7" s="1"/>
  <c r="I149" i="7"/>
  <c r="K149" i="7" s="1"/>
  <c r="I813" i="7"/>
  <c r="K813" i="7" s="1"/>
  <c r="K315" i="7"/>
  <c r="P160" i="7"/>
  <c r="I225" i="7"/>
  <c r="P996" i="8"/>
  <c r="L996" i="8"/>
  <c r="P881" i="7"/>
  <c r="K881" i="7"/>
  <c r="P260" i="7"/>
  <c r="K260" i="7"/>
  <c r="P63" i="7"/>
  <c r="K63" i="7"/>
  <c r="P61" i="8"/>
  <c r="J204" i="8" s="1"/>
  <c r="L61" i="8"/>
  <c r="P1026" i="8"/>
  <c r="J1036" i="8" s="1"/>
  <c r="L1026" i="8"/>
  <c r="L887" i="8"/>
  <c r="P887" i="8"/>
  <c r="K806" i="7"/>
  <c r="P806" i="7"/>
  <c r="K873" i="7"/>
  <c r="P128" i="7"/>
  <c r="K128" i="7"/>
  <c r="L349" i="8"/>
  <c r="P349" i="8"/>
  <c r="L1161" i="8"/>
  <c r="P1161" i="8"/>
  <c r="P537" i="7"/>
  <c r="K537" i="7"/>
  <c r="L812" i="8"/>
  <c r="P812" i="8"/>
  <c r="P879" i="8"/>
  <c r="L879" i="8"/>
  <c r="P1049" i="8"/>
  <c r="J1051" i="8" s="1"/>
  <c r="L1049" i="8"/>
  <c r="L182" i="8"/>
  <c r="P182" i="8"/>
  <c r="P379" i="8"/>
  <c r="L379" i="8"/>
  <c r="K1020" i="7"/>
  <c r="P1020" i="7"/>
  <c r="P543" i="8"/>
  <c r="L543" i="8"/>
  <c r="K437" i="7"/>
  <c r="P437" i="7"/>
  <c r="L584" i="8"/>
  <c r="P584" i="8"/>
  <c r="P1136" i="7"/>
  <c r="K1136" i="7"/>
  <c r="L443" i="8"/>
  <c r="P443" i="8"/>
  <c r="P313" i="8"/>
  <c r="L313" i="8"/>
  <c r="P652" i="8"/>
  <c r="L652" i="8"/>
  <c r="L780" i="8"/>
  <c r="P780" i="8"/>
  <c r="L565" i="8"/>
  <c r="P565" i="8"/>
  <c r="P1034" i="8"/>
  <c r="L1034" i="8"/>
  <c r="P1142" i="8"/>
  <c r="L1142" i="8"/>
  <c r="K723" i="7"/>
  <c r="P723" i="7"/>
  <c r="L863" i="8"/>
  <c r="P863" i="8"/>
  <c r="GP216" i="1"/>
  <c r="CA254" i="1"/>
  <c r="P169" i="7"/>
  <c r="K169" i="7"/>
  <c r="L1185" i="8"/>
  <c r="P1185" i="8"/>
  <c r="P981" i="8"/>
  <c r="L981" i="8"/>
  <c r="P175" i="8"/>
  <c r="L175" i="8"/>
  <c r="P857" i="7"/>
  <c r="P813" i="7"/>
  <c r="P941" i="8"/>
  <c r="L941" i="8"/>
  <c r="L871" i="8"/>
  <c r="P871" i="8"/>
  <c r="L688" i="8"/>
  <c r="P688" i="8"/>
  <c r="P559" i="7"/>
  <c r="K559" i="7"/>
  <c r="L1177" i="8"/>
  <c r="P1177" i="8"/>
  <c r="L155" i="8"/>
  <c r="P155" i="8"/>
  <c r="P225" i="7"/>
  <c r="K225" i="7"/>
  <c r="P468" i="7"/>
  <c r="K468" i="7"/>
  <c r="K682" i="7"/>
  <c r="P682" i="7"/>
  <c r="P570" i="7"/>
  <c r="K570" i="7"/>
  <c r="L231" i="8"/>
  <c r="P231" i="8"/>
  <c r="L69" i="8"/>
  <c r="P69" i="8"/>
  <c r="P106" i="8"/>
  <c r="L106" i="8"/>
  <c r="L576" i="8"/>
  <c r="P576" i="8"/>
  <c r="P591" i="8"/>
  <c r="L591" i="8"/>
  <c r="K990" i="7"/>
  <c r="P990" i="7"/>
  <c r="P1134" i="8"/>
  <c r="L1134" i="8"/>
  <c r="L512" i="8"/>
  <c r="P512" i="8"/>
  <c r="P1111" i="8"/>
  <c r="L1111" i="8"/>
  <c r="L895" i="8"/>
  <c r="P895" i="8"/>
  <c r="K287" i="8"/>
  <c r="J289" i="8" s="1"/>
  <c r="P717" i="8"/>
  <c r="L717" i="8"/>
  <c r="P395" i="8"/>
  <c r="L395" i="8"/>
  <c r="P919" i="7"/>
  <c r="K919" i="7"/>
  <c r="P88" i="8"/>
  <c r="L88" i="8"/>
  <c r="L117" i="8"/>
  <c r="P117" i="8"/>
  <c r="K578" i="7"/>
  <c r="P578" i="7"/>
  <c r="P1012" i="7"/>
  <c r="K1012" i="7"/>
  <c r="L142" i="8"/>
  <c r="P142" i="8"/>
  <c r="P454" i="8"/>
  <c r="L454" i="8"/>
  <c r="U566" i="1"/>
  <c r="F506" i="1"/>
  <c r="U444" i="1"/>
  <c r="L659" i="8"/>
  <c r="P659" i="8"/>
  <c r="P1043" i="7"/>
  <c r="I1045" i="7" s="1"/>
  <c r="K1043" i="7"/>
  <c r="L1126" i="8"/>
  <c r="P1126" i="8"/>
  <c r="U761" i="1"/>
  <c r="F790" i="1"/>
  <c r="P299" i="8"/>
  <c r="L299" i="8"/>
  <c r="P534" i="8"/>
  <c r="L534" i="8"/>
  <c r="P925" i="8"/>
  <c r="J998" i="8" s="1"/>
  <c r="L925" i="8"/>
  <c r="I1081" i="7"/>
  <c r="P184" i="7"/>
  <c r="K184" i="7"/>
  <c r="P983" i="7"/>
  <c r="K983" i="7"/>
  <c r="P267" i="7"/>
  <c r="K267" i="7"/>
  <c r="P1153" i="8"/>
  <c r="L1153" i="8"/>
  <c r="L403" i="8"/>
  <c r="P403" i="8"/>
  <c r="P585" i="7"/>
  <c r="K585" i="7"/>
  <c r="L489" i="8"/>
  <c r="P489" i="8"/>
  <c r="L760" i="8"/>
  <c r="P760" i="8"/>
  <c r="P865" i="7"/>
  <c r="K865" i="7"/>
  <c r="L973" i="8"/>
  <c r="P973" i="8"/>
  <c r="P989" i="8"/>
  <c r="L989" i="8"/>
  <c r="CD729" i="1"/>
  <c r="P307" i="7"/>
  <c r="K307" i="7"/>
  <c r="P421" i="8"/>
  <c r="L421" i="8"/>
  <c r="U673" i="1"/>
  <c r="F709" i="1"/>
  <c r="L127" i="8"/>
  <c r="P127" i="8"/>
  <c r="P55" i="7"/>
  <c r="K55" i="7"/>
  <c r="P975" i="7"/>
  <c r="K975" i="7"/>
  <c r="P235" i="7"/>
  <c r="K235" i="7"/>
  <c r="CA729" i="1"/>
  <c r="P331" i="8"/>
  <c r="L331" i="8"/>
  <c r="P373" i="7"/>
  <c r="K373" i="7"/>
  <c r="P448" i="7"/>
  <c r="K448" i="7"/>
  <c r="P397" i="7"/>
  <c r="K397" i="7"/>
  <c r="P646" i="7"/>
  <c r="K646" i="7"/>
  <c r="P372" i="8"/>
  <c r="J405" i="8" s="1"/>
  <c r="L372" i="8"/>
  <c r="P523" i="8"/>
  <c r="L523" i="8"/>
  <c r="P1120" i="7"/>
  <c r="K1120" i="7"/>
  <c r="P1128" i="7"/>
  <c r="K1128" i="7"/>
  <c r="I176" i="7"/>
  <c r="P754" i="7"/>
  <c r="K754" i="7"/>
  <c r="L190" i="8"/>
  <c r="P190" i="8"/>
  <c r="P889" i="7"/>
  <c r="K889" i="7"/>
  <c r="P343" i="7"/>
  <c r="K343" i="7"/>
  <c r="AE719" i="1"/>
  <c r="R729" i="1"/>
  <c r="P653" i="7"/>
  <c r="K653" i="7"/>
  <c r="L819" i="8"/>
  <c r="P819" i="8"/>
  <c r="P381" i="7"/>
  <c r="K381" i="7"/>
  <c r="P474" i="8"/>
  <c r="L474" i="8"/>
  <c r="P628" i="8"/>
  <c r="L628" i="8"/>
  <c r="L266" i="8"/>
  <c r="P266" i="8"/>
  <c r="K506" i="7"/>
  <c r="P506" i="7"/>
  <c r="P134" i="8"/>
  <c r="L134" i="8"/>
  <c r="P935" i="7"/>
  <c r="K935" i="7"/>
  <c r="CD254" i="1"/>
  <c r="AU254" i="1" s="1"/>
  <c r="K389" i="7"/>
  <c r="P389" i="7"/>
  <c r="L1169" i="8"/>
  <c r="P1169" i="8"/>
  <c r="P774" i="7"/>
  <c r="K774" i="7"/>
  <c r="K839" i="7"/>
  <c r="P839" i="7"/>
  <c r="P831" i="7"/>
  <c r="K831" i="7"/>
  <c r="P415" i="7"/>
  <c r="K415" i="7"/>
  <c r="P1064" i="8"/>
  <c r="J1113" i="8" s="1"/>
  <c r="L1064" i="8"/>
  <c r="P387" i="8"/>
  <c r="L387" i="8"/>
  <c r="L729" i="8"/>
  <c r="P729" i="8"/>
  <c r="AK516" i="1"/>
  <c r="X536" i="1"/>
  <c r="K1028" i="7"/>
  <c r="P1028" i="7"/>
  <c r="R484" i="1"/>
  <c r="F498" i="1" s="1"/>
  <c r="P622" i="7"/>
  <c r="K622" i="7"/>
  <c r="P711" i="7"/>
  <c r="K711" i="7"/>
  <c r="L739" i="8"/>
  <c r="P739" i="8"/>
  <c r="P1179" i="7"/>
  <c r="K1179" i="7"/>
  <c r="P706" i="8"/>
  <c r="L706" i="8"/>
  <c r="P700" i="7"/>
  <c r="K700" i="7"/>
  <c r="P1105" i="7"/>
  <c r="K1105" i="7"/>
  <c r="Y44" i="1"/>
  <c r="AL30" i="1"/>
  <c r="P1004" i="7"/>
  <c r="K1004" i="7"/>
  <c r="L1087" i="8"/>
  <c r="P1087" i="8"/>
  <c r="P273" i="8"/>
  <c r="L273" i="8"/>
  <c r="P483" i="7"/>
  <c r="K483" i="7"/>
  <c r="AP927" i="1"/>
  <c r="AP22" i="1" s="1"/>
  <c r="AT927" i="1"/>
  <c r="P678" i="8"/>
  <c r="L678" i="8"/>
  <c r="P845" i="8"/>
  <c r="L845" i="8"/>
  <c r="L837" i="8"/>
  <c r="P837" i="8"/>
  <c r="P82" i="7"/>
  <c r="K82" i="7"/>
  <c r="P293" i="7"/>
  <c r="K293" i="7"/>
  <c r="P366" i="7"/>
  <c r="K366" i="7"/>
  <c r="P1147" i="7"/>
  <c r="K1147" i="7"/>
  <c r="L554" i="8"/>
  <c r="P554" i="8"/>
  <c r="L248" i="8"/>
  <c r="P248" i="8"/>
  <c r="J280" i="7"/>
  <c r="I283" i="7" s="1"/>
  <c r="P951" i="7"/>
  <c r="K951" i="7"/>
  <c r="J90" i="8"/>
  <c r="Q26" i="1"/>
  <c r="F184" i="1"/>
  <c r="AT22" i="1"/>
  <c r="F945" i="1"/>
  <c r="F16" i="2" s="1"/>
  <c r="F18" i="2" s="1"/>
  <c r="AT957" i="1"/>
  <c r="S26" i="1"/>
  <c r="F187" i="1"/>
  <c r="CE673" i="1"/>
  <c r="AV687" i="1"/>
  <c r="CD286" i="1"/>
  <c r="AU297" i="1"/>
  <c r="F744" i="1"/>
  <c r="S719" i="1"/>
  <c r="W26" i="1"/>
  <c r="F196" i="1"/>
  <c r="Q329" i="1"/>
  <c r="F390" i="1"/>
  <c r="Q408" i="1"/>
  <c r="Q927" i="1" s="1"/>
  <c r="CF286" i="1"/>
  <c r="AW297" i="1"/>
  <c r="GP764" i="1"/>
  <c r="CD768" i="1" s="1"/>
  <c r="CA768" i="1"/>
  <c r="S602" i="1"/>
  <c r="F656" i="1"/>
  <c r="S897" i="1"/>
  <c r="AX602" i="1"/>
  <c r="F648" i="1"/>
  <c r="AX897" i="1"/>
  <c r="AT598" i="1"/>
  <c r="F915" i="1"/>
  <c r="CH286" i="1"/>
  <c r="AY297" i="1"/>
  <c r="P26" i="1"/>
  <c r="F175" i="1"/>
  <c r="S761" i="1"/>
  <c r="F783" i="1"/>
  <c r="CA848" i="1"/>
  <c r="AR867" i="1"/>
  <c r="CD30" i="1"/>
  <c r="AU44" i="1"/>
  <c r="S286" i="1"/>
  <c r="F312" i="1"/>
  <c r="BC18" i="1"/>
  <c r="F973" i="1"/>
  <c r="AR44" i="1"/>
  <c r="CA30" i="1"/>
  <c r="F300" i="1"/>
  <c r="P286" i="1"/>
  <c r="X297" i="1"/>
  <c r="AK286" i="1"/>
  <c r="F755" i="1"/>
  <c r="X719" i="1"/>
  <c r="F713" i="1"/>
  <c r="X673" i="1"/>
  <c r="O848" i="1"/>
  <c r="F869" i="1"/>
  <c r="Y329" i="1"/>
  <c r="F405" i="1"/>
  <c r="Y602" i="1"/>
  <c r="F668" i="1"/>
  <c r="Y897" i="1"/>
  <c r="CH602" i="1"/>
  <c r="AY641" i="1"/>
  <c r="AW729" i="1"/>
  <c r="CF719" i="1"/>
  <c r="BD22" i="1"/>
  <c r="F952" i="1"/>
  <c r="BD957" i="1"/>
  <c r="AQ598" i="1"/>
  <c r="F907" i="1"/>
  <c r="AV729" i="1"/>
  <c r="CE719" i="1"/>
  <c r="Q440" i="1"/>
  <c r="F578" i="1"/>
  <c r="CE602" i="1"/>
  <c r="AV641" i="1"/>
  <c r="R286" i="1"/>
  <c r="F311" i="1"/>
  <c r="P208" i="1"/>
  <c r="F257" i="1"/>
  <c r="P408" i="1"/>
  <c r="P927" i="1" s="1"/>
  <c r="U26" i="1"/>
  <c r="F194" i="1"/>
  <c r="U927" i="1"/>
  <c r="O30" i="1"/>
  <c r="F46" i="1"/>
  <c r="GP332" i="1"/>
  <c r="CD378" i="1" s="1"/>
  <c r="CA378" i="1"/>
  <c r="AT440" i="1"/>
  <c r="F584" i="1"/>
  <c r="P848" i="1"/>
  <c r="F870" i="1"/>
  <c r="F732" i="1"/>
  <c r="P719" i="1"/>
  <c r="O719" i="1"/>
  <c r="F731" i="1"/>
  <c r="F644" i="1"/>
  <c r="P602" i="1"/>
  <c r="P897" i="1"/>
  <c r="AB208" i="1"/>
  <c r="O254" i="1"/>
  <c r="F193" i="1"/>
  <c r="T26" i="1"/>
  <c r="F773" i="1"/>
  <c r="AV761" i="1"/>
  <c r="CH208" i="1"/>
  <c r="AY254" i="1"/>
  <c r="AX26" i="1"/>
  <c r="F179" i="1"/>
  <c r="AW516" i="1"/>
  <c r="F542" i="1"/>
  <c r="AV516" i="1"/>
  <c r="F541" i="1"/>
  <c r="F281" i="1"/>
  <c r="Y208" i="1"/>
  <c r="Y408" i="1"/>
  <c r="F828" i="1"/>
  <c r="Q800" i="1"/>
  <c r="AY729" i="1"/>
  <c r="CH719" i="1"/>
  <c r="Y719" i="1"/>
  <c r="F756" i="1"/>
  <c r="F49" i="1"/>
  <c r="AV30" i="1"/>
  <c r="F308" i="1"/>
  <c r="AZ286" i="1"/>
  <c r="AR254" i="1"/>
  <c r="CA208" i="1"/>
  <c r="F277" i="1"/>
  <c r="V208" i="1"/>
  <c r="V408" i="1"/>
  <c r="V26" i="1"/>
  <c r="F195" i="1"/>
  <c r="F794" i="1"/>
  <c r="X761" i="1"/>
  <c r="F276" i="1"/>
  <c r="U208" i="1"/>
  <c r="U408" i="1"/>
  <c r="CF208" i="1"/>
  <c r="AW254" i="1"/>
  <c r="S208" i="1"/>
  <c r="S408" i="1"/>
  <c r="S927" i="1" s="1"/>
  <c r="F269" i="1"/>
  <c r="AO22" i="1"/>
  <c r="AO957" i="1"/>
  <c r="F931" i="1"/>
  <c r="CF76" i="1"/>
  <c r="AW97" i="1"/>
  <c r="W208" i="1"/>
  <c r="W408" i="1"/>
  <c r="F278" i="1"/>
  <c r="AS204" i="1"/>
  <c r="F425" i="1"/>
  <c r="AR816" i="1"/>
  <c r="CA800" i="1"/>
  <c r="F894" i="1"/>
  <c r="Y848" i="1"/>
  <c r="O641" i="1"/>
  <c r="AB602" i="1"/>
  <c r="U329" i="1"/>
  <c r="F400" i="1"/>
  <c r="F795" i="1"/>
  <c r="Y761" i="1"/>
  <c r="V440" i="1"/>
  <c r="F589" i="1"/>
  <c r="F563" i="1"/>
  <c r="Y516" i="1"/>
  <c r="F581" i="1"/>
  <c r="S440" i="1"/>
  <c r="F492" i="1"/>
  <c r="AY566" i="1"/>
  <c r="AY444" i="1"/>
  <c r="AS22" i="1"/>
  <c r="F944" i="1"/>
  <c r="E16" i="2" s="1"/>
  <c r="AS957" i="1"/>
  <c r="CH329" i="1"/>
  <c r="AY378" i="1"/>
  <c r="AZ800" i="1"/>
  <c r="F827" i="1"/>
  <c r="CD800" i="1"/>
  <c r="AU816" i="1"/>
  <c r="AR297" i="1"/>
  <c r="CA286" i="1"/>
  <c r="AZ602" i="1"/>
  <c r="F652" i="1"/>
  <c r="AZ897" i="1"/>
  <c r="AR729" i="1"/>
  <c r="CA719" i="1"/>
  <c r="F490" i="1"/>
  <c r="AW444" i="1"/>
  <c r="AW566" i="1"/>
  <c r="R329" i="1"/>
  <c r="F392" i="1"/>
  <c r="CH800" i="1"/>
  <c r="AY816" i="1"/>
  <c r="F819" i="1"/>
  <c r="P800" i="1"/>
  <c r="F774" i="1"/>
  <c r="AW761" i="1"/>
  <c r="Y286" i="1"/>
  <c r="F324" i="1"/>
  <c r="AT204" i="1"/>
  <c r="F426" i="1"/>
  <c r="AB673" i="1"/>
  <c r="O687" i="1"/>
  <c r="F495" i="1"/>
  <c r="AZ566" i="1"/>
  <c r="AZ444" i="1"/>
  <c r="S329" i="1"/>
  <c r="F393" i="1"/>
  <c r="F50" i="1"/>
  <c r="AW172" i="1"/>
  <c r="AW30" i="1"/>
  <c r="F52" i="1"/>
  <c r="AY30" i="1"/>
  <c r="Y444" i="1"/>
  <c r="F511" i="1"/>
  <c r="Y566" i="1"/>
  <c r="F586" i="1"/>
  <c r="BA440" i="1"/>
  <c r="AZ76" i="1"/>
  <c r="F108" i="1"/>
  <c r="U598" i="1"/>
  <c r="F919" i="1"/>
  <c r="T329" i="1"/>
  <c r="F399" i="1"/>
  <c r="X329" i="1"/>
  <c r="F404" i="1"/>
  <c r="AU729" i="1"/>
  <c r="CD719" i="1"/>
  <c r="AU867" i="1"/>
  <c r="CD848" i="1"/>
  <c r="R516" i="1"/>
  <c r="F550" i="1"/>
  <c r="F714" i="1"/>
  <c r="Y673" i="1"/>
  <c r="CF602" i="1"/>
  <c r="AW641" i="1"/>
  <c r="X30" i="1"/>
  <c r="F70" i="1"/>
  <c r="CE800" i="1"/>
  <c r="AV816" i="1"/>
  <c r="AX204" i="1"/>
  <c r="F415" i="1"/>
  <c r="AX800" i="1"/>
  <c r="F823" i="1"/>
  <c r="BB22" i="1"/>
  <c r="F940" i="1"/>
  <c r="BB957" i="1"/>
  <c r="R208" i="1"/>
  <c r="F268" i="1"/>
  <c r="R408" i="1"/>
  <c r="CE208" i="1"/>
  <c r="AV254" i="1"/>
  <c r="O444" i="1"/>
  <c r="F486" i="1"/>
  <c r="AZ329" i="1"/>
  <c r="F389" i="1"/>
  <c r="BA598" i="1"/>
  <c r="F917" i="1"/>
  <c r="AP204" i="1"/>
  <c r="F417" i="1"/>
  <c r="AB516" i="1"/>
  <c r="O536" i="1"/>
  <c r="Q848" i="1"/>
  <c r="F879" i="1"/>
  <c r="O297" i="1"/>
  <c r="AB286" i="1"/>
  <c r="O97" i="1"/>
  <c r="O172" i="1" s="1"/>
  <c r="AB76" i="1"/>
  <c r="F100" i="1"/>
  <c r="P76" i="1"/>
  <c r="X208" i="1"/>
  <c r="F280" i="1"/>
  <c r="AV867" i="1"/>
  <c r="CE848" i="1"/>
  <c r="W440" i="1"/>
  <c r="F590" i="1"/>
  <c r="CE286" i="1"/>
  <c r="AV297" i="1"/>
  <c r="Q598" i="1"/>
  <c r="F909" i="1"/>
  <c r="F489" i="1"/>
  <c r="AV444" i="1"/>
  <c r="AV566" i="1"/>
  <c r="F893" i="1"/>
  <c r="X848" i="1"/>
  <c r="AQ440" i="1"/>
  <c r="F576" i="1"/>
  <c r="GP605" i="1"/>
  <c r="CD641" i="1" s="1"/>
  <c r="CA641" i="1"/>
  <c r="AP598" i="1"/>
  <c r="F906" i="1"/>
  <c r="AY516" i="1"/>
  <c r="F544" i="1"/>
  <c r="AB329" i="1"/>
  <c r="O378" i="1"/>
  <c r="AK76" i="1"/>
  <c r="X97" i="1"/>
  <c r="CE76" i="1"/>
  <c r="AV97" i="1"/>
  <c r="AV172" i="1" s="1"/>
  <c r="V329" i="1"/>
  <c r="F401" i="1"/>
  <c r="GP520" i="1"/>
  <c r="CD536" i="1" s="1"/>
  <c r="CA536" i="1"/>
  <c r="F491" i="1"/>
  <c r="AX444" i="1"/>
  <c r="AX566" i="1"/>
  <c r="AX927" i="1" s="1"/>
  <c r="Q76" i="1"/>
  <c r="F109" i="1"/>
  <c r="AY867" i="1"/>
  <c r="CH848" i="1"/>
  <c r="CH673" i="1"/>
  <c r="AY687" i="1"/>
  <c r="T408" i="1"/>
  <c r="T927" i="1" s="1"/>
  <c r="W598" i="1"/>
  <c r="F921" i="1"/>
  <c r="AQ927" i="1"/>
  <c r="GP81" i="1"/>
  <c r="CD97" i="1" s="1"/>
  <c r="CA97" i="1"/>
  <c r="AY97" i="1"/>
  <c r="AY172" i="1" s="1"/>
  <c r="CH76" i="1"/>
  <c r="AZ208" i="1"/>
  <c r="F265" i="1"/>
  <c r="AZ408" i="1"/>
  <c r="F124" i="1"/>
  <c r="Y76" i="1"/>
  <c r="GP458" i="1"/>
  <c r="CD484" i="1" s="1"/>
  <c r="CA484" i="1"/>
  <c r="S76" i="1"/>
  <c r="F112" i="1"/>
  <c r="F881" i="1"/>
  <c r="R848" i="1"/>
  <c r="AZ26" i="1"/>
  <c r="F183" i="1"/>
  <c r="T440" i="1"/>
  <c r="F587" i="1"/>
  <c r="F830" i="1"/>
  <c r="R800" i="1"/>
  <c r="R30" i="1"/>
  <c r="F58" i="1"/>
  <c r="R172" i="1"/>
  <c r="CF800" i="1"/>
  <c r="AW816" i="1"/>
  <c r="F701" i="1"/>
  <c r="R673" i="1"/>
  <c r="R602" i="1"/>
  <c r="F655" i="1"/>
  <c r="R897" i="1"/>
  <c r="T598" i="1"/>
  <c r="F918" i="1"/>
  <c r="F782" i="1"/>
  <c r="R761" i="1"/>
  <c r="CF329" i="1"/>
  <c r="AW378" i="1"/>
  <c r="AS440" i="1"/>
  <c r="F583" i="1"/>
  <c r="CE329" i="1"/>
  <c r="AV378" i="1"/>
  <c r="GP676" i="1"/>
  <c r="CD687" i="1" s="1"/>
  <c r="CA687" i="1"/>
  <c r="AZ516" i="1"/>
  <c r="F547" i="1"/>
  <c r="P440" i="1"/>
  <c r="F569" i="1"/>
  <c r="AP440" i="1"/>
  <c r="F575" i="1"/>
  <c r="BA22" i="1"/>
  <c r="F947" i="1"/>
  <c r="BA957" i="1"/>
  <c r="P329" i="1"/>
  <c r="F381" i="1"/>
  <c r="V602" i="1"/>
  <c r="F664" i="1"/>
  <c r="V897" i="1"/>
  <c r="P673" i="1"/>
  <c r="F690" i="1"/>
  <c r="R76" i="1"/>
  <c r="F111" i="1"/>
  <c r="F818" i="1"/>
  <c r="O800" i="1"/>
  <c r="AW867" i="1"/>
  <c r="CF848" i="1"/>
  <c r="CF673" i="1"/>
  <c r="AW687" i="1"/>
  <c r="O768" i="1"/>
  <c r="AB761" i="1"/>
  <c r="X444" i="1"/>
  <c r="X566" i="1"/>
  <c r="F510" i="1"/>
  <c r="F776" i="1"/>
  <c r="AY761" i="1"/>
  <c r="W329" i="1"/>
  <c r="F402" i="1"/>
  <c r="BA204" i="1"/>
  <c r="F428" i="1"/>
  <c r="X602" i="1"/>
  <c r="F667" i="1"/>
  <c r="X897" i="1"/>
  <c r="P548" i="7" l="1"/>
  <c r="K100" i="7"/>
  <c r="P1171" i="7"/>
  <c r="K1155" i="7"/>
  <c r="I684" i="7"/>
  <c r="I1181" i="7"/>
  <c r="I601" i="7"/>
  <c r="P149" i="7"/>
  <c r="I756" i="7"/>
  <c r="I992" i="7"/>
  <c r="L289" i="8"/>
  <c r="P289" i="8"/>
  <c r="J359" i="8" s="1"/>
  <c r="J1196" i="8"/>
  <c r="H31" i="8" s="1"/>
  <c r="J610" i="8"/>
  <c r="R566" i="1"/>
  <c r="J765" i="8"/>
  <c r="J607" i="8"/>
  <c r="I84" i="7"/>
  <c r="J1190" i="8"/>
  <c r="J912" i="8"/>
  <c r="AP957" i="1"/>
  <c r="J762" i="8"/>
  <c r="X516" i="1"/>
  <c r="F562" i="1"/>
  <c r="U440" i="1"/>
  <c r="F588" i="1"/>
  <c r="F936" i="1"/>
  <c r="G16" i="2" s="1"/>
  <c r="G18" i="2" s="1"/>
  <c r="J192" i="8"/>
  <c r="P283" i="7"/>
  <c r="K283" i="7"/>
  <c r="AZ927" i="1"/>
  <c r="AZ22" i="1" s="1"/>
  <c r="J1193" i="8"/>
  <c r="I906" i="7"/>
  <c r="I759" i="7"/>
  <c r="P176" i="7"/>
  <c r="I198" i="7" s="1"/>
  <c r="K176" i="7"/>
  <c r="J1187" i="8"/>
  <c r="CD208" i="1"/>
  <c r="I1030" i="7"/>
  <c r="R719" i="1"/>
  <c r="F743" i="1"/>
  <c r="R444" i="1"/>
  <c r="Y30" i="1"/>
  <c r="F71" i="1"/>
  <c r="Y172" i="1"/>
  <c r="I399" i="7"/>
  <c r="J690" i="8"/>
  <c r="P1081" i="7"/>
  <c r="I1107" i="7" s="1"/>
  <c r="K1081" i="7"/>
  <c r="S22" i="1"/>
  <c r="S957" i="1"/>
  <c r="F942" i="1"/>
  <c r="T22" i="1"/>
  <c r="F948" i="1"/>
  <c r="T957" i="1"/>
  <c r="Q22" i="1"/>
  <c r="F939" i="1"/>
  <c r="Q957" i="1"/>
  <c r="P22" i="1"/>
  <c r="F930" i="1"/>
  <c r="P957" i="1"/>
  <c r="BD18" i="1"/>
  <c r="F982" i="1"/>
  <c r="F316" i="1"/>
  <c r="AU286" i="1"/>
  <c r="AW602" i="1"/>
  <c r="AW897" i="1"/>
  <c r="F647" i="1"/>
  <c r="F299" i="1"/>
  <c r="O286" i="1"/>
  <c r="F538" i="1"/>
  <c r="O516" i="1"/>
  <c r="F735" i="1"/>
  <c r="AW719" i="1"/>
  <c r="CA761" i="1"/>
  <c r="AR768" i="1"/>
  <c r="F123" i="1"/>
  <c r="X76" i="1"/>
  <c r="S204" i="1"/>
  <c r="F423" i="1"/>
  <c r="X440" i="1"/>
  <c r="F592" i="1"/>
  <c r="AW440" i="1"/>
  <c r="F572" i="1"/>
  <c r="AU30" i="1"/>
  <c r="F63" i="1"/>
  <c r="AW800" i="1"/>
  <c r="F822" i="1"/>
  <c r="F260" i="1"/>
  <c r="AW208" i="1"/>
  <c r="AW408" i="1"/>
  <c r="AW927" i="1" s="1"/>
  <c r="AW329" i="1"/>
  <c r="F384" i="1"/>
  <c r="BA18" i="1"/>
  <c r="F977" i="1"/>
  <c r="AW673" i="1"/>
  <c r="F693" i="1"/>
  <c r="AW286" i="1"/>
  <c r="F303" i="1"/>
  <c r="AV329" i="1"/>
  <c r="F383" i="1"/>
  <c r="E18" i="2"/>
  <c r="Y440" i="1"/>
  <c r="F593" i="1"/>
  <c r="AX440" i="1"/>
  <c r="F573" i="1"/>
  <c r="AY208" i="1"/>
  <c r="F262" i="1"/>
  <c r="AY408" i="1"/>
  <c r="AY927" i="1" s="1"/>
  <c r="Y598" i="1"/>
  <c r="F924" i="1"/>
  <c r="AT18" i="1"/>
  <c r="F975" i="1"/>
  <c r="I22" i="7" s="1"/>
  <c r="P598" i="1"/>
  <c r="F900" i="1"/>
  <c r="AR208" i="1"/>
  <c r="F282" i="1"/>
  <c r="F574" i="1"/>
  <c r="AY440" i="1"/>
  <c r="V598" i="1"/>
  <c r="F920" i="1"/>
  <c r="AS18" i="1"/>
  <c r="F974" i="1"/>
  <c r="I21" i="7" s="1"/>
  <c r="F695" i="1"/>
  <c r="AY673" i="1"/>
  <c r="F643" i="1"/>
  <c r="O602" i="1"/>
  <c r="O897" i="1"/>
  <c r="AV673" i="1"/>
  <c r="F692" i="1"/>
  <c r="P204" i="1"/>
  <c r="F411" i="1"/>
  <c r="U204" i="1"/>
  <c r="F430" i="1"/>
  <c r="X598" i="1"/>
  <c r="F923" i="1"/>
  <c r="F646" i="1"/>
  <c r="AV602" i="1"/>
  <c r="AV897" i="1"/>
  <c r="AU719" i="1"/>
  <c r="F748" i="1"/>
  <c r="AR286" i="1"/>
  <c r="F325" i="1"/>
  <c r="W204" i="1"/>
  <c r="F432" i="1"/>
  <c r="U22" i="1"/>
  <c r="U957" i="1"/>
  <c r="F949" i="1"/>
  <c r="AX22" i="1"/>
  <c r="F934" i="1"/>
  <c r="AX957" i="1"/>
  <c r="F844" i="1"/>
  <c r="AR800" i="1"/>
  <c r="CA516" i="1"/>
  <c r="AR536" i="1"/>
  <c r="F835" i="1"/>
  <c r="AU800" i="1"/>
  <c r="V927" i="1"/>
  <c r="F737" i="1"/>
  <c r="AY719" i="1"/>
  <c r="AY286" i="1"/>
  <c r="F305" i="1"/>
  <c r="F577" i="1"/>
  <c r="AZ440" i="1"/>
  <c r="S598" i="1"/>
  <c r="F912" i="1"/>
  <c r="O673" i="1"/>
  <c r="F689" i="1"/>
  <c r="F302" i="1"/>
  <c r="AV286" i="1"/>
  <c r="AR848" i="1"/>
  <c r="F895" i="1"/>
  <c r="F757" i="1"/>
  <c r="AR719" i="1"/>
  <c r="AU848" i="1"/>
  <c r="F886" i="1"/>
  <c r="X286" i="1"/>
  <c r="F323" i="1"/>
  <c r="F873" i="1"/>
  <c r="AW848" i="1"/>
  <c r="AW26" i="1"/>
  <c r="F178" i="1"/>
  <c r="AW76" i="1"/>
  <c r="F103" i="1"/>
  <c r="AR378" i="1"/>
  <c r="AR408" i="1" s="1"/>
  <c r="CA329" i="1"/>
  <c r="W927" i="1"/>
  <c r="T204" i="1"/>
  <c r="F429" i="1"/>
  <c r="CA444" i="1"/>
  <c r="AR484" i="1"/>
  <c r="BB18" i="1"/>
  <c r="F970" i="1"/>
  <c r="CD761" i="1"/>
  <c r="AU768" i="1"/>
  <c r="AY26" i="1"/>
  <c r="F180" i="1"/>
  <c r="AV848" i="1"/>
  <c r="F872" i="1"/>
  <c r="AU378" i="1"/>
  <c r="CD329" i="1"/>
  <c r="Y927" i="1"/>
  <c r="AR30" i="1"/>
  <c r="F72" i="1"/>
  <c r="AU208" i="1"/>
  <c r="F273" i="1"/>
  <c r="F875" i="1"/>
  <c r="AY848" i="1"/>
  <c r="AV26" i="1"/>
  <c r="F177" i="1"/>
  <c r="O761" i="1"/>
  <c r="F770" i="1"/>
  <c r="AY602" i="1"/>
  <c r="F649" i="1"/>
  <c r="AY897" i="1"/>
  <c r="CA76" i="1"/>
  <c r="AR97" i="1"/>
  <c r="AR172" i="1" s="1"/>
  <c r="O566" i="1"/>
  <c r="V204" i="1"/>
  <c r="F431" i="1"/>
  <c r="Y204" i="1"/>
  <c r="F435" i="1"/>
  <c r="O26" i="1"/>
  <c r="F174" i="1"/>
  <c r="F734" i="1"/>
  <c r="AV719" i="1"/>
  <c r="AP18" i="1"/>
  <c r="F966" i="1"/>
  <c r="I23" i="7" s="1"/>
  <c r="R440" i="1"/>
  <c r="F580" i="1"/>
  <c r="O329" i="1"/>
  <c r="F380" i="1"/>
  <c r="AR641" i="1"/>
  <c r="CA602" i="1"/>
  <c r="Q204" i="1"/>
  <c r="F420" i="1"/>
  <c r="X408" i="1"/>
  <c r="AY76" i="1"/>
  <c r="F105" i="1"/>
  <c r="CD76" i="1"/>
  <c r="AU97" i="1"/>
  <c r="AY800" i="1"/>
  <c r="F824" i="1"/>
  <c r="AQ22" i="1"/>
  <c r="F937" i="1"/>
  <c r="AQ957" i="1"/>
  <c r="AV76" i="1"/>
  <c r="F102" i="1"/>
  <c r="AV440" i="1"/>
  <c r="F571" i="1"/>
  <c r="AY329" i="1"/>
  <c r="F386" i="1"/>
  <c r="AO18" i="1"/>
  <c r="F961" i="1"/>
  <c r="O208" i="1"/>
  <c r="O408" i="1"/>
  <c r="F256" i="1"/>
  <c r="AX598" i="1"/>
  <c r="F904" i="1"/>
  <c r="R204" i="1"/>
  <c r="F422" i="1"/>
  <c r="CD444" i="1"/>
  <c r="AU484" i="1"/>
  <c r="R26" i="1"/>
  <c r="F186" i="1"/>
  <c r="R927" i="1"/>
  <c r="AZ598" i="1"/>
  <c r="F908" i="1"/>
  <c r="AZ204" i="1"/>
  <c r="F419" i="1"/>
  <c r="CD602" i="1"/>
  <c r="AU641" i="1"/>
  <c r="R598" i="1"/>
  <c r="F911" i="1"/>
  <c r="CD516" i="1"/>
  <c r="AU536" i="1"/>
  <c r="AV800" i="1"/>
  <c r="F821" i="1"/>
  <c r="X172" i="1"/>
  <c r="CA673" i="1"/>
  <c r="AR687" i="1"/>
  <c r="CD673" i="1"/>
  <c r="AU687" i="1"/>
  <c r="F99" i="1"/>
  <c r="O76" i="1"/>
  <c r="F259" i="1"/>
  <c r="AV208" i="1"/>
  <c r="AV408" i="1"/>
  <c r="I1184" i="7" l="1"/>
  <c r="I353" i="7"/>
  <c r="I604" i="7"/>
  <c r="F938" i="1"/>
  <c r="AZ957" i="1"/>
  <c r="AZ18" i="1" s="1"/>
  <c r="I1190" i="7"/>
  <c r="I20" i="7" s="1"/>
  <c r="I1187" i="7"/>
  <c r="AV927" i="1"/>
  <c r="F932" i="1" s="1"/>
  <c r="Y26" i="1"/>
  <c r="F199" i="1"/>
  <c r="I186" i="7"/>
  <c r="AW22" i="1"/>
  <c r="AW957" i="1"/>
  <c r="F933" i="1"/>
  <c r="AR26" i="1"/>
  <c r="F200" i="1"/>
  <c r="AR204" i="1"/>
  <c r="F436" i="1"/>
  <c r="P18" i="1"/>
  <c r="F960" i="1"/>
  <c r="Q18" i="1"/>
  <c r="F969" i="1"/>
  <c r="F397" i="1"/>
  <c r="AU329" i="1"/>
  <c r="AX18" i="1"/>
  <c r="F964" i="1"/>
  <c r="S18" i="1"/>
  <c r="F972" i="1"/>
  <c r="F787" i="1"/>
  <c r="AU761" i="1"/>
  <c r="U18" i="1"/>
  <c r="F979" i="1"/>
  <c r="R22" i="1"/>
  <c r="F941" i="1"/>
  <c r="J16" i="2" s="1"/>
  <c r="J18" i="2" s="1"/>
  <c r="R957" i="1"/>
  <c r="AW204" i="1"/>
  <c r="F414" i="1"/>
  <c r="AU76" i="1"/>
  <c r="F116" i="1"/>
  <c r="AV204" i="1"/>
  <c r="F413" i="1"/>
  <c r="X204" i="1"/>
  <c r="F434" i="1"/>
  <c r="AW598" i="1"/>
  <c r="F903" i="1"/>
  <c r="F669" i="1"/>
  <c r="AR602" i="1"/>
  <c r="AR897" i="1"/>
  <c r="V22" i="1"/>
  <c r="F950" i="1"/>
  <c r="V957" i="1"/>
  <c r="AR516" i="1"/>
  <c r="F564" i="1"/>
  <c r="F796" i="1"/>
  <c r="AR761" i="1"/>
  <c r="O204" i="1"/>
  <c r="F410" i="1"/>
  <c r="O927" i="1"/>
  <c r="T18" i="1"/>
  <c r="F978" i="1"/>
  <c r="AU172" i="1"/>
  <c r="AU673" i="1"/>
  <c r="F706" i="1"/>
  <c r="O598" i="1"/>
  <c r="F899" i="1"/>
  <c r="AR673" i="1"/>
  <c r="F715" i="1"/>
  <c r="F198" i="1"/>
  <c r="X26" i="1"/>
  <c r="X927" i="1"/>
  <c r="F968" i="1"/>
  <c r="AV598" i="1"/>
  <c r="F902" i="1"/>
  <c r="AU516" i="1"/>
  <c r="F555" i="1"/>
  <c r="AR329" i="1"/>
  <c r="F406" i="1"/>
  <c r="AY22" i="1"/>
  <c r="F935" i="1"/>
  <c r="AY957" i="1"/>
  <c r="F660" i="1"/>
  <c r="AU602" i="1"/>
  <c r="AU897" i="1"/>
  <c r="AU408" i="1"/>
  <c r="AR444" i="1"/>
  <c r="F512" i="1"/>
  <c r="AR566" i="1"/>
  <c r="O440" i="1"/>
  <c r="F568" i="1"/>
  <c r="F125" i="1"/>
  <c r="AR76" i="1"/>
  <c r="AU444" i="1"/>
  <c r="F503" i="1"/>
  <c r="AU566" i="1"/>
  <c r="AQ18" i="1"/>
  <c r="F967" i="1"/>
  <c r="AY598" i="1"/>
  <c r="F905" i="1"/>
  <c r="Y22" i="1"/>
  <c r="F954" i="1"/>
  <c r="Y957" i="1"/>
  <c r="W22" i="1"/>
  <c r="F951" i="1"/>
  <c r="W957" i="1"/>
  <c r="AY204" i="1"/>
  <c r="F416" i="1"/>
  <c r="AV22" i="1" l="1"/>
  <c r="AV957" i="1"/>
  <c r="AV18" i="1" s="1"/>
  <c r="AU598" i="1"/>
  <c r="F916" i="1"/>
  <c r="Y18" i="1"/>
  <c r="F984" i="1"/>
  <c r="AU204" i="1"/>
  <c r="F427" i="1"/>
  <c r="V18" i="1"/>
  <c r="F980" i="1"/>
  <c r="AU440" i="1"/>
  <c r="F585" i="1"/>
  <c r="F962" i="1"/>
  <c r="W18" i="1"/>
  <c r="F981" i="1"/>
  <c r="AR440" i="1"/>
  <c r="F594" i="1"/>
  <c r="AW18" i="1"/>
  <c r="F963" i="1"/>
  <c r="X22" i="1"/>
  <c r="F953" i="1"/>
  <c r="X957" i="1"/>
  <c r="R18" i="1"/>
  <c r="F971" i="1"/>
  <c r="I25" i="7" s="1"/>
  <c r="AY18" i="1"/>
  <c r="F965" i="1"/>
  <c r="AR598" i="1"/>
  <c r="F925" i="1"/>
  <c r="AU26" i="1"/>
  <c r="F191" i="1"/>
  <c r="AU927" i="1"/>
  <c r="AR927" i="1"/>
  <c r="O22" i="1"/>
  <c r="F929" i="1"/>
  <c r="O957" i="1"/>
  <c r="AU22" i="1" l="1"/>
  <c r="F946" i="1"/>
  <c r="H16" i="2" s="1"/>
  <c r="AU957" i="1"/>
  <c r="AR22" i="1"/>
  <c r="F955" i="1"/>
  <c r="AR957" i="1"/>
  <c r="X18" i="1"/>
  <c r="F983" i="1"/>
  <c r="O18" i="1"/>
  <c r="F959" i="1"/>
  <c r="AU18" i="1" l="1"/>
  <c r="F976" i="1"/>
  <c r="I24" i="7" s="1"/>
  <c r="AR18" i="1"/>
  <c r="F985" i="1"/>
  <c r="F986" i="1" s="1"/>
  <c r="H18" i="2"/>
  <c r="I16" i="2"/>
  <c r="I18" i="2" s="1"/>
  <c r="F987" i="1" l="1"/>
  <c r="F988" i="1"/>
</calcChain>
</file>

<file path=xl/sharedStrings.xml><?xml version="1.0" encoding="utf-8"?>
<sst xmlns="http://schemas.openxmlformats.org/spreadsheetml/2006/main" count="20215" uniqueCount="888">
  <si>
    <t>Smeta.RU  (495) 974-1589</t>
  </si>
  <si>
    <t>_PS_</t>
  </si>
  <si>
    <t>Smeta.RU</t>
  </si>
  <si>
    <t/>
  </si>
  <si>
    <t>Новый объект_(Копия)_(Копия)</t>
  </si>
  <si>
    <t>СН_7.2_на 4 мес. (10%) испр.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</si>
  <si>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</si>
  <si>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</si>
  <si>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</si>
  <si>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</si>
  <si>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</si>
  <si>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</si>
  <si>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Новая локальная смета</t>
  </si>
  <si>
    <t>Новый раздел</t>
  </si>
  <si>
    <t>1.Водоснабжение и водоотведение</t>
  </si>
  <si>
    <t>Новый подраздел</t>
  </si>
  <si>
    <t>Водопровод</t>
  </si>
  <si>
    <t>Корпуса 7.2.1, 7.2.2,7.2.3</t>
  </si>
  <si>
    <t>1.15-2101-1-1/1</t>
  </si>
  <si>
    <t>Осмотр магистральных неизолированных внутренних трубопроводов диаметром до 100 мм</t>
  </si>
  <si>
    <t>100 м</t>
  </si>
  <si>
    <t>СН-2012.1 Выпуск № 5 (в текущих ценах по состоянию на 01.10.2025 г.). 1.15-2101-1-1/1</t>
  </si>
  <si>
    <t>)*4</t>
  </si>
  <si>
    <t>СН-2012</t>
  </si>
  <si>
    <t>Подрядные работы, гл. 1-5,7</t>
  </si>
  <si>
    <t>работа</t>
  </si>
  <si>
    <t>1.15-2101-3-1/1</t>
  </si>
  <si>
    <t>Осмотр магистральных неизолированных внутренних трубопроводов диаметром до 100 мм, расположенных за подвесными потолками, с лестниц</t>
  </si>
  <si>
    <t>СН-2012.1 Выпуск № 5 (в текущих ценах по состоянию на 01.10.2025 г.). 1.15-2101-3-1/1</t>
  </si>
  <si>
    <t>1</t>
  </si>
  <si>
    <t>1.23-2103-41-1/1</t>
  </si>
  <si>
    <t>Техническое обслуживание регулирующего клапана/ Комплект угловых кранов 1/2 для подключения гибкой подводки смесителя</t>
  </si>
  <si>
    <t>шт.</t>
  </si>
  <si>
    <t>СН-2012.1 Выпуск № 5 (в текущих ценах по состоянию на 01.10.2025 г.). 1.23-2103-41-1/1</t>
  </si>
  <si>
    <t>2</t>
  </si>
  <si>
    <t>1.15-2203-7-1/1</t>
  </si>
  <si>
    <t>Техническое обслуживание крана шарового латунного никелированного диаметром до 25 мм</t>
  </si>
  <si>
    <t>10 шт.</t>
  </si>
  <si>
    <t>СН-2012.1 Выпуск № 5 (в текущих ценах по состоянию на 01.10.2025 г.). 1.15-2203-7-1/1</t>
  </si>
  <si>
    <t>3</t>
  </si>
  <si>
    <t>1.15-2203-6-1/1</t>
  </si>
  <si>
    <t>Техническое обслуживание кранов шаровых из НПВХ с разъемными муфтами диаметром до 50 мм</t>
  </si>
  <si>
    <t>СН-2012.1 Выпуск № 5 (в текущих ценах по состоянию на 01.10.2025 г.). 1.15-2203-6-1/1</t>
  </si>
  <si>
    <t>Корпус 7.2.4</t>
  </si>
  <si>
    <t>4</t>
  </si>
  <si>
    <t>5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</si>
  <si>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</si>
  <si>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</si>
  <si>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</si>
  <si>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</si>
  <si>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</si>
  <si>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</si>
  <si>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</si>
  <si>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</si>
  <si>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</si>
  <si>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</si>
  <si>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</si>
  <si>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</si>
  <si>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</si>
  <si>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</si>
  <si>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</si>
  <si>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</si>
  <si>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</si>
  <si>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</si>
  <si>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</si>
  <si>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</si>
  <si>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</si>
  <si>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</si>
  <si>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</si>
  <si>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</si>
  <si>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</si>
  <si>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</si>
  <si>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</si>
  <si>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</si>
  <si>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</si>
  <si>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</si>
  <si>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</si>
  <si>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</si>
  <si>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</si>
  <si>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</si>
  <si>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</si>
  <si>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</si>
  <si>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</si>
  <si>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</si>
  <si>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</si>
  <si>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</si>
  <si>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</si>
  <si>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</si>
  <si>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</si>
  <si>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</si>
  <si>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</si>
  <si>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</si>
  <si>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</si>
  <si>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</si>
  <si>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</si>
  <si>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</si>
  <si>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</si>
  <si>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</si>
  <si>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</si>
  <si>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</si>
  <si>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Сантехника</t>
  </si>
  <si>
    <t>Корпуса 7.2.1, 7.2.2, 7.2.3</t>
  </si>
  <si>
    <t>1.16-2201-1-1/1</t>
  </si>
  <si>
    <t>Осмотры санитарно-технических приборов и трубопроводов в туалетах общественных зданий - туалет (1 умывальник и 1 унитаз)</t>
  </si>
  <si>
    <t>СН-2012.1 Выпуск № 5 (в текущих ценах по состоянию на 01.10.2025 г.). 1.16-2201-1-1/1</t>
  </si>
  <si>
    <t>)*17</t>
  </si>
  <si>
    <t>1.16-2201-1-3/1</t>
  </si>
  <si>
    <t>Осмотры санитарно-технических приборов и трубопроводов в туалетах общественных зданий - добавлять на осмотр каждого умывальника сверх одного / Поддон литьевой Essentia белый 1200x800 GooD DooR</t>
  </si>
  <si>
    <t>СН-2012.1 Выпуск № 5 (в текущих ценах по состоянию на 01.10.2025 г.). 1.16-2201-1-3/1</t>
  </si>
  <si>
    <t>6</t>
  </si>
  <si>
    <t>1.16-3201-2-1/1</t>
  </si>
  <si>
    <t>Укрепление расшатавшихся санитарно-технических приборов - умывальники</t>
  </si>
  <si>
    <t>100 шт.</t>
  </si>
  <si>
    <t>СН-2012.1 Выпуск № 5 (в текущих ценах по состоянию на 01.10.2025 г.). 1.16-3201-2-1/1</t>
  </si>
  <si>
    <t>7</t>
  </si>
  <si>
    <t>1.16-3201-2-2/1</t>
  </si>
  <si>
    <t>Укрепление расшатавшихся санитарно-технических приборов - унитазы и биде</t>
  </si>
  <si>
    <t>СН-2012.1 Выпуск № 5 (в текущих ценах по состоянию на 01.10.2025 г.). 1.16-3201-2-2/1</t>
  </si>
  <si>
    <t>8</t>
  </si>
  <si>
    <t>Техническое обслуживание регулирующего клапана / Смеситель для раковины, Смеситель медицинский</t>
  </si>
  <si>
    <t>9</t>
  </si>
  <si>
    <t>1.16-3201-1-1/1</t>
  </si>
  <si>
    <t>Регулировка смывного бачка</t>
  </si>
  <si>
    <t>100 приборов</t>
  </si>
  <si>
    <t>СН-2012.1 Выпуск № 5 (в текущих ценах по состоянию на 01.10.2025 г.). 1.16-3201-1-1/1</t>
  </si>
  <si>
    <t>10</t>
  </si>
  <si>
    <t>1.16-2203-1-1/1</t>
  </si>
  <si>
    <t>Прочистка сифонов</t>
  </si>
  <si>
    <t>СН-2012.1 Выпуск № 5 (в текущих ценах по состоянию на 01.10.2025 г.). 1.16-2203-1-1/1</t>
  </si>
  <si>
    <t>1.16-2201-2-2/1</t>
  </si>
  <si>
    <t>Осмотр трапа ТП диаметром 100 мм / Душевой трап APZ10 SIMPLE 750 ALCAPLAST ALCAPLAST</t>
  </si>
  <si>
    <t>СН-2012.1 Выпуск № 5 (в текущих ценах по состоянию на 01.10.2025 г.). 1.16-2201-2-2/1</t>
  </si>
  <si>
    <t>Осмотры санитарно-технических приборов и трубопроводов в туалетах общественных зданий - добавлять на осмотр каждого умывальника сверх одного</t>
  </si>
  <si>
    <t>Осмотры санитарно-технических приборов и трубопроводов в туалетах общественных зданий - добавлять на осмотр каждого умывальника сверх одного  / Поддон литьевой Essentia белый 100х80 мм GooD DooR</t>
  </si>
  <si>
    <t>11</t>
  </si>
  <si>
    <t>12</t>
  </si>
  <si>
    <t>13</t>
  </si>
  <si>
    <t>14</t>
  </si>
  <si>
    <t>15</t>
  </si>
  <si>
    <t>Канализация</t>
  </si>
  <si>
    <t>1.16-3101-3-1/1</t>
  </si>
  <si>
    <t>Прочистка канализационной сети внутренней</t>
  </si>
  <si>
    <t>СН-2012.1 Выпуск № 5 (в текущих ценах по состоянию на 01.10.2025 г.). 1.16-3101-3-1/1</t>
  </si>
  <si>
    <t>1.16-2101-1-1/1</t>
  </si>
  <si>
    <t>Осмотр трубопроводов канализации из чугунных труб диаметром 100-150 мм</t>
  </si>
  <si>
    <t>СН-2012.1 Выпуск № 5 (в текущих ценах по состоянию на 01.10.2025 г.). 1.16-2101-1-1/1</t>
  </si>
  <si>
    <t>1.16-2101-3-1/1</t>
  </si>
  <si>
    <t>Осмотр трубопроводов канализации из чугунных труб диаметром 100-150 мм с лестниц</t>
  </si>
  <si>
    <t>СН-2012.1 Выпуск № 5 (в текущих ценах по состоянию на 01.10.2025 г.). 1.16-2101-3-1/1</t>
  </si>
  <si>
    <t>1.16-2101-2-1/1</t>
  </si>
  <si>
    <t>Осмотр чугунных канализационных ревизий и прочисток</t>
  </si>
  <si>
    <t>СН-2012.1 Выпуск № 5 (в текущих ценах по состоянию на 01.10.2025 г.). 1.16-2101-2-1/1</t>
  </si>
  <si>
    <t>2. Внутренние сети отопления и ИТП</t>
  </si>
  <si>
    <t>Индивидуальный тепловой пункт</t>
  </si>
  <si>
    <t>Тепломеханические решения</t>
  </si>
  <si>
    <t>Корпуса 7.2.1, 7.2.2,7.2.3,7.2.4</t>
  </si>
  <si>
    <t>1.24-3105-1-2/1</t>
  </si>
  <si>
    <t>Химическая безразборная промывка пластинчатых теплообменников М15</t>
  </si>
  <si>
    <t>СН-2012.1 Выпуск № 5 (в текущих ценах по состоянию на 01.10.2025 г.). 1.24-3105-1-2/1</t>
  </si>
  <si>
    <t>1.24-2503-4-18/1</t>
  </si>
  <si>
    <t>Техническое обслуживание циркуляционных насосов систем отопления с тепловыми насосами - ежемесячное</t>
  </si>
  <si>
    <t>СН-2012.1 Выпуск № 5 (в текущих ценах по состоянию на 01.10.2025 г.). 1.24-2503-4-18/1</t>
  </si>
  <si>
    <t>16</t>
  </si>
  <si>
    <t>Техническое обслуживание регулирующего клапана/ Клапан 2хход c приводом</t>
  </si>
  <si>
    <t>)*2</t>
  </si>
  <si>
    <t>17</t>
  </si>
  <si>
    <t>1.17-2103-14-1/1</t>
  </si>
  <si>
    <t>Техническое обслуживание мембранного расширительного бака объемом 100 л/Бак расширительный мембранный, V=80л</t>
  </si>
  <si>
    <t>СН-2012.1 Выпуск № 5 (в текущих ценах по состоянию на 01.10.2025 г.). 1.17-2103-14-1/1</t>
  </si>
  <si>
    <t>18</t>
  </si>
  <si>
    <t>1.21-2303-24-1/1</t>
  </si>
  <si>
    <t>Техническое обслуживание электроводонагревателей объемом до 80 литров</t>
  </si>
  <si>
    <t>СН-2012.1 Выпуск № 5 (в текущих ценах по состоянию на 01.10.2025 г.). 1.21-2303-24-1/1</t>
  </si>
  <si>
    <t>19</t>
  </si>
  <si>
    <t>1.23-2103-21-1/1</t>
  </si>
  <si>
    <t>Техническое обслуживание преобразователей давления, перепада давления, тензорезисторных, дифференциальных (Сапфир) / Регулятор перепада давлений</t>
  </si>
  <si>
    <t>СН-2012.1 Выпуск № 5 (в текущих ценах по состоянию на 01.10.2025 г.). 1.23-2103-21-1/1</t>
  </si>
  <si>
    <t>20</t>
  </si>
  <si>
    <t>Техническое обслуживание регулирующего клапана/ Клапан электромагнитный, муфтовый</t>
  </si>
  <si>
    <t>21</t>
  </si>
  <si>
    <t>1.23-2103-22-3/1</t>
  </si>
  <si>
    <t>Техническое обслуживание расходомера электромагнитного</t>
  </si>
  <si>
    <t>СН-2012.1 Выпуск № 5 (в текущих ценах по состоянию на 01.10.2025 г.). 1.23-2103-22-3/1</t>
  </si>
  <si>
    <t>22</t>
  </si>
  <si>
    <t>23</t>
  </si>
  <si>
    <t>1.15-2203-7-2/1</t>
  </si>
  <si>
    <t>Техническое обслуживание крана шарового латунного никелированного диаметром до 50 мм</t>
  </si>
  <si>
    <t>СН-2012.1 Выпуск № 5 (в текущих ценах по состоянию на 01.10.2025 г.). 1.15-2203-7-2/1</t>
  </si>
  <si>
    <t>24</t>
  </si>
  <si>
    <t>1.15-2303-5-1/1</t>
  </si>
  <si>
    <t>Техническое обслуживание фильтров водяных фланцевых сетчатых диаметром до 65 мм/ Грязевик абонентский стальной фланцевый</t>
  </si>
  <si>
    <t>СН-2012.1 Выпуск № 5 (в текущих ценах по состоянию на 01.10.2025 г.). 1.15-2303-5-1/1</t>
  </si>
  <si>
    <t>24,1</t>
  </si>
  <si>
    <t>21.26-1-110</t>
  </si>
  <si>
    <t>Прокладки из терморасширенного графита для обслуживания фильтра сетчатого чугунного фланцевого диаметром 65 мм</t>
  </si>
  <si>
    <t>СН-2012.21 Выпуск № 5 (в текущих ценах по состоянию на 01.10.2025 г.). 21.26-1-110</t>
  </si>
  <si>
    <t>25</t>
  </si>
  <si>
    <t>Техническое обслуживание регулирующего клапана/ Обратный клапан с латунным золотником</t>
  </si>
  <si>
    <t>26</t>
  </si>
  <si>
    <t>1.15-2303-4-1/1</t>
  </si>
  <si>
    <t>Прочистка сетчатых фильтров грубой очистки воды диаметром до 25 мм</t>
  </si>
  <si>
    <t>СН-2012.1 Выпуск № 5 (в текущих ценах по состоянию на 01.10.2025 г.). 1.15-2303-4-1/1</t>
  </si>
  <si>
    <t>27</t>
  </si>
  <si>
    <t>1.15-2303-4-2/1</t>
  </si>
  <si>
    <t>Прочистка сетчатых фильтров грубой очистки воды диаметром до 50 мм</t>
  </si>
  <si>
    <t>СН-2012.1 Выпуск № 5 (в текущих ценах по состоянию на 01.10.2025 г.). 1.15-2303-4-2/1</t>
  </si>
  <si>
    <t>28</t>
  </si>
  <si>
    <t>1.23-2103-39-2/1</t>
  </si>
  <si>
    <t>Техническое обслуживание счетчиков холодной и горячей воды условным диаметром 25-40 мм.</t>
  </si>
  <si>
    <t>СН-2012.1 Выпуск № 5 (в текущих ценах по состоянию на 01.10.2025 г.). 1.23-2103-39-2/1</t>
  </si>
  <si>
    <t>29</t>
  </si>
  <si>
    <t>Техническое обслуживание регулирующего клапана / Клапан балансировочный, Клапан ручной балансировочный</t>
  </si>
  <si>
    <t>30</t>
  </si>
  <si>
    <t>Техническое обслуживание регулирующего клапана</t>
  </si>
  <si>
    <t>1.23-2103-7-1/1</t>
  </si>
  <si>
    <t>Техническое обслуживание приборов для измерения и регулирования давления и разряжения, манометры, тип: ЭКМ-1, ЭКМ-2 показывающие электроконтактные и аналоги /(7.2.2, 7.2.3)</t>
  </si>
  <si>
    <t>СН-2012.1 Выпуск № 5 (в текущих ценах по состоянию на 01.10.2025 г.). 1.23-2103-7-1/1</t>
  </si>
  <si>
    <t>Цена поставщика</t>
  </si>
  <si>
    <t>Поверка манометров</t>
  </si>
  <si>
    <t>ШТ</t>
  </si>
  <si>
    <t>31</t>
  </si>
  <si>
    <t>1.23-2103-18-1/1</t>
  </si>
  <si>
    <t>Техническое обслуживание термометра биметаллического, дилатометрического</t>
  </si>
  <si>
    <t>СН-2012.1 Выпуск № 5 (в текущих ценах по состоянию на 01.10.2025 г.). 1.23-2103-18-1/1</t>
  </si>
  <si>
    <t>Корпус 7.2.1</t>
  </si>
  <si>
    <t>1.15-2101-2-1/1</t>
  </si>
  <si>
    <t>Осмотр магистральных неизолированных внутренних трубопроводов диаметром до 100 мм с лестниц</t>
  </si>
  <si>
    <t>СН-2012.1 Выпуск № 5 (в текущих ценах по состоянию на 01.10.2025 г.). 1.15-2101-2-1/1</t>
  </si>
  <si>
    <t>1.17-3205-2-2/1</t>
  </si>
  <si>
    <t>Гидравлическое испытание трубопроводов систем отопления диаметром до 100 мм</t>
  </si>
  <si>
    <t>СН-2012.1 Выпуск № 5 (в текущих ценах по состоянию на 01.10.2025 г.). 1.17-3205-2-2/1</t>
  </si>
  <si>
    <t>1.17-2103-11-2/1</t>
  </si>
  <si>
    <t>Гидропневматическая промывка трубопроводов диаметром до 100 мм</t>
  </si>
  <si>
    <t>СН-2012.1 Выпуск № 5 (в текущих ценах по состоянию на 01.10.2025 г.). 1.17-2103-11-2/1</t>
  </si>
  <si>
    <t>Корпус 7.2.2</t>
  </si>
  <si>
    <t>Корпус 7.2.3</t>
  </si>
  <si>
    <t>Система УУТЭ</t>
  </si>
  <si>
    <t>Корпуса 7.2.1 - 7.2.4</t>
  </si>
  <si>
    <t>32</t>
  </si>
  <si>
    <t>Техническое обслуживание расходомера электромагнитного / ВТЭ-2П 140М Pt500 МПСВ USB</t>
  </si>
  <si>
    <t>33</t>
  </si>
  <si>
    <t>1.23-2103-8-1/1</t>
  </si>
  <si>
    <t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вычислитель тепловой энергии ВТЭ</t>
  </si>
  <si>
    <t>СН-2012.1 Выпуск № 5 (в текущих ценах по состоянию на 01.10.2025 г.). 1.23-2103-8-1/1</t>
  </si>
  <si>
    <t>34</t>
  </si>
  <si>
    <t>Техническое обслуживание расходомера электромагнитного / расходомер электромагнитный фланцевый ТПС Pt-500 L=70 (согл.пара) Теплоком</t>
  </si>
  <si>
    <t>35</t>
  </si>
  <si>
    <t>1.23-2303-6-1/1</t>
  </si>
  <si>
    <t>Техническое обслуживание термопреобразователя сопротивления с унифицированным выходным сигналом</t>
  </si>
  <si>
    <t>СН-2012.1 Выпуск № 5 (в текущих ценах по состоянию на 01.10.2025 г.). 1.23-2303-6-1/1</t>
  </si>
  <si>
    <t>36</t>
  </si>
  <si>
    <t>1.23-2103-27-1/1</t>
  </si>
  <si>
    <t>Техническое обслуживание преобразователя давления МТ100 и аналогов</t>
  </si>
  <si>
    <t>СН-2012.1 Выпуск № 5 (в текущих ценах по состоянию на 01.10.2025 г.). 1.23-2103-27-1/1</t>
  </si>
  <si>
    <t>1.22-2103-2-1/1</t>
  </si>
  <si>
    <t>Техническое обслуживание сетевой линии связи</t>
  </si>
  <si>
    <t>СН-2012.1 Выпуск № 5 (в текущих ценах по состоянию на 01.10.2025 г.). 1.22-2103-2-1/1</t>
  </si>
  <si>
    <t>1.23-2303-5-1/1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</si>
  <si>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узла учета</t>
  </si>
  <si>
    <t>СН-2012.1 Выпуск № 5 (в текущих ценах по состоянию на 01.10.2025 г.). 1.23-2303-5-1/1</t>
  </si>
  <si>
    <t>Отопление</t>
  </si>
  <si>
    <t>Корпуса 7.2.1 - 7.2.3</t>
  </si>
  <si>
    <t>37</t>
  </si>
  <si>
    <t>1.17-2103-13-27/1</t>
  </si>
  <si>
    <t>Техническое обслуживание стальных панельных радиаторов типа 33 высотой 500 мм длиной до 1500 мм</t>
  </si>
  <si>
    <t>СН-2012.1 Выпуск № 5 (в текущих ценах по состоянию на 01.10.2025 г.). 1.17-2103-13-27/1</t>
  </si>
  <si>
    <t>38</t>
  </si>
  <si>
    <t>1.17-2103-13-28/1</t>
  </si>
  <si>
    <t>Техническое обслуживание стальных панельных радиаторов типа 33 высотой 500 мм длиной до 3000 мм</t>
  </si>
  <si>
    <t>СН-2012.1 Выпуск № 5 (в текущих ценах по состоянию на 01.10.2025 г.). 1.17-2103-13-28/1</t>
  </si>
  <si>
    <t>39</t>
  </si>
  <si>
    <t>1.17-2103-15-3/1</t>
  </si>
  <si>
    <t>Техническое обслуживание конвекторов, встраиваемых в пол, длиной короба 1100 мм, шириной короба до 260 мм</t>
  </si>
  <si>
    <t>СН-2012.1 Выпуск № 5 (в текущих ценах по состоянию на 01.10.2025 г.). 1.17-2103-15-3/1</t>
  </si>
  <si>
    <t>40</t>
  </si>
  <si>
    <t>41</t>
  </si>
  <si>
    <t>1.17-2103-15-4/1</t>
  </si>
  <si>
    <t>Техническое обслуживание конвекторов, встраиваемых в пол, шириной короба до 260 мм, добавлять к 1.17-2103-15-3 на каждые 200 мм увеличения длины короба</t>
  </si>
  <si>
    <t>СН-2012.1 Выпуск № 5 (в текущих ценах по состоянию на 01.10.2025 г.). 1.17-2103-15-4/1</t>
  </si>
  <si>
    <t>)*5</t>
  </si>
  <si>
    <t>1.23-2103-31-1/1</t>
  </si>
  <si>
    <t>Техническое обслуживание термостата</t>
  </si>
  <si>
    <t>СН-2012.1 Выпуск № 5 (в текущих ценах по состоянию на 01.10.2025 г.). 1.23-2103-31-1/1</t>
  </si>
  <si>
    <t>42</t>
  </si>
  <si>
    <t>1.21-2303-50-1/1</t>
  </si>
  <si>
    <t>Техническое обслуживание  конвектора электрического настенного крепления, с механическим термостатом, мощность до 2,0 кВт</t>
  </si>
  <si>
    <t>СН-2012.1 Выпуск № 5 (в текущих ценах по состоянию на 01.10.2025 г.). 1.21-2303-50-1/1</t>
  </si>
  <si>
    <t>1.21-2301-29-1/1</t>
  </si>
  <si>
    <t>Осмотр конвектора электрического настенного крепления, с механическим термостатом, мощность до 2,0 кВт</t>
  </si>
  <si>
    <t>СН-2012.1 Выпуск № 5 (в текущих ценах по состоянию на 01.10.2025 г.). 1.21-2301-29-1/1</t>
  </si>
  <si>
    <t>)*3</t>
  </si>
  <si>
    <t>43</t>
  </si>
  <si>
    <t>44</t>
  </si>
  <si>
    <t>1.17-2103-17-1/1</t>
  </si>
  <si>
    <t>Техническое обслуживание автоматического воздухоотводчика</t>
  </si>
  <si>
    <t>СН-2012.1 Выпуск № 5 (в текущих ценах по состоянию на 01.10.2025 г.). 1.17-2103-17-1/1</t>
  </si>
  <si>
    <t>1.17-3205-2-1/1</t>
  </si>
  <si>
    <t>Гидравлическое испытание трубопроводов систем отопления диаметром до 50 мм</t>
  </si>
  <si>
    <t>СН-2012.1 Выпуск № 5 (в текущих ценах по состоянию на 01.10.2025 г.). 1.17-3205-2-1/1</t>
  </si>
  <si>
    <t>1.17-2103-11-1/1</t>
  </si>
  <si>
    <t>Гидропневматическая промывка трубопроводов диаметром до 50 мм</t>
  </si>
  <si>
    <t>СН-2012.1 Выпуск № 5 (в текущих ценах по состоянию на 01.10.2025 г.). 1.17-2103-11-1/1</t>
  </si>
  <si>
    <t>45</t>
  </si>
  <si>
    <t>46</t>
  </si>
  <si>
    <t>47</t>
  </si>
  <si>
    <t>48</t>
  </si>
  <si>
    <t>49</t>
  </si>
  <si>
    <t>50</t>
  </si>
  <si>
    <t>51</t>
  </si>
  <si>
    <t>52</t>
  </si>
  <si>
    <t>1.17-2103-8-1/1</t>
  </si>
  <si>
    <t>Техническое обслуживание инфракрасных потолочных панелей</t>
  </si>
  <si>
    <t>СН-2012.1 Выпуск № 5 (в текущих ценах по состоянию на 01.10.2025 г.). 1.17-2103-8-1/1</t>
  </si>
  <si>
    <t>53</t>
  </si>
  <si>
    <t>54</t>
  </si>
  <si>
    <t>55</t>
  </si>
  <si>
    <t>Теплоснабжение калориферов</t>
  </si>
  <si>
    <t>3. Вентиляция и кондиционирование</t>
  </si>
  <si>
    <t>Вентиляция</t>
  </si>
  <si>
    <t>Корпуса 7.2.1-7.2.3</t>
  </si>
  <si>
    <t>1.18-2403-5-1/1</t>
  </si>
  <si>
    <t>Техническое обслуживание и ремонт в течение года приточных установок с автоматикой, производительностью по воздуху до 5000 м3/ч</t>
  </si>
  <si>
    <t>установка</t>
  </si>
  <si>
    <t>СН-2012.1 Выпуск № 5 (в текущих ценах по состоянию на 01.10.2025 г.). 1.18-2403-5-1/1</t>
  </si>
  <si>
    <t>)/12*8</t>
  </si>
  <si>
    <t>1.18-2403-21-7/1</t>
  </si>
  <si>
    <t>Техническое обслуживание приточных установок производительностью до 5000 м3/ч - годовое</t>
  </si>
  <si>
    <t>СН-2012.1 Выпуск № 5 (в текущих ценах по состоянию на 01.10.2025 г.). 1.18-2403-21-7/1</t>
  </si>
  <si>
    <t>56</t>
  </si>
  <si>
    <t>1.18-2403-21-4/1</t>
  </si>
  <si>
    <t>Техническое обслуживание приточных установок производительностью до 5000 м3/ч - ежеквартальное</t>
  </si>
  <si>
    <t>СН-2012.1 Выпуск № 5 (в текущих ценах по состоянию на 01.10.2025 г.). 1.18-2403-21-4/1</t>
  </si>
  <si>
    <t>1.18-2403-21-1/1</t>
  </si>
  <si>
    <t>Техническое обслуживание приточных установок производительностью до 5000 м3/ч - ежемесячное</t>
  </si>
  <si>
    <t>СН-2012.1 Выпуск № 5 (в текущих ценах по состоянию на 01.10.2025 г.). 1.18-2403-21-1/1</t>
  </si>
  <si>
    <t>1.18-2403-8-1/1</t>
  </si>
  <si>
    <t>Техническое обслуживание и ремонт в течение года вытяжных установок производительностью по воздуху до 2000 м3/ч</t>
  </si>
  <si>
    <t>СН-2012.1 Выпуск № 5 (в текущих ценах по состоянию на 01.10.2025 г.). 1.18-2403-8-1/1</t>
  </si>
  <si>
    <t>1.18-2403-20-5/1</t>
  </si>
  <si>
    <t>Техническое обслуживание вытяжных установок производительностью до 5000 м3/ч - годовое / применительно до 2000 м3/ч</t>
  </si>
  <si>
    <t>СН-2012.1 Выпуск № 5 (в текущих ценах по состоянию на 01.10.2025 г.). 1.18-2403-20-5/1</t>
  </si>
  <si>
    <t>57</t>
  </si>
  <si>
    <t>1.18-2403-20-3/1</t>
  </si>
  <si>
    <t>Техническое обслуживание вытяжных установок производительностью до 5000 м3/ч - ежеквартальное / применительно до 2000 м3/ч</t>
  </si>
  <si>
    <t>СН-2012.1 Выпуск № 5 (в текущих ценах по состоянию на 01.10.2025 г.). 1.18-2403-20-3/1</t>
  </si>
  <si>
    <t>1.18-2403-20-1/1</t>
  </si>
  <si>
    <t>Техническое обслуживание вытяжных установок производительностью до 5000 м3/ч - ежемесячное / применительно до 2000 м3/ч</t>
  </si>
  <si>
    <t>СН-2012.1 Выпуск № 5 (в текущих ценах по состоянию на 01.10.2025 г.). 1.18-2403-20-1/1</t>
  </si>
  <si>
    <t>1.18-2303-2-2/1</t>
  </si>
  <si>
    <t>Промывка воздухонагревателей (калориферов) для установок производительностью до 10000 м3/ч</t>
  </si>
  <si>
    <t>СН-2012.1 Выпуск № 5 (в текущих ценах по состоянию на 01.10.2025 г.). 1.18-2303-2-2/1</t>
  </si>
  <si>
    <t>1.23-2303-13-1/1</t>
  </si>
  <si>
    <t>Техническое обслуживание преобразователей частоты до 5 кВт</t>
  </si>
  <si>
    <t>СН-2012.1 Выпуск № 5 (в текущих ценах по состоянию на 01.10.2025 г.). 1.23-2303-13-1/1</t>
  </si>
  <si>
    <t>58</t>
  </si>
  <si>
    <t>1.23-2303-7-2/1</t>
  </si>
  <si>
    <t>Техническое обслуживание реле давления, напора, тяги</t>
  </si>
  <si>
    <t>СН-2012.1 Выпуск № 5 (в текущих ценах по состоянию на 01.10.2025 г.). 1.23-2303-7-2/1</t>
  </si>
  <si>
    <t>59</t>
  </si>
  <si>
    <t>1.23-2303-7-1/1</t>
  </si>
  <si>
    <t>Техническое обслуживание реле температуры</t>
  </si>
  <si>
    <t>СН-2012.1 Выпуск № 5 (в текущих ценах по состоянию на 01.10.2025 г.). 1.23-2303-7-1/1</t>
  </si>
  <si>
    <t>60</t>
  </si>
  <si>
    <t>1.23-2103-9-1/1</t>
  </si>
  <si>
    <t>Техническое обслуживание приборов для измерения температуры, термометры манометрические, тип ТПП-СК</t>
  </si>
  <si>
    <t>СН-2012.1 Выпуск № 5 (в текущих ценах по состоянию на 01.10.2025 г.). 1.23-2103-9-1/1</t>
  </si>
  <si>
    <t>1.18-2501-4-1/1</t>
  </si>
  <si>
    <t>Технический осмотр воздухораспределительных устройств с передвижных подмостей - сопла сферического, диффузора</t>
  </si>
  <si>
    <t>СН-2012.1 Выпуск № 5 (в текущих ценах по состоянию на 01.10.2025 г.). 1.18-2501-4-1/1</t>
  </si>
  <si>
    <t>1.18-2103-1-1/1</t>
  </si>
  <si>
    <t>Очистка воздуховодов механизированным способом</t>
  </si>
  <si>
    <t>100 м2</t>
  </si>
  <si>
    <t>СН-2012.1 Выпуск № 5 (в текущих ценах по состоянию на 01.10.2025 г.). 1.18-2103-1-1/1</t>
  </si>
  <si>
    <t>1.18-2103-1-2/1</t>
  </si>
  <si>
    <t>Дезинфекция воздуховодов, добавлять к поз. 1.18-2103-1-1</t>
  </si>
  <si>
    <t>СН-2012.1 Выпуск № 5 (в текущих ценах по состоянию на 01.10.2025 г.). 1.18-2103-1-2/1</t>
  </si>
  <si>
    <t>Корпуса 7.2.4</t>
  </si>
  <si>
    <t>61</t>
  </si>
  <si>
    <t>1.24-2503-4-5/1</t>
  </si>
  <si>
    <t>Техническое обслуживание в течение года циркуляционных насосов систем отопления с тепловыми насосами</t>
  </si>
  <si>
    <t>СН-2012.1 Выпуск № 5 (в текущих ценах по состоянию на 01.10.2025 г.). 1.24-2503-4-5/1</t>
  </si>
  <si>
    <t>62</t>
  </si>
  <si>
    <t>1.18-2403-8-2/1</t>
  </si>
  <si>
    <t>Техническое обслуживание и ремонт в течение года вытяжных установок производительностью по воздуху до 5000 м3/ч</t>
  </si>
  <si>
    <t>СН-2012.1 Выпуск № 5 (в текущих ценах по состоянию на 01.10.2025 г.). 1.18-2403-8-2/1</t>
  </si>
  <si>
    <t>63</t>
  </si>
  <si>
    <t>Кондиционирование</t>
  </si>
  <si>
    <t>1.18-2403-11-5/1</t>
  </si>
  <si>
    <t>Техническое обслуживание в течение года холодильных установок мощностью до 50 кВт</t>
  </si>
  <si>
    <t>СН-2012.1 Выпуск № 5 (в текущих ценах по состоянию на 01.10.2025 г.). 1.18-2403-11-5/1</t>
  </si>
  <si>
    <t>64</t>
  </si>
  <si>
    <t>1.24-2103-45-4/1</t>
  </si>
  <si>
    <t>Техническое обслуживание ежеквартальное холодильных установок мощностью 420 кВт / применительно до 50 кВт</t>
  </si>
  <si>
    <t>СН-2012.1 Выпуск № 5 (в текущих ценах по состоянию на 01.10.2025 г.). 1.24-2103-45-4/1</t>
  </si>
  <si>
    <t>1.24-2103-45-1/1</t>
  </si>
  <si>
    <t>Техническое обслуживание ежемесячное холодильных установок мощностью 420 кВт / применительно до 50 кВт</t>
  </si>
  <si>
    <t>СН-2012.1 Выпуск № 5 (в текущих ценах по состоянию на 01.10.2025 г.). 1.24-2103-45-1/1</t>
  </si>
  <si>
    <t>65</t>
  </si>
  <si>
    <t>1.18-2403-17-4/1</t>
  </si>
  <si>
    <t>Техническое обслуживание внутренних кассетных блоков сплит систем мощностью свыше 5 кВт - полугодовое</t>
  </si>
  <si>
    <t>1 блок</t>
  </si>
  <si>
    <t>СН-2012.1 Выпуск № 5 (в текущих ценах по состоянию на 01.10.2025 г.). 1.18-2403-17-4/1</t>
  </si>
  <si>
    <t>1.18-2403-17-2/1</t>
  </si>
  <si>
    <t>Техническое обслуживание внутренних кассетных блоков сплит систем мощностью свыше 5 кВт - ежемесячное</t>
  </si>
  <si>
    <t>СН-2012.1 Выпуск № 5 (в текущих ценах по состоянию на 01.10.2025 г.). 1.18-2403-17-2/1</t>
  </si>
  <si>
    <t>66</t>
  </si>
  <si>
    <t>1.18-2403-11-6/1</t>
  </si>
  <si>
    <t>Техническое обслуживание в течение года холодильных установок мощностью до 175 кВт</t>
  </si>
  <si>
    <t>СН-2012.1 Выпуск № 5 (в текущих ценах по состоянию на 01.10.2025 г.). 1.18-2403-11-6/1</t>
  </si>
  <si>
    <t>67</t>
  </si>
  <si>
    <t>Техническое обслуживание ежеквартальное холодильных установок мощностью 420 кВт / применительно до 175 кВт</t>
  </si>
  <si>
    <t>Техническое обслуживание ежемесячное холодильных установок мощностью 420 кВт / применительно до 175 кВт</t>
  </si>
  <si>
    <t>68</t>
  </si>
  <si>
    <t>1.18-2403-17-3/1</t>
  </si>
  <si>
    <t>Техническое обслуживание внутренних кассетных блоков сплит систем мощностью до 5 кВт - полугодовое</t>
  </si>
  <si>
    <t>СН-2012.1 Выпуск № 5 (в текущих ценах по состоянию на 01.10.2025 г.). 1.18-2403-17-3/1</t>
  </si>
  <si>
    <t>1.18-2403-17-1/1</t>
  </si>
  <si>
    <t>Техническое обслуживание внутренних кассетных блоков сплит систем мощностью до 5 кВт - ежемесячное</t>
  </si>
  <si>
    <t>СН-2012.1 Выпуск № 5 (в текущих ценах по состоянию на 01.10.2025 г.). 1.18-2403-17-1/1</t>
  </si>
  <si>
    <t>69</t>
  </si>
  <si>
    <t>Раздел: 4. Системы электроснабжения</t>
  </si>
  <si>
    <t>Силовое электрооборудование</t>
  </si>
  <si>
    <t>Электрооборудование. Корпус  7.2.1, 7.2.2,7.2.3</t>
  </si>
  <si>
    <t>70</t>
  </si>
  <si>
    <t>1.21-2203-2-5/1</t>
  </si>
  <si>
    <t>Техническое обслуживание силового распределительного пункта с установочными автоматами, число групп 12/( Щит вводно-распределительный)</t>
  </si>
  <si>
    <t>СН-2012.1 Выпуск № 5 (в текущих ценах по состоянию на 01.10.2025 г.). 1.21-2203-2-5/1</t>
  </si>
  <si>
    <t>1.21-2201-2-5/1</t>
  </si>
  <si>
    <t>Технический осмотр силового распределительного пункта с установочными автоматами, число групп 12/( Щит вводно-распределительный)</t>
  </si>
  <si>
    <t>СН-2012.1 Выпуск № 5 (в текущих ценах по состоянию на 01.10.2025 г.). 1.21-2201-2-5/1</t>
  </si>
  <si>
    <t>71</t>
  </si>
  <si>
    <t>1.21-2203-2-4/1</t>
  </si>
  <si>
    <t>Техническое обслуживание силового распределительного пункта с установочными автоматами, число групп 10 (Панель пожарных устройств, Щит силовой обогрева кровли )</t>
  </si>
  <si>
    <t>СН-2012.1 Выпуск № 5 (в текущих ценах по состоянию на 01.10.2025 г.). 1.21-2203-2-4/1</t>
  </si>
  <si>
    <t>1.21-2201-2-4/1</t>
  </si>
  <si>
    <t>Технический осмотр силового распределительного пункта с установочными автоматами, число групп 10 /(Панель пожарных устройств, Щит силовой обогрева кровли )</t>
  </si>
  <si>
    <t>СН-2012.1 Выпуск № 5 (в текущих ценах по состоянию на 01.10.2025 г.). 1.21-2201-2-4/1</t>
  </si>
  <si>
    <t>)*16</t>
  </si>
  <si>
    <t>72</t>
  </si>
  <si>
    <t>1.21-2203-37-1/1</t>
  </si>
  <si>
    <t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t>
  </si>
  <si>
    <t>СН-2012.1 Выпуск № 5 (в текущих ценах по состоянию на 01.10.2025 г.). 1.21-2203-37-1/1</t>
  </si>
  <si>
    <t>1.21-2201-17-2/1</t>
  </si>
  <si>
    <t>Осмотр трехфазного многотарифного счетчика электроэнергии типа Меркурий 230 трансформаторного включения в распределительном устройстве - ежемесячный</t>
  </si>
  <si>
    <t>СН-2012.1 Выпуск № 5 (в текущих ценах по состоянию на 01.10.2025 г.). 1.21-2201-17-2/1</t>
  </si>
  <si>
    <t>1.21-2201-17-1/1</t>
  </si>
  <si>
    <t>Осмотр трехфазного многотарифного счетчика электроэнергии типа Меркурий 230 трансформаторного включения в распределительном устройстве - ежедневный</t>
  </si>
  <si>
    <t>СН-2012.1 Выпуск № 5 (в текущих ценах по состоянию на 01.10.2025 г.). 1.21-2201-17-1/1</t>
  </si>
  <si>
    <t>)*118</t>
  </si>
  <si>
    <t>Электрооборудование. Корпус  7.2.4</t>
  </si>
  <si>
    <t>73</t>
  </si>
  <si>
    <t>Техническое обслуживание силового распределительного пункта с установочными автоматами, число групп 12 /( Главный распределительный щит )</t>
  </si>
  <si>
    <t>Технический осмотр силового распределительного пункта с установочными автоматами, число групп 12 /Главный распределительный щит</t>
  </si>
  <si>
    <t>74</t>
  </si>
  <si>
    <t>Техническое обслуживание силового распределительного пункта с установочными автоматами, число групп 10 /Вводно-распределительное устройство</t>
  </si>
  <si>
    <t>Технический осмотр силового распределительного пункта с установочными автоматами, число групп 10 /Вводно-распределительное устройство</t>
  </si>
  <si>
    <t>75</t>
  </si>
  <si>
    <t>76</t>
  </si>
  <si>
    <t>Электроустановочные изделия. Корпус  Корпус  7.2.1, 7.2.2, 7.2.3, 7.2.4</t>
  </si>
  <si>
    <t>1.21-2303-37-2/1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</si>
  <si>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годовое</t>
  </si>
  <si>
    <t>СН-2012.1 Выпуск № 5 (в текущих ценах по состоянию на 01.10.2025 г.). 1.21-2303-37-2/1</t>
  </si>
  <si>
    <t>77</t>
  </si>
  <si>
    <t>1.21-2303-37-1/1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</si>
  <si>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полугодовое</t>
  </si>
  <si>
    <t>СН-2012.1 Выпуск № 5 (в текущих ценах по состоянию на 01.10.2025 г.). 1.21-2303-37-1/1</t>
  </si>
  <si>
    <t>1.21-2301-22-1/1</t>
  </si>
  <si>
    <t>Осмотр розетки штепсельной силовой с заземляющим контактом, степень защиты IP20, IP21, IP22 - ежемесячный</t>
  </si>
  <si>
    <t>СН-2012.1 Выпуск № 5 (в текущих ценах по состоянию на 01.10.2025 г.). 1.21-2301-22-1/1</t>
  </si>
  <si>
    <t>78</t>
  </si>
  <si>
    <t>1.23-2303-15-1/1</t>
  </si>
  <si>
    <t>Техническое обслуживание микропроцессорного терморегулятора</t>
  </si>
  <si>
    <t>СН-2012.1 Выпуск № 5 (в текущих ценах по состоянию на 01.10.2025 г.). 1.23-2303-15-1/1</t>
  </si>
  <si>
    <t>Кабельные изделия Корпус  7.2.1, Корпус 7.2.2, Корпус 7.2.3,  Корпус 7.2.4</t>
  </si>
  <si>
    <t>79</t>
  </si>
  <si>
    <t>1.21-2103-9-2/1</t>
  </si>
  <si>
    <t>Техническое обслуживание силовых сетей, проложенных по кирпичным и бетонным основаниям, провод сечением 3х1,5-6 мм2</t>
  </si>
  <si>
    <t>СН-2012.1 Выпуск № 5 (в текущих ценах по состоянию на 01.10.2025 г.). 1.21-2103-9-2/1</t>
  </si>
  <si>
    <t>1.21-2101-1-2/1</t>
  </si>
  <si>
    <t>Технический осмотр силовых сетей, проложенных по кирпичным и бетонным основаниям, провод сечением 3х1,5-6 мм2</t>
  </si>
  <si>
    <t>СН-2012.1 Выпуск № 5 (в текущих ценах по состоянию на 01.10.2025 г.). 1.21-2101-1-2/1</t>
  </si>
  <si>
    <t>80</t>
  </si>
  <si>
    <t>1.21-2103-9-7/1</t>
  </si>
  <si>
    <t>Техническое обслуживание силовых сетей, проложенных по кирпичным и бетонным основаниям, провод сечением 3х25-35 мм2  / (4х185),  (5х50, 5х70)</t>
  </si>
  <si>
    <t>СН-2012.1 Выпуск № 5 (в текущих ценах по состоянию на 01.10.2025 г.). 1.21-2103-9-7/1</t>
  </si>
  <si>
    <t>81</t>
  </si>
  <si>
    <t>1.21-2103-9-8/1</t>
  </si>
  <si>
    <t>Техническое обслуживание силовых сетей, проложенных по кирпичным и бетонным основаниям, добавлять на каждый следующий провод к поз. 21-2103-9-7 / ( (4х185)</t>
  </si>
  <si>
    <t>СН-2012.1 Выпуск № 5 (в текущих ценах по состоянию на 01.10.2025 г.). 1.21-2103-9-8/1</t>
  </si>
  <si>
    <t>82</t>
  </si>
  <si>
    <t>Техническое обслуживание силовых сетей, проложенных по кирпичным и бетонным основаниям, добавлять на каждый следующий провод к поз. 21-2103-9-7</t>
  </si>
  <si>
    <t>1.21-2101-1-7/1</t>
  </si>
  <si>
    <t>Технический осмотр силовых сетей, проложенных по кирпичным и бетонным основаниям, провод сечением 3х25-35 мм2 / (4х185,)  (5х50, 5х70)</t>
  </si>
  <si>
    <t>СН-2012.1 Выпуск № 5 (в текущих ценах по состоянию на 01.10.2025 г.). 1.21-2101-1-7/1</t>
  </si>
  <si>
    <t>83</t>
  </si>
  <si>
    <t>1.21-2103-9-5/1</t>
  </si>
  <si>
    <t>Техническое обслуживание силовых сетей, проложенных по кирпичным и бетонным основаниям, провод сечением 3х10-16 мм2  / (5х16,  5х10)</t>
  </si>
  <si>
    <t>СН-2012.1 Выпуск № 5 (в текущих ценах по состоянию на 01.10.2025 г.). 1.21-2103-9-5/1</t>
  </si>
  <si>
    <t>84</t>
  </si>
  <si>
    <t>1.21-2103-9-6/1</t>
  </si>
  <si>
    <t>Техническое обслуживание силовых сетей, проложенных по кирпичным и бетонным основаниям, добавлять на каждый последующий провод к поз. 21-2103-9-5  / (5х16,  5х10)</t>
  </si>
  <si>
    <t>СН-2012.1 Выпуск № 5 (в текущих ценах по состоянию на 01.10.2025 г.). 1.21-2103-9-6/1</t>
  </si>
  <si>
    <t>1.21-2101-1-5/1</t>
  </si>
  <si>
    <t>Технический осмотр силовых сетей, проложенных по кирпичным и бетонным основаниям, провод сечением 3х10-16 мм2 / (5х16,  5х10)</t>
  </si>
  <si>
    <t>СН-2012.1 Выпуск № 5 (в текущих ценах по состоянию на 01.10.2025 г.). 1.21-2101-1-5/1</t>
  </si>
  <si>
    <t>85</t>
  </si>
  <si>
    <t>1.21-2103-9-3/1</t>
  </si>
  <si>
    <t>Техническое обслуживание силовых сетей, проложенных по кирпичным и бетонным основаниям, провод сечением 4х1,5-6 мм2 / (5х1,5, 5х2,5, 5х4, 5х6)</t>
  </si>
  <si>
    <t>СН-2012.1 Выпуск № 5 (в текущих ценах по состоянию на 01.10.2025 г.). 1.21-2103-9-3/1</t>
  </si>
  <si>
    <t>86</t>
  </si>
  <si>
    <t>1.21-2103-9-4/1</t>
  </si>
  <si>
    <t>Техническое обслуживание силовых сетей, проложенных по кирпичным и бетонным основаниям, добавлять на каждый следующий провод к поз. 21-2103-9-3 / (5х1,5, 5х2,5, 5х4, 5х6)</t>
  </si>
  <si>
    <t>СН-2012.1 Выпуск № 5 (в текущих ценах по состоянию на 01.10.2025 г.). 1.21-2103-9-4/1</t>
  </si>
  <si>
    <t>1.21-2101-1-3/1</t>
  </si>
  <si>
    <t>Технический осмотр силовых сетей, проложенных по кирпичным и бетонным основаниям, провод сечением 4х1,5-6 мм2 / (5х1,5, 5х2,5, 5х4, 5х6)</t>
  </si>
  <si>
    <t>СН-2012.1 Выпуск № 5 (в текущих ценах по состоянию на 01.10.2025 г.). 1.21-2101-1-3/1</t>
  </si>
  <si>
    <t>Электрическое освещение (внутреннее)</t>
  </si>
  <si>
    <t>Оборудование светотехническое. Корпус  7.2.1, Корпус 7.2.2, Корпус 7.2.3,  Корпус 7.2.4</t>
  </si>
  <si>
    <t>87</t>
  </si>
  <si>
    <t>1.20-2103-25-1/1</t>
  </si>
  <si>
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 / Светильник Varton T-Line</t>
  </si>
  <si>
    <t>СН-2012.1 Выпуск № 5 (в текущих ценах по состоянию на 01.10.2025 г.). 1.20-2103-25-1/1</t>
  </si>
  <si>
    <t>Поправка: СН-2012. Гл.1 Сб.20 п.3. 1  Наименование: При работах, которые производятся на высоте свыше 2 м от пола от 2 до 8 м</t>
  </si>
  <si>
    <t>)*1,04</t>
  </si>
  <si>
    <t>Поправка: СН-2012. Гл.1 Сб.20 п.3. 1</t>
  </si>
  <si>
    <t>88</t>
  </si>
  <si>
    <t>1.20-2103-19-2/1</t>
  </si>
  <si>
    <t>Техническое обслуживание годовое светильника светодиодного потолочного типа Arctic 1200 / Светильник Varton Strong 2.0 IP65 1,2м</t>
  </si>
  <si>
    <t>СН-2012.1 Выпуск № 5 (в текущих ценах по состоянию на 01.10.2025 г.). 1.20-2103-19-2/1</t>
  </si>
  <si>
    <t>89</t>
  </si>
  <si>
    <t>1.20-2103-24-1/1</t>
  </si>
  <si>
    <t>СН-2012.1 Выпуск № 5 (в текущих ценах по состоянию на 01.10.2025 г.). 1.20-2103-24-1/1</t>
  </si>
  <si>
    <t>90</t>
  </si>
  <si>
    <t>1.20-2103-14-1/1</t>
  </si>
  <si>
    <t>Техническое обслуживание светильника светодиодного типа Down light unique dl - годовое</t>
  </si>
  <si>
    <t>СН-2012.1 Выпуск № 5 (в текущих ценах по состоянию на 01.10.2025 г.). 1.20-2103-14-1/1</t>
  </si>
  <si>
    <t>91</t>
  </si>
  <si>
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 / Бра Odeon Light 3816/16WS WHITNEY светодиодная LED 12W</t>
  </si>
  <si>
    <t>92</t>
  </si>
  <si>
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 Светильник подвесной</t>
  </si>
  <si>
    <t>93</t>
  </si>
  <si>
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 / Светильник настенный ST Luce Ralio SL1580.401.02</t>
  </si>
  <si>
    <t>94</t>
  </si>
  <si>
    <t>95</t>
  </si>
  <si>
    <t>Техническое обслуживание светильника светодиодного типа Down light unique dl - годовое / Встраиваемый светильник Novotech, Светильник 370720 LIRIO  Novotech</t>
  </si>
  <si>
    <t>96</t>
  </si>
  <si>
    <t>1.20-2103-12-1/1</t>
  </si>
  <si>
    <t>Техническое обслуживание панели светодиодной 595x595 мм типа Ecola, встроенной в потолок грильято - годовое</t>
  </si>
  <si>
    <t>СН-2012.1 Выпуск № 5 (в текущих ценах по состоянию на 01.10.2025 г.). 1.20-2103-12-1/1</t>
  </si>
  <si>
    <t>Система электрического обогрева кровли и водостоков.</t>
  </si>
  <si>
    <t>Система электрического обогрева кровли и водостоков Корпус  7.2.1, Корпус 7.2.2, Корпус 7.2.3,  Корпус 7.2.4</t>
  </si>
  <si>
    <t>97</t>
  </si>
  <si>
    <t>1.23-2103-9-8/1</t>
  </si>
  <si>
    <t>Техническое обслуживание приборов для измерения температуры, термопреобразователи сопротивления, тип: ТСП-0879, ТСП-1079, ТСМ-0879, ТСМ-0979 /Термопреобразователь ДТС014-РТ1000.В2.25/1</t>
  </si>
  <si>
    <t>СН-2012.1 Выпуск № 5 (в текущих ценах по состоянию на 01.10.2025 г.). 1.23-2103-9-8/1</t>
  </si>
  <si>
    <t>98</t>
  </si>
  <si>
    <t>1.23-2103-15-1/1</t>
  </si>
  <si>
    <t>Техническое обслуживание сигнализатора уровня /Датчик осадков КСТ-020 3,0</t>
  </si>
  <si>
    <t>СН-2012.1 Выпуск № 5 (в текущих ценах по состоянию на 01.10.2025 г.). 1.23-2103-15-1/1</t>
  </si>
  <si>
    <t>99</t>
  </si>
  <si>
    <t>100</t>
  </si>
  <si>
    <t>Молниезащита, заземление и уравнивание потенциалов</t>
  </si>
  <si>
    <t>Система молниезащиты  Корпус  7.2.1, Корпус 7.2.2, Корпус 7.2.3,  Корпус 7.2.4</t>
  </si>
  <si>
    <t>101</t>
  </si>
  <si>
    <t>1.21-2103-3-1/1</t>
  </si>
  <si>
    <t>Техническое обслуживание сетей заземления магистральных / Вертикальный заземлитель из уголка 50х50х5 мм, Полоса 40х4 мм, Пруток 8 мм</t>
  </si>
  <si>
    <t>СН-2012.1 Выпуск № 5 (в текущих ценах по состоянию на 01.10.2025 г.). 1.21-2103-3-1/1</t>
  </si>
  <si>
    <t>1.21-2101-7-1/1</t>
  </si>
  <si>
    <t>Технический осмотр сетей заземления магистральных</t>
  </si>
  <si>
    <t>СН-2012.1 Выпуск № 5 (в текущих ценах по состоянию на 01.10.2025 г.). 1.21-2101-7-1/1</t>
  </si>
  <si>
    <t>1.21-2303-31-1/1</t>
  </si>
  <si>
    <t>Техническое обслуживание коробки клеммной соединительной, с количеством клемм до 20</t>
  </si>
  <si>
    <t>СН-2012.1 Выпуск № 5 (в текущих ценах по состоянию на 01.10.2025 г.). 1.21-2303-31-1/1</t>
  </si>
  <si>
    <t>Архитектурное освещение фасада</t>
  </si>
  <si>
    <t>Корпус  7.2.1, Корпус 7.2.2, Корпус 7.2.3,  Корпус 7.2.4</t>
  </si>
  <si>
    <t>102</t>
  </si>
  <si>
    <t>1.20-2203-1-3/1</t>
  </si>
  <si>
    <t>Техническое обслуживание щита осветительного группового с установочными автоматами, число групп 6 / Щит фасадного освещения</t>
  </si>
  <si>
    <t>СН-2012.1 Выпуск № 5 (в текущих ценах по состоянию на 01.10.2025 г.). 1.20-2203-1-3/1</t>
  </si>
  <si>
    <t>1.20-2201-1-3/1</t>
  </si>
  <si>
    <t>Осмотр щита осветительного группового с установочными автоматами, число групп 6</t>
  </si>
  <si>
    <t>СН-2012.1 Выпуск № 5 (в текущих ценах по состоянию на 01.10.2025 г.). 1.20-2201-1-3/1</t>
  </si>
  <si>
    <t>103</t>
  </si>
  <si>
    <t>1.23-2103-3-1/1</t>
  </si>
  <si>
    <t>Техническое обслуживание реле времени, реле теплового / Реле времени астрономическое PCZ—525—3</t>
  </si>
  <si>
    <t>СН-2012.1 Выпуск № 5 (в текущих ценах по состоянию на 01.10.2025 г.). 1.23-2103-3-1/1</t>
  </si>
  <si>
    <t>1.23-2101-3-1/1</t>
  </si>
  <si>
    <t>Осмотр реле времени, реле теплового</t>
  </si>
  <si>
    <t>СН-2012.1 Выпуск № 5 (в текущих ценах по состоянию на 01.10.2025 г.). 1.23-2101-3-1/1</t>
  </si>
  <si>
    <t>104</t>
  </si>
  <si>
    <t>1.21-2303-18-1/1</t>
  </si>
  <si>
    <t>Техническое обслуживание переключателя универсального, число секций до 8</t>
  </si>
  <si>
    <t>СН-2012.1 Выпуск № 5 (в текущих ценах по состоянию на 01.10.2025 г.). 1.21-2303-18-1/1</t>
  </si>
  <si>
    <t>105</t>
  </si>
  <si>
    <t>1.23-2203-3-1/1</t>
  </si>
  <si>
    <t>Техническое обслуживание светосигнальной арматуры с лампой накаливания, светодиодом</t>
  </si>
  <si>
    <t>СН-2012.1 Выпуск № 5 (в текущих ценах по состоянию на 01.10.2025 г.). 1.23-2203-3-1/1</t>
  </si>
  <si>
    <t>106</t>
  </si>
  <si>
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</t>
  </si>
  <si>
    <t>107</t>
  </si>
  <si>
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</t>
  </si>
  <si>
    <t>22.1-4-18</t>
  </si>
  <si>
    <t>Вышки телескопические на автомобиле, высота до 12 м, грузоподъемность до 250 кг</t>
  </si>
  <si>
    <t>маш.-ч</t>
  </si>
  <si>
    <t>СН-2012.22 Выпуск № 5 (в текущих ценах по состоянию на 01.10.2025 г.). 22.1-4-18</t>
  </si>
  <si>
    <t>108</t>
  </si>
  <si>
    <t>Электроснабжение ИТП</t>
  </si>
  <si>
    <t>109</t>
  </si>
  <si>
    <t>Техническое обслуживание силового распределительного пункта с установочными автоматами, число групп 10</t>
  </si>
  <si>
    <t>Технический осмотр силового распределительного пункта с установочными автоматами, число групп 10</t>
  </si>
  <si>
    <t>110</t>
  </si>
  <si>
    <t>111</t>
  </si>
  <si>
    <t>1.23-2103-4-1/1</t>
  </si>
  <si>
    <t>Техническое обслуживание реле напряжения, реле промежуточного</t>
  </si>
  <si>
    <t>СН-2012.1 Выпуск № 5 (в текущих ценах по состоянию на 01.10.2025 г.). 1.23-2103-4-1/1</t>
  </si>
  <si>
    <t>1.23-2101-4-1/1</t>
  </si>
  <si>
    <t>Осмотр реле напряжения, реле промежуточного</t>
  </si>
  <si>
    <t>СН-2012.1 Выпуск № 5 (в текущих ценах по состоянию на 01.10.2025 г.). 1.23-2101-4-1/1</t>
  </si>
  <si>
    <t>112</t>
  </si>
  <si>
    <t>1.21-2203-17-1/1</t>
  </si>
  <si>
    <t>Техническое обслуживание ящика с понижающим трансформатором типа ЯТП  / ЯРП-100-54</t>
  </si>
  <si>
    <t>СН-2012.1 Выпуск № 5 (в текущих ценах по состоянию на 01.10.2025 г.). 1.21-2203-17-1/1</t>
  </si>
  <si>
    <t>1.21-2201-20-1/1</t>
  </si>
  <si>
    <t>Технический осмотр ящика с понижающим трансформатором типа ЯТП - ежемесячный  / ЯРП-100-54</t>
  </si>
  <si>
    <t>СН-2012.1 Выпуск № 5 (в текущих ценах по состоянию на 01.10.2025 г.). 1.21-2201-20-1/1</t>
  </si>
  <si>
    <t>113</t>
  </si>
  <si>
    <t>1.21-2103-9-1/1</t>
  </si>
  <si>
    <t>Техническое обслуживание силовых сетей, проложенных по кирпичным и бетонным основаниям, провод сечением 2х1,5-6 мм2</t>
  </si>
  <si>
    <t>СН-2012.1 Выпуск № 5 (в текущих ценах по состоянию на 01.10.2025 г.). 1.21-2103-9-1/1</t>
  </si>
  <si>
    <t>1.21-2101-1-1/1</t>
  </si>
  <si>
    <t>Технический осмотр силовых сетей, проложенных по кирпичным и бетонным основаниям, провод сечением 2х1,5-6 мм2</t>
  </si>
  <si>
    <t>СН-2012.1 Выпуск № 5 (в текущих ценах по состоянию на 01.10.2025 г.). 1.21-2101-1-1/1</t>
  </si>
  <si>
    <t>114</t>
  </si>
  <si>
    <t>115</t>
  </si>
  <si>
    <t>Техническое обслуживание силовых сетей, проложенных по кирпичным и бетонным основаниям, провод сечением 4х1,5-6 мм2</t>
  </si>
  <si>
    <t>Технический осмотр силовых сетей, проложенных по кирпичным и бетонным основаниям, провод сечением 4х1,5-6 мм2</t>
  </si>
  <si>
    <t>116</t>
  </si>
  <si>
    <t>Техническое обслуживание сетей заземления магистральных,</t>
  </si>
  <si>
    <t>Ит</t>
  </si>
  <si>
    <t>Итого</t>
  </si>
  <si>
    <t>НДС</t>
  </si>
  <si>
    <t>НДС, 20%</t>
  </si>
  <si>
    <t>ВссНДС</t>
  </si>
  <si>
    <t>Всего с НДС</t>
  </si>
  <si>
    <t>Переменная</t>
  </si>
  <si>
    <t>Новая переменная</t>
  </si>
  <si>
    <t>Уровень цен</t>
  </si>
  <si>
    <t>_OBSM_</t>
  </si>
  <si>
    <t>9999990008</t>
  </si>
  <si>
    <t>Трудозатраты рабочих</t>
  </si>
  <si>
    <t>чел.-ч.</t>
  </si>
  <si>
    <t>22.1-18-24</t>
  </si>
  <si>
    <t>СН-2012.22 Выпуск № 5 (в текущих ценах по состоянию на 01.10.2025 г.). 22.1-18-24</t>
  </si>
  <si>
    <t>Автомобили полупассажирские типа ГАЗ, грузоподъемность до 2 т</t>
  </si>
  <si>
    <t>21.1-4-41</t>
  </si>
  <si>
    <t>СН-2012.21 Выпуск № 5 (в текущих ценах по состоянию на 01.10.2025 г.). 21.1-4-41</t>
  </si>
  <si>
    <t>Смазка густая (типа "Литол"), марка "Моbilux"</t>
  </si>
  <si>
    <t>кг</t>
  </si>
  <si>
    <t>2248208000</t>
  </si>
  <si>
    <t>Кольца уплотнительные из этилен-пропилен-диенового каучука для шаровых кранов НПВХ</t>
  </si>
  <si>
    <t>компл.</t>
  </si>
  <si>
    <t>22.1-30-56</t>
  </si>
  <si>
    <t>СН-2012.22 Выпуск № 5 (в текущих ценах по состоянию на 01.10.2025 г.). 22.1-30-56</t>
  </si>
  <si>
    <t>Шуруповерты</t>
  </si>
  <si>
    <t>21.1-1-11</t>
  </si>
  <si>
    <t>СН-2012.21 Выпуск № 5 (в текущих ценах по состоянию на 01.10.2025 г.). 21.1-1-11</t>
  </si>
  <si>
    <t>Герметик силиконовый</t>
  </si>
  <si>
    <t>л</t>
  </si>
  <si>
    <t>21.1-11-125</t>
  </si>
  <si>
    <t>Шурупы с потайной головкой, черные, размер 8,0х100 мм</t>
  </si>
  <si>
    <t>21.1-11-51</t>
  </si>
  <si>
    <t>Дюбели с насаженными шайбами</t>
  </si>
  <si>
    <t>21.1-11-15</t>
  </si>
  <si>
    <t>СН-2012.21 Выпуск № 5 (в текущих ценах по состоянию на 01.10.2025 г.). 21.1-11-15</t>
  </si>
  <si>
    <t>Болты строительные с гайками с шестигранной головкой, диаметр резьбы 6 мм</t>
  </si>
  <si>
    <t>т</t>
  </si>
  <si>
    <t>21.1-25-13</t>
  </si>
  <si>
    <t>СН-2012.21 Выпуск № 5 (в текущих ценах по состоянию на 01.10.2025 г.). 21.1-25-13</t>
  </si>
  <si>
    <t>Вода</t>
  </si>
  <si>
    <t>м3</t>
  </si>
  <si>
    <t>21.12-5-17</t>
  </si>
  <si>
    <t>СН-2012.21 Выпуск № 5 (в текущих ценах по состоянию на 01.10.2025 г.). 21.12-5-17</t>
  </si>
  <si>
    <t>Кольца резиновые уплотнительные для канализации из поливинилхлоридных труб</t>
  </si>
  <si>
    <t>21.1-20-7</t>
  </si>
  <si>
    <t>СН-2012.21 Выпуск № 5 (в текущих ценах по состоянию на 01.10.2025 г.). 21.1-20-7</t>
  </si>
  <si>
    <t>Ветошь</t>
  </si>
  <si>
    <t>21.1-4-34</t>
  </si>
  <si>
    <t>СН-2012.21 Выпуск № 5 (в текущих ценах по состоянию на 01.10.2025 г.). 21.1-4-34</t>
  </si>
  <si>
    <t>Растворитель нефтяной, марка Нефрас С-50/170</t>
  </si>
  <si>
    <t>21.26-2-2</t>
  </si>
  <si>
    <t>СН-2012.21 Выпуск № 5 (в текущих ценах по состоянию на 01.10.2025 г.). 21.26-2-2</t>
  </si>
  <si>
    <t>Бумага индикаторная (полоски) универсальная pH 0-12</t>
  </si>
  <si>
    <t>21.1-16-104</t>
  </si>
  <si>
    <t>СН-2012.21 Выпуск № 5 (в текущих ценах по состоянию на 01.10.2025 г.). 21.1-16-104</t>
  </si>
  <si>
    <t>Спирт этиловый технический</t>
  </si>
  <si>
    <t>5728811000</t>
  </si>
  <si>
    <t>Прокладки из листового терморасширенного графита</t>
  </si>
  <si>
    <t>22.1-11-90</t>
  </si>
  <si>
    <t>СН-2012.22 Выпуск № 5 (в текущих ценах по состоянию на 01.10.2025 г.). 22.1-11-90</t>
  </si>
  <si>
    <t>Агрегаты электронасосные для опрессовки сосудов, котлов и систем трубопроводов, подача 0,252 м3/ч</t>
  </si>
  <si>
    <t>21.1-25-16</t>
  </si>
  <si>
    <t>СН-2012.21 Выпуск № 5 (в текущих ценах по состоянию на 01.10.2025 г.). 21.1-25-16</t>
  </si>
  <si>
    <t>Волокно льняное №11 для уплотнения резьбовых соединений при монтаже систем водоснабжения и отопления</t>
  </si>
  <si>
    <t>21.1-6-46</t>
  </si>
  <si>
    <t>Краски масляные жидкотертые цветные (готовые к употреблению) для наружных и внутренних работ, марка МА-15, сурик железный для окраски по металлу</t>
  </si>
  <si>
    <t>21.1-6-90</t>
  </si>
  <si>
    <t>СН-2012.21 Выпуск № 5 (в текущих ценах по состоянию на 01.10.2025 г.). 21.1-6-90</t>
  </si>
  <si>
    <t>Олифа для окраски комбинированная оксоль</t>
  </si>
  <si>
    <t>22.1-10-20</t>
  </si>
  <si>
    <t>СН-2012.22 Выпуск № 5 (в текущих ценах по состоянию на 01.10.2025 г.). 22.1-10-20</t>
  </si>
  <si>
    <t>Компрессоры поршневые, производительность до 240 л/мин, объем ресивера 50 л</t>
  </si>
  <si>
    <t>21.1-4-17</t>
  </si>
  <si>
    <t>СН-2012.21 Выпуск № 5 (в текущих ценах по состоянию на 01.10.2025 г.). 21.1-4-17</t>
  </si>
  <si>
    <t>Масло индустриальное, марка И-30А</t>
  </si>
  <si>
    <t>21.1-4-3</t>
  </si>
  <si>
    <t>СН-2012.21 Выпуск № 5 (в текущих ценах по состоянию на 01.10.2025 г.). 21.1-4-3</t>
  </si>
  <si>
    <t>Бензин</t>
  </si>
  <si>
    <t>22.1-14-13</t>
  </si>
  <si>
    <t>СН-2012.22 Выпуск № 5 (в текущих ценах по состоянию на 01.10.2025 г.). 22.1-14-13</t>
  </si>
  <si>
    <t>Пылесосы промышленные</t>
  </si>
  <si>
    <t>22.1-17-282</t>
  </si>
  <si>
    <t>СН-2012.22 Выпуск № 5 (в текущих ценах по состоянию на 01.10.2025 г.). 22.1-17-282</t>
  </si>
  <si>
    <t>Пылесосы хозяйственные, потребляемая мощность до 1 кВт, объем мусоросборника 20 л, расход воздуха 68 л/с</t>
  </si>
  <si>
    <t>21.1-11-21</t>
  </si>
  <si>
    <t>СН-2012.21 Выпуск № 5 (в текущих ценах по состоянию на 01.10.2025 г.). 21.1-11-21</t>
  </si>
  <si>
    <t>Болты строительные черные с гайками и шайбами (10х100мм)</t>
  </si>
  <si>
    <t>21.1-11-95</t>
  </si>
  <si>
    <t>СН-2012.21 Выпуск № 5 (в текущих ценах по состоянию на 01.10.2025 г.). 21.1-11-95</t>
  </si>
  <si>
    <t>Шайбы для болтов черные</t>
  </si>
  <si>
    <t>21.1-23-9</t>
  </si>
  <si>
    <t>СН-2012.21 Выпуск № 5 (в текущих ценах по состоянию на 01.10.2025 г.). 21.1-23-9</t>
  </si>
  <si>
    <t>Электроды, тип Э-42, 46, 50, диаметр 4 - 6 мм</t>
  </si>
  <si>
    <t>21.1-25-284</t>
  </si>
  <si>
    <t>СН-2012.21 Выпуск № 5 (в текущих ценах по состоянию на 01.10.2025 г.). 21.1-25-284</t>
  </si>
  <si>
    <t>Прокладки резиновые, уплотнительные, диаметр 30-40 мм, марка 7057-3</t>
  </si>
  <si>
    <t>21.1-25-399</t>
  </si>
  <si>
    <t>СН-2012.21 Выпуск № 5 (в текущих ценах по состоянию на 01.10.2025 г.). 21.1-25-399</t>
  </si>
  <si>
    <t>Шнур асбестовый, общего назначения, марка ШАОН-1, диаметр 0,75 мм,</t>
  </si>
  <si>
    <t>21.1-4-10</t>
  </si>
  <si>
    <t>СН-2012.21 Выпуск № 5 (в текущих ценах по состоянию на 01.10.2025 г.). 21.1-4-10</t>
  </si>
  <si>
    <t>Кислород технический газообразный</t>
  </si>
  <si>
    <t>21.1-4-2</t>
  </si>
  <si>
    <t>СН-2012.21 Выпуск № 5 (в текущих ценах по состоянию на 01.10.2025 г.). 21.1-4-2</t>
  </si>
  <si>
    <t>Ацетилен технический</t>
  </si>
  <si>
    <t>21.1-4-46</t>
  </si>
  <si>
    <t>СН-2012.21 Выпуск № 5 (в текущих ценах по состоянию на 01.10.2025 г.). 21.1-4-46</t>
  </si>
  <si>
    <t>Солидол жировой</t>
  </si>
  <si>
    <t>21.1-4-9</t>
  </si>
  <si>
    <t>СН-2012.21 Выпуск № 5 (в текущих ценах по состоянию на 01.10.2025 г.). 21.1-4-9</t>
  </si>
  <si>
    <t>Керосин</t>
  </si>
  <si>
    <t>21.1-6-48</t>
  </si>
  <si>
    <t>СН-2012.21 Выпуск № 5 (в текущих ценах по состоянию на 01.10.2025 г.). 21.1-6-48</t>
  </si>
  <si>
    <t>Краски масляные жидкотертые цветные (готовые к употреблению) для наружных и внутренних работ, марка МА-25</t>
  </si>
  <si>
    <t>21.1-6-68</t>
  </si>
  <si>
    <t>СН-2012.21 Выпуск № 5 (в текущих ценах по состоянию на 01.10.2025 г.). 21.1-6-68</t>
  </si>
  <si>
    <t>Лак битумный, марка БТ-577</t>
  </si>
  <si>
    <t>21.18-7-2</t>
  </si>
  <si>
    <t>СН-2012.21 Выпуск № 5 (в текущих ценах по состоянию на 01.10.2025 г.). 21.18-7-2</t>
  </si>
  <si>
    <t>Прокладка уплотнительная паронитовая, толщина 0,5-2,5 мм</t>
  </si>
  <si>
    <t>21.1-20-23</t>
  </si>
  <si>
    <t>СН-2012.21 Выпуск № 5 (в текущих ценах по состоянию на 01.10.2025 г.). 21.1-20-23</t>
  </si>
  <si>
    <t>Парусина (брезент)</t>
  </si>
  <si>
    <t>м2</t>
  </si>
  <si>
    <t>22.1-17-208</t>
  </si>
  <si>
    <t>СН-2012.22 Выпуск № 5 (в текущих ценах по состоянию на 01.10.2025 г.). 22.1-17-208</t>
  </si>
  <si>
    <t>Установки для удаления отложений в стальных, чугунных и медных теплообменниках, производительность 3360 л/час</t>
  </si>
  <si>
    <t>21.1-24-45</t>
  </si>
  <si>
    <t>СН-2012.21 Выпуск № 5 (в текущих ценах по состоянию на 01.10.2025 г.). 21.1-24-45</t>
  </si>
  <si>
    <t>Состав жидкий концентрированный восстанавливающий для удаления коррозии и известковых отложений в системах нагревающих/охлаждающих и кондиционирования воздуха, типа "Cillit HS 23 RS"</t>
  </si>
  <si>
    <t>22.1-17-204</t>
  </si>
  <si>
    <t>СН-2012.22 Выпуск № 5 (в текущих ценах по состоянию на 01.10.2025 г.). 22.1-17-204</t>
  </si>
  <si>
    <t>Установки фильтровакуумные, поток воздуха (без фильтров)   4500 м3/ч, давление до 1200 Па</t>
  </si>
  <si>
    <t>22.1-17-209</t>
  </si>
  <si>
    <t>СН-2012.22 Выпуск № 5 (в текущих ценах по состоянию на 01.10.2025 г.). 22.1-17-209</t>
  </si>
  <si>
    <t>Машины щеточные электрические для очистки воздуховодов диаметром от 100 до 400 мм</t>
  </si>
  <si>
    <t>22.1-17-205</t>
  </si>
  <si>
    <t>СН-2012.22 Выпуск № 5 (в текущих ценах по состоянию на 01.10.2025 г.). 22.1-17-205</t>
  </si>
  <si>
    <t>Генераторы холодного тумана аэрозольные, производительность до 19 л/ч</t>
  </si>
  <si>
    <t>21.1-24-43</t>
  </si>
  <si>
    <t>СН-2012.21 Выпуск № 5 (в текущих ценах по состоянию на 01.10.2025 г.). 21.1-24-43</t>
  </si>
  <si>
    <t>Средство жидкое микробиоцидное для дезинфекции и предстерилизационной очистки, содержание алкилдиметилбензиламмония хлорида 50% (ЧАС)</t>
  </si>
  <si>
    <t>22.1-17-213</t>
  </si>
  <si>
    <t>СН-2012.22 Выпуск № 5 (в текущих ценах по состоянию на 01.10.2025 г.). 22.1-17-213</t>
  </si>
  <si>
    <t>Мойки высокого давления импортного производства, расход воды 650 л/ч, мощность 3,3 кВт</t>
  </si>
  <si>
    <t>21.1-20-10</t>
  </si>
  <si>
    <t>СН-2012.21 Выпуск № 5 (в текущих ценах по состоянию на 01.10.2025 г.). 21.1-20-10</t>
  </si>
  <si>
    <t>Лента изоляционная хлопчатобумажная</t>
  </si>
  <si>
    <t>21.1-6-139</t>
  </si>
  <si>
    <t>СН-2012.21 Выпуск № 5 (в текущих ценах по состоянию на 01.10.2025 г.). 21.1-6-139</t>
  </si>
  <si>
    <t>Эмаль, марка ПФ-115 (цветная), пентафталевая</t>
  </si>
  <si>
    <t>21.1-4-44</t>
  </si>
  <si>
    <t>СН-2012.21 Выпуск № 5 (в текущих ценах по состоянию на 01.10.2025 г.). 21.1-4-44</t>
  </si>
  <si>
    <t>Смазка ЦИАТИМ-201 морозостойкая для смазывания малонагруженных узлов трения качения и скольжения при температурах от -60° С до +90° С</t>
  </si>
  <si>
    <t>21.1-4-33</t>
  </si>
  <si>
    <t>СН-2012.21 Выпуск № 5 (в текущих ценах по состоянию на 01.10.2025 г.). 21.1-4-33</t>
  </si>
  <si>
    <t>Растворитель нефтяной, марка Нефрас С2-80/120</t>
  </si>
  <si>
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 Светильник Novotech 358031 Luna</t>
  </si>
  <si>
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 Бра Elektrostandard , Бра Mabell MOD306WL-01CH, Бра Avant-garde MOD324WL-01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</si>
  <si>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</si>
  <si>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</si>
  <si>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</si>
  <si>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</si>
  <si>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</si>
  <si>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</si>
  <si>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</si>
  <si>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</si>
  <si>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</si>
  <si>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</si>
  <si>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</si>
  <si>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</si>
  <si>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</si>
  <si>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</si>
  <si>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</si>
  <si>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</si>
  <si>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</si>
  <si>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</si>
  <si>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</si>
  <si>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</si>
  <si>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</si>
  <si>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</si>
  <si>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</si>
  <si>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</si>
  <si>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</si>
  <si>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</si>
  <si>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октябрь 2025 года</t>
  </si>
  <si>
    <t>ЗП</t>
  </si>
  <si>
    <t>ЭМ</t>
  </si>
  <si>
    <t>в т.ч. ЗПМ</t>
  </si>
  <si>
    <t>НР от ЗП</t>
  </si>
  <si>
    <t>%</t>
  </si>
  <si>
    <t>СП от ЗП</t>
  </si>
  <si>
    <t>НР и СП от ЗПМ</t>
  </si>
  <si>
    <t>ЗТР</t>
  </si>
  <si>
    <t>чел-ч</t>
  </si>
  <si>
    <t>МР</t>
  </si>
  <si>
    <r>
      <t>1.20-2103-25-1/1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</si>
  <si>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 / Светильник Varton T-Line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</si>
  <si>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1.20-2103-19-2/1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</si>
  <si>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годовое светильника светодиодного потолочного типа Arctic 1200 / Светильник Varton Strong 2.0 IP65 1,2м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</si>
  <si>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1.20-2103-24-1/1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</si>
  <si>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 Светильник Novotech 358031 Luna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</si>
  <si>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1.20-2103-14-1/1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</si>
  <si>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светильника светодиодного типа Down light unique dl - годовое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</si>
  <si>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 / Бра Odeon Light 3816/16WS WHITNEY светодиодная LED 12W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</si>
  <si>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 Светильник подвесной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</si>
  <si>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 / Светильник настенный ST Luce Ralio SL1580.401.02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</si>
  <si>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 Бра Elektrostandard , Бра Mabell MOD306WL-01CH, Бра Avant-garde MOD324WL-01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</si>
  <si>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Техническое обслуживание светильника светодиодного типа Down light unique dl - годовое / Встраиваемый светильник Novotech, Светильник 370720 LIRIO  Novotech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</si>
  <si>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1.20-2103-12-1/1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</si>
  <si>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панели светодиодной 595x595 мм типа Ecola, встроенной в потолок грильято - годовое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</si>
  <si>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t xml:space="preserve">Составил   </t>
  </si>
  <si>
    <t>[должность,подпись(инициалы,фамилия)]</t>
  </si>
  <si>
    <t xml:space="preserve">Проверил   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</si>
  <si>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</si>
  <si>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</si>
  <si>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</si>
  <si>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</si>
  <si>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</si>
  <si>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0322005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</si>
  <si>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</si>
  <si>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</si>
  <si>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</si>
  <si>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</si>
  <si>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</si>
  <si>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</si>
  <si>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</si>
  <si>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</si>
  <si>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</si>
  <si>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 xml:space="preserve">Вид деятельности по ОКДП  </t>
  </si>
  <si>
    <t xml:space="preserve">Договор подряда  </t>
  </si>
  <si>
    <t>номер</t>
  </si>
  <si>
    <t>дата</t>
  </si>
  <si>
    <t xml:space="preserve">Вид операции  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</si>
  <si>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</si>
  <si>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</si>
  <si>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</si>
  <si>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</si>
  <si>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</si>
  <si>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</si>
  <si>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</si>
  <si>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Сметная (договорная) стоимость в соответствии с договором подряда (субподряда)</t>
  </si>
  <si>
    <t xml:space="preserve"> тыс.руб</t>
  </si>
  <si>
    <t>Номер</t>
  </si>
  <si>
    <t>п/п</t>
  </si>
  <si>
    <t>поз. по смете</t>
  </si>
  <si>
    <t xml:space="preserve">Итого по смете:  </t>
  </si>
  <si>
    <t xml:space="preserve">Итого по КС-2:  </t>
  </si>
  <si>
    <t>НДС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</si>
</sst>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9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b/>
      <sz val="10"/>
      <color indexed="14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6" fillId="0" borderId="0" xfId="0" applyFont="1"/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0" fontId="8" fillId="0" borderId="0" xfId="0" applyFont="1" applyAlignment="1">
      <alignment vertical="top" wrapText="1"/>
    </xf>
    <xf numFmtId="165" fontId="15" fillId="0" borderId="0" xfId="0" applyNumberFormat="1" applyFont="1" applyAlignment="1">
      <alignment horizontal="right"/>
    </xf>
    <xf numFmtId="165" fontId="0" fillId="0" borderId="0" xfId="0" applyNumberFormat="1"/>
    <xf numFmtId="165" fontId="16" fillId="0" borderId="0" xfId="0" applyNumberFormat="1" applyFont="1" applyAlignment="1">
      <alignment horizontal="right"/>
    </xf>
    <xf numFmtId="0" fontId="0" fillId="0" borderId="6" xfId="0" applyBorder="1"/>
    <xf numFmtId="165" fontId="16" fillId="0" borderId="6" xfId="0" applyNumberFormat="1" applyFont="1" applyBorder="1" applyAlignment="1">
      <alignment horizontal="right"/>
    </xf>
    <xf numFmtId="0" fontId="16" fillId="0" borderId="0" xfId="0" applyFont="1" applyAlignment="1">
      <alignment horizontal="left" wrapText="1"/>
    </xf>
    <xf numFmtId="0" fontId="10" fillId="0" borderId="0" xfId="0" quotePrefix="1" applyFont="1" applyAlignment="1">
      <alignment horizontal="right" wrapText="1"/>
    </xf>
    <xf numFmtId="0" fontId="17" fillId="0" borderId="0" xfId="0" applyFont="1" applyAlignment="1">
      <alignment horizontal="left" wrapText="1"/>
    </xf>
    <xf numFmtId="0" fontId="10" fillId="0" borderId="1" xfId="0" applyFont="1" applyBorder="1"/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4" fontId="10" fillId="0" borderId="9" xfId="0" applyNumberFormat="1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15" fillId="0" borderId="3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 wrapText="1"/>
    </xf>
    <xf numFmtId="4" fontId="16" fillId="0" borderId="0" xfId="0" applyNumberFormat="1" applyFont="1" applyAlignment="1">
      <alignment horizontal="right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right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14" fillId="0" borderId="1" xfId="0" applyFont="1" applyBorder="1" applyAlignment="1">
      <alignment horizontal="center" wrapText="1"/>
    </xf>
    <xf numFmtId="0" fontId="0" fillId="0" borderId="0" xfId="0"/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7" fillId="0" borderId="0" xfId="0" applyFont="1" applyAlignment="1">
      <alignment horizontal="left" wrapText="1"/>
    </xf>
    <xf numFmtId="165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 wrapText="1"/>
    </xf>
    <xf numFmtId="165" fontId="16" fillId="0" borderId="6" xfId="0" applyNumberFormat="1" applyFont="1" applyBorder="1" applyAlignment="1">
      <alignment horizontal="right"/>
    </xf>
    <xf numFmtId="0" fontId="10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3" xfId="0" quotePrefix="1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0" fillId="0" borderId="7" xfId="0" applyFont="1" applyBorder="1" applyAlignment="1">
      <alignment horizontal="right"/>
    </xf>
    <xf numFmtId="14" fontId="10" fillId="0" borderId="3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200"/>
  <sheetViews>
    <sheetView tabSelected="1" view="pageBreakPreview" topLeftCell="A1172" zoomScale="106" zoomScaleNormal="100" zoomScaleSheetLayoutView="106" workbookViewId="0">
      <selection activeCell="C1192" sqref="C1192"/>
    </sheetView>
  </sheetViews>
  <sheetFormatPr defaultRowHeight="12.75" x14ac:dyDescent="0.2"/>
  <cols>
    <col min="1" max="1" width="5.7109375" customWidth="1"/>
    <col min="2" max="2" width="22.140625" customWidth="1"/>
    <col min="3" max="3" width="40.7109375" customWidth="1"/>
    <col min="4" max="6" width="11.7109375" customWidth="1"/>
    <col min="7" max="9" width="12.7109375" customWidth="1"/>
    <col min="10" max="10" width="14.5703125" customWidth="1"/>
    <col min="11" max="11" width="12.7109375" customWidth="1"/>
    <col min="15" max="28" width="0" hidden="1" customWidth="1"/>
    <col min="29" max="29" width="135.7109375" hidden="1" customWidth="1"/>
    <col min="30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43" t="s">
        <v>800</v>
      </c>
      <c r="K2" s="43"/>
    </row>
    <row r="3" spans="1:11" ht="16.5" x14ac:dyDescent="0.25">
      <c r="A3" s="11"/>
      <c r="B3" s="48" t="s">
        <v>798</v>
      </c>
      <c r="C3" s="48"/>
      <c r="D3" s="48"/>
      <c r="E3" s="48"/>
      <c r="F3" s="10"/>
      <c r="G3" s="48" t="s">
        <v>799</v>
      </c>
      <c r="H3" s="48"/>
      <c r="I3" s="48"/>
      <c r="J3" s="48"/>
      <c r="K3" s="48"/>
    </row>
    <row r="4" spans="1:11" ht="14.25" x14ac:dyDescent="0.2">
      <c r="A4" s="10"/>
      <c r="B4" s="49"/>
      <c r="C4" s="49"/>
      <c r="D4" s="49"/>
      <c r="E4" s="49"/>
      <c r="F4" s="10"/>
      <c r="G4" s="49"/>
      <c r="H4" s="49"/>
      <c r="I4" s="49"/>
      <c r="J4" s="49"/>
      <c r="K4" s="49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49" t="str">
        <f>CONCATENATE("______________________ ", IF(Source!AL12&lt;&gt;"", Source!AL12, ""))</f>
        <v xml:space="preserve">______________________ </v>
      </c>
      <c r="C6" s="49"/>
      <c r="D6" s="49"/>
      <c r="E6" s="49"/>
      <c r="F6" s="10"/>
      <c r="G6" s="49" t="str">
        <f>CONCATENATE("______________________ ", IF(Source!AH12&lt;&gt;"", Source!AH12, ""))</f>
        <v xml:space="preserve">______________________ </v>
      </c>
      <c r="H6" s="49"/>
      <c r="I6" s="49"/>
      <c r="J6" s="49"/>
      <c r="K6" s="49"/>
    </row>
    <row r="7" spans="1:11" ht="14.25" x14ac:dyDescent="0.2">
      <c r="A7" s="13"/>
      <c r="B7" s="42" t="s">
        <v>801</v>
      </c>
      <c r="C7" s="42"/>
      <c r="D7" s="42"/>
      <c r="E7" s="42"/>
      <c r="F7" s="10"/>
      <c r="G7" s="42" t="s">
        <v>801</v>
      </c>
      <c r="H7" s="42"/>
      <c r="I7" s="42"/>
      <c r="J7" s="42"/>
      <c r="K7" s="42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x14ac:dyDescent="0.25">
      <c r="A10" s="44" t="str">
        <f>CONCATENATE( "ЛОКАЛЬНАЯ СМЕТА № ",IF(Source!F12&lt;&gt;"Новый объект", Source!F12, ""))</f>
        <v>ЛОКАЛЬНАЯ СМЕТА № Новый объект_(Копия)_(Копия)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 x14ac:dyDescent="0.2">
      <c r="A11" s="46" t="s">
        <v>802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x14ac:dyDescent="0.25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</row>
    <row r="14" spans="1:11" ht="14.25" hidden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51" t="str">
        <f>IF(Source!G12&lt;&gt;"Новый объект", Source!G12, "")</f>
        <v>СН_7.2_на 4 мес. (10%) испр.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</row>
    <row r="16" spans="1:11" x14ac:dyDescent="0.2">
      <c r="A16" s="46" t="s">
        <v>803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x14ac:dyDescent="0.2">
      <c r="A18" s="42" t="str">
        <f>CONCATENATE( "Основание: чертежи № ", Source!J12)</f>
        <v xml:space="preserve">Основание: чертежи № 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49" t="s">
        <v>804</v>
      </c>
      <c r="G20" s="49"/>
      <c r="H20" s="49"/>
      <c r="I20" s="50">
        <f>I1190/1000</f>
        <v>2641.8149299999995</v>
      </c>
      <c r="J20" s="43"/>
      <c r="K20" s="10" t="s">
        <v>805</v>
      </c>
    </row>
    <row r="21" spans="1:11" ht="14.25" hidden="1" x14ac:dyDescent="0.2">
      <c r="A21" s="10"/>
      <c r="B21" s="10"/>
      <c r="C21" s="10"/>
      <c r="D21" s="10"/>
      <c r="E21" s="10"/>
      <c r="F21" s="49" t="s">
        <v>806</v>
      </c>
      <c r="G21" s="49"/>
      <c r="H21" s="49"/>
      <c r="I21" s="50">
        <f>ROUND((Source!F974)/1000, 2)</f>
        <v>0</v>
      </c>
      <c r="J21" s="43"/>
      <c r="K21" s="10" t="s">
        <v>805</v>
      </c>
    </row>
    <row r="22" spans="1:11" ht="14.25" hidden="1" x14ac:dyDescent="0.2">
      <c r="A22" s="10"/>
      <c r="B22" s="10"/>
      <c r="C22" s="10"/>
      <c r="D22" s="10"/>
      <c r="E22" s="10"/>
      <c r="F22" s="49" t="s">
        <v>807</v>
      </c>
      <c r="G22" s="49"/>
      <c r="H22" s="49"/>
      <c r="I22" s="50">
        <f>ROUND((Source!F975)/1000, 2)</f>
        <v>0</v>
      </c>
      <c r="J22" s="43"/>
      <c r="K22" s="10" t="s">
        <v>805</v>
      </c>
    </row>
    <row r="23" spans="1:11" ht="14.25" hidden="1" x14ac:dyDescent="0.2">
      <c r="A23" s="10"/>
      <c r="B23" s="10"/>
      <c r="C23" s="10"/>
      <c r="D23" s="10"/>
      <c r="E23" s="10"/>
      <c r="F23" s="49" t="s">
        <v>808</v>
      </c>
      <c r="G23" s="49"/>
      <c r="H23" s="49"/>
      <c r="I23" s="50">
        <f>ROUND((Source!F966)/1000, 2)</f>
        <v>0</v>
      </c>
      <c r="J23" s="43"/>
      <c r="K23" s="10" t="s">
        <v>805</v>
      </c>
    </row>
    <row r="24" spans="1:11" ht="14.25" hidden="1" x14ac:dyDescent="0.2">
      <c r="A24" s="10"/>
      <c r="B24" s="10"/>
      <c r="C24" s="10"/>
      <c r="D24" s="10"/>
      <c r="E24" s="10"/>
      <c r="F24" s="49" t="s">
        <v>809</v>
      </c>
      <c r="G24" s="49"/>
      <c r="H24" s="49"/>
      <c r="I24" s="50">
        <f>ROUND((Source!F976+Source!F977)/1000, 2)</f>
        <v>2641.81</v>
      </c>
      <c r="J24" s="43"/>
      <c r="K24" s="10" t="s">
        <v>805</v>
      </c>
    </row>
    <row r="25" spans="1:11" ht="14.25" x14ac:dyDescent="0.2">
      <c r="A25" s="10"/>
      <c r="B25" s="10"/>
      <c r="C25" s="10"/>
      <c r="D25" s="10"/>
      <c r="E25" s="10"/>
      <c r="F25" s="49" t="s">
        <v>810</v>
      </c>
      <c r="G25" s="49"/>
      <c r="H25" s="49"/>
      <c r="I25" s="50">
        <f>(Source!F972+ Source!F971)/1000</f>
        <v>1442.1120399999998</v>
      </c>
      <c r="J25" s="43"/>
      <c r="K25" s="10" t="s">
        <v>805</v>
      </c>
    </row>
    <row r="26" spans="1:11" ht="14.25" x14ac:dyDescent="0.2">
      <c r="A26" s="10" t="s">
        <v>824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x14ac:dyDescent="0.2">
      <c r="A27" s="53" t="s">
        <v>811</v>
      </c>
      <c r="B27" s="53" t="s">
        <v>812</v>
      </c>
      <c r="C27" s="53" t="s">
        <v>813</v>
      </c>
      <c r="D27" s="53" t="s">
        <v>814</v>
      </c>
      <c r="E27" s="53" t="s">
        <v>815</v>
      </c>
      <c r="F27" s="53" t="s">
        <v>816</v>
      </c>
      <c r="G27" s="53" t="s">
        <v>817</v>
      </c>
      <c r="H27" s="53" t="s">
        <v>818</v>
      </c>
      <c r="I27" s="53" t="s">
        <v>819</v>
      </c>
      <c r="J27" s="53" t="s">
        <v>820</v>
      </c>
      <c r="K27" s="16" t="s">
        <v>821</v>
      </c>
    </row>
    <row r="28" spans="1:11" ht="28.5" x14ac:dyDescent="0.2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17" t="s">
        <v>822</v>
      </c>
    </row>
    <row r="29" spans="1:11" ht="28.5" x14ac:dyDescent="0.2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17" t="s">
        <v>823</v>
      </c>
    </row>
    <row r="30" spans="1:11" ht="14.25" x14ac:dyDescent="0.2">
      <c r="A30" s="17">
        <v>1</v>
      </c>
      <c r="B30" s="17">
        <v>2</v>
      </c>
      <c r="C30" s="17">
        <v>3</v>
      </c>
      <c r="D30" s="17">
        <v>4</v>
      </c>
      <c r="E30" s="17">
        <v>5</v>
      </c>
      <c r="F30" s="17">
        <v>6</v>
      </c>
      <c r="G30" s="17">
        <v>7</v>
      </c>
      <c r="H30" s="17">
        <v>8</v>
      </c>
      <c r="I30" s="17">
        <v>9</v>
      </c>
      <c r="J30" s="17">
        <v>10</v>
      </c>
      <c r="K30" s="17">
        <v>11</v>
      </c>
    </row>
    <row r="31" spans="1:11" hidden="1" x14ac:dyDescent="0.2"/>
    <row r="32" spans="1:11" ht="16.5" hidden="1" x14ac:dyDescent="0.25">
      <c r="A32" s="55" t="str">
        <f>CONCATENATE("Локальная смета: ",IF(Source!G20&lt;&gt;"Новая локальная смета", Source!G20, ""))</f>
        <v xml:space="preserve">Локальная смета: </v>
      </c>
      <c r="B32" s="55"/>
      <c r="C32" s="55"/>
      <c r="D32" s="55"/>
      <c r="E32" s="55"/>
      <c r="F32" s="55"/>
      <c r="G32" s="55"/>
      <c r="H32" s="55"/>
      <c r="I32" s="55"/>
      <c r="J32" s="55"/>
      <c r="K32" s="55"/>
    </row>
    <row r="34" spans="1:22" ht="16.5" x14ac:dyDescent="0.25">
      <c r="A34" s="55" t="str">
        <f>CONCATENATE("Раздел: ",IF(Source!G24&lt;&gt;"Новый раздел", Source!G24, ""))</f>
        <v>Раздел: 1.Водоснабжение и водоотведение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</row>
    <row r="36" spans="1:22" ht="16.5" x14ac:dyDescent="0.25">
      <c r="A36" s="55" t="str">
        <f>CONCATENATE("Подраздел: ",IF(Source!G28&lt;&gt;"Новый подраздел", Source!G28, ""))</f>
        <v>Подраздел: Водопровод</v>
      </c>
      <c r="B36" s="55"/>
      <c r="C36" s="55"/>
      <c r="D36" s="55"/>
      <c r="E36" s="55"/>
      <c r="F36" s="55"/>
      <c r="G36" s="55"/>
      <c r="H36" s="55"/>
      <c r="I36" s="55"/>
      <c r="J36" s="55"/>
      <c r="K36" s="55"/>
    </row>
    <row r="38" spans="1:22" ht="15" x14ac:dyDescent="0.25">
      <c r="B38" s="56" t="str">
        <f>Source!G32</f>
        <v>Корпуса 7.2.1, 7.2.2,7.2.3</v>
      </c>
      <c r="C38" s="56"/>
      <c r="D38" s="56"/>
      <c r="E38" s="56"/>
      <c r="F38" s="56"/>
      <c r="G38" s="56"/>
      <c r="H38" s="56"/>
      <c r="I38" s="56"/>
      <c r="J38" s="56"/>
    </row>
    <row r="39" spans="1:22" ht="57" x14ac:dyDescent="0.2">
      <c r="A39" s="19">
        <v>1</v>
      </c>
      <c r="B39" s="19" t="str">
        <f>Source!F35</f>
        <v>1.23-2103-41-1/1</v>
      </c>
      <c r="C39" s="19" t="str">
        <f>Source!G35</f>
        <v>Техническое обслуживание регулирующего клапана/ Комплект угловых кранов 1/2 для подключения гибкой подводки смесителя</v>
      </c>
      <c r="D39" s="20" t="str">
        <f>Source!H35</f>
        <v>шт.</v>
      </c>
      <c r="E39" s="9">
        <f>Source!I35</f>
        <v>144</v>
      </c>
      <c r="F39" s="22"/>
      <c r="G39" s="21"/>
      <c r="H39" s="9"/>
      <c r="I39" s="9"/>
      <c r="J39" s="22"/>
      <c r="K39" s="22"/>
      <c r="Q39">
        <f>ROUND((Source!BZ35/100)*ROUND((Source!AF35*Source!AV35)*Source!I35, 2), 2)</f>
        <v>20966.400000000001</v>
      </c>
      <c r="R39">
        <f>Source!X35</f>
        <v>20966.400000000001</v>
      </c>
      <c r="S39">
        <f>ROUND((Source!CA35/100)*ROUND((Source!AF35*Source!AV35)*Source!I35, 2), 2)</f>
        <v>2995.2</v>
      </c>
      <c r="T39">
        <f>Source!Y35</f>
        <v>2995.2</v>
      </c>
      <c r="U39">
        <f>ROUND((175/100)*ROUND((Source!AE35*Source!AV35)*Source!I35, 2), 2)</f>
        <v>12491.64</v>
      </c>
      <c r="V39">
        <f>ROUND((108/100)*ROUND(Source!CS35*Source!I35, 2), 2)</f>
        <v>7709.13</v>
      </c>
    </row>
    <row r="40" spans="1:22" x14ac:dyDescent="0.2">
      <c r="C40" s="23" t="str">
        <f>"Объем: "&amp;Source!I35&amp;"=(24*"&amp;"2)*"&amp;"3"</f>
        <v>Объем: 144=(24*2)*3</v>
      </c>
    </row>
    <row r="41" spans="1:22" ht="14.25" x14ac:dyDescent="0.2">
      <c r="A41" s="19"/>
      <c r="B41" s="19"/>
      <c r="C41" s="19" t="s">
        <v>825</v>
      </c>
      <c r="D41" s="20"/>
      <c r="E41" s="9"/>
      <c r="F41" s="22">
        <f>Source!AO35</f>
        <v>208</v>
      </c>
      <c r="G41" s="21" t="str">
        <f>Source!DG35</f>
        <v/>
      </c>
      <c r="H41" s="9">
        <f>Source!AV35</f>
        <v>1</v>
      </c>
      <c r="I41" s="9">
        <f>IF(Source!BA35&lt;&gt; 0, Source!BA35, 1)</f>
        <v>1</v>
      </c>
      <c r="J41" s="22">
        <f>Source!S35</f>
        <v>29952</v>
      </c>
      <c r="K41" s="22"/>
    </row>
    <row r="42" spans="1:22" ht="14.25" x14ac:dyDescent="0.2">
      <c r="A42" s="19"/>
      <c r="B42" s="19"/>
      <c r="C42" s="19" t="s">
        <v>826</v>
      </c>
      <c r="D42" s="20"/>
      <c r="E42" s="9"/>
      <c r="F42" s="22">
        <f>Source!AM35</f>
        <v>78.180000000000007</v>
      </c>
      <c r="G42" s="21" t="str">
        <f>Source!DE35</f>
        <v/>
      </c>
      <c r="H42" s="9">
        <f>Source!AV35</f>
        <v>1</v>
      </c>
      <c r="I42" s="9">
        <f>IF(Source!BB35&lt;&gt; 0, Source!BB35, 1)</f>
        <v>1</v>
      </c>
      <c r="J42" s="22">
        <f>Source!Q35</f>
        <v>11257.92</v>
      </c>
      <c r="K42" s="22"/>
    </row>
    <row r="43" spans="1:22" ht="14.25" x14ac:dyDescent="0.2">
      <c r="A43" s="19"/>
      <c r="B43" s="19"/>
      <c r="C43" s="19" t="s">
        <v>827</v>
      </c>
      <c r="D43" s="20"/>
      <c r="E43" s="9"/>
      <c r="F43" s="22">
        <f>Source!AN35</f>
        <v>49.57</v>
      </c>
      <c r="G43" s="21" t="str">
        <f>Source!DF35</f>
        <v/>
      </c>
      <c r="H43" s="9">
        <f>Source!AV35</f>
        <v>1</v>
      </c>
      <c r="I43" s="9">
        <f>IF(Source!BS35&lt;&gt; 0, Source!BS35, 1)</f>
        <v>1</v>
      </c>
      <c r="J43" s="24">
        <f>Source!R35</f>
        <v>7138.08</v>
      </c>
      <c r="K43" s="22"/>
    </row>
    <row r="44" spans="1:22" ht="14.25" x14ac:dyDescent="0.2">
      <c r="A44" s="19"/>
      <c r="B44" s="19"/>
      <c r="C44" s="19" t="s">
        <v>828</v>
      </c>
      <c r="D44" s="20" t="s">
        <v>829</v>
      </c>
      <c r="E44" s="9">
        <f>Source!AT35</f>
        <v>70</v>
      </c>
      <c r="F44" s="22"/>
      <c r="G44" s="21"/>
      <c r="H44" s="9"/>
      <c r="I44" s="9"/>
      <c r="J44" s="22">
        <f>SUM(R39:R43)</f>
        <v>20966.400000000001</v>
      </c>
      <c r="K44" s="22"/>
    </row>
    <row r="45" spans="1:22" ht="14.25" x14ac:dyDescent="0.2">
      <c r="A45" s="19"/>
      <c r="B45" s="19"/>
      <c r="C45" s="19" t="s">
        <v>830</v>
      </c>
      <c r="D45" s="20" t="s">
        <v>829</v>
      </c>
      <c r="E45" s="9">
        <f>Source!AU35</f>
        <v>10</v>
      </c>
      <c r="F45" s="22"/>
      <c r="G45" s="21"/>
      <c r="H45" s="9"/>
      <c r="I45" s="9"/>
      <c r="J45" s="22">
        <f>SUM(T39:T44)</f>
        <v>2995.2</v>
      </c>
      <c r="K45" s="22"/>
    </row>
    <row r="46" spans="1:22" ht="14.25" x14ac:dyDescent="0.2">
      <c r="A46" s="19"/>
      <c r="B46" s="19"/>
      <c r="C46" s="19" t="s">
        <v>831</v>
      </c>
      <c r="D46" s="20" t="s">
        <v>829</v>
      </c>
      <c r="E46" s="9">
        <f>108</f>
        <v>108</v>
      </c>
      <c r="F46" s="22"/>
      <c r="G46" s="21"/>
      <c r="H46" s="9"/>
      <c r="I46" s="9"/>
      <c r="J46" s="22">
        <f>SUM(V39:V45)</f>
        <v>7709.13</v>
      </c>
      <c r="K46" s="22"/>
    </row>
    <row r="47" spans="1:22" ht="14.25" x14ac:dyDescent="0.2">
      <c r="A47" s="19"/>
      <c r="B47" s="19"/>
      <c r="C47" s="19" t="s">
        <v>832</v>
      </c>
      <c r="D47" s="20" t="s">
        <v>833</v>
      </c>
      <c r="E47" s="9">
        <f>Source!AQ35</f>
        <v>0.37</v>
      </c>
      <c r="F47" s="22"/>
      <c r="G47" s="21" t="str">
        <f>Source!DI35</f>
        <v/>
      </c>
      <c r="H47" s="9">
        <f>Source!AV35</f>
        <v>1</v>
      </c>
      <c r="I47" s="9"/>
      <c r="J47" s="22"/>
      <c r="K47" s="22">
        <f>Source!U35</f>
        <v>53.28</v>
      </c>
    </row>
    <row r="48" spans="1:22" ht="15" x14ac:dyDescent="0.25">
      <c r="A48" s="27"/>
      <c r="B48" s="27"/>
      <c r="C48" s="27"/>
      <c r="D48" s="27"/>
      <c r="E48" s="27"/>
      <c r="F48" s="27"/>
      <c r="G48" s="27"/>
      <c r="H48" s="27"/>
      <c r="I48" s="60">
        <f>J41+J42+J44+J45+J46</f>
        <v>72880.649999999994</v>
      </c>
      <c r="J48" s="60"/>
      <c r="K48" s="28">
        <f>IF(Source!I35&lt;&gt;0, ROUND(I48/Source!I35, 2), 0)</f>
        <v>506.12</v>
      </c>
      <c r="P48" s="25">
        <f>I48</f>
        <v>72880.649999999994</v>
      </c>
    </row>
    <row r="49" spans="1:22" ht="42.75" x14ac:dyDescent="0.2">
      <c r="A49" s="19">
        <v>2</v>
      </c>
      <c r="B49" s="19" t="str">
        <f>Source!F36</f>
        <v>1.15-2203-7-1/1</v>
      </c>
      <c r="C49" s="19" t="str">
        <f>Source!G36</f>
        <v>Техническое обслуживание крана шарового латунного никелированного диаметром до 25 мм</v>
      </c>
      <c r="D49" s="20" t="str">
        <f>Source!H36</f>
        <v>10 шт.</v>
      </c>
      <c r="E49" s="9">
        <f>Source!I36</f>
        <v>60</v>
      </c>
      <c r="F49" s="22"/>
      <c r="G49" s="21"/>
      <c r="H49" s="9"/>
      <c r="I49" s="9"/>
      <c r="J49" s="22"/>
      <c r="K49" s="22"/>
      <c r="Q49">
        <f>ROUND((Source!BZ36/100)*ROUND((Source!AF36*Source!AV36)*Source!I36, 2), 2)</f>
        <v>11670.54</v>
      </c>
      <c r="R49">
        <f>Source!X36</f>
        <v>11670.54</v>
      </c>
      <c r="S49">
        <f>ROUND((Source!CA36/100)*ROUND((Source!AF36*Source!AV36)*Source!I36, 2), 2)</f>
        <v>1667.22</v>
      </c>
      <c r="T49">
        <f>Source!Y36</f>
        <v>1667.22</v>
      </c>
      <c r="U49">
        <f>ROUND((175/100)*ROUND((Source!AE36*Source!AV36)*Source!I36, 2), 2)</f>
        <v>0</v>
      </c>
      <c r="V49">
        <f>ROUND((108/100)*ROUND(Source!CS36*Source!I36, 2), 2)</f>
        <v>0</v>
      </c>
    </row>
    <row r="50" spans="1:22" x14ac:dyDescent="0.2">
      <c r="C50" s="23" t="str">
        <f>"Объем: "&amp;Source!I36&amp;"=(75+"&amp;"125)*"&amp;"3/"&amp;"10"</f>
        <v>Объем: 60=(75+125)*3/10</v>
      </c>
    </row>
    <row r="51" spans="1:22" ht="14.25" x14ac:dyDescent="0.2">
      <c r="A51" s="19"/>
      <c r="B51" s="19"/>
      <c r="C51" s="19" t="s">
        <v>825</v>
      </c>
      <c r="D51" s="20"/>
      <c r="E51" s="9"/>
      <c r="F51" s="22">
        <f>Source!AO36</f>
        <v>277.87</v>
      </c>
      <c r="G51" s="21" t="str">
        <f>Source!DG36</f>
        <v/>
      </c>
      <c r="H51" s="9">
        <f>Source!AV36</f>
        <v>1</v>
      </c>
      <c r="I51" s="9">
        <f>IF(Source!BA36&lt;&gt; 0, Source!BA36, 1)</f>
        <v>1</v>
      </c>
      <c r="J51" s="22">
        <f>Source!S36</f>
        <v>16672.2</v>
      </c>
      <c r="K51" s="22"/>
    </row>
    <row r="52" spans="1:22" ht="14.25" x14ac:dyDescent="0.2">
      <c r="A52" s="19"/>
      <c r="B52" s="19"/>
      <c r="C52" s="19" t="s">
        <v>828</v>
      </c>
      <c r="D52" s="20" t="s">
        <v>829</v>
      </c>
      <c r="E52" s="9">
        <f>Source!AT36</f>
        <v>70</v>
      </c>
      <c r="F52" s="22"/>
      <c r="G52" s="21"/>
      <c r="H52" s="9"/>
      <c r="I52" s="9"/>
      <c r="J52" s="22">
        <f>SUM(R49:R51)</f>
        <v>11670.54</v>
      </c>
      <c r="K52" s="22"/>
    </row>
    <row r="53" spans="1:22" ht="14.25" x14ac:dyDescent="0.2">
      <c r="A53" s="19"/>
      <c r="B53" s="19"/>
      <c r="C53" s="19" t="s">
        <v>830</v>
      </c>
      <c r="D53" s="20" t="s">
        <v>829</v>
      </c>
      <c r="E53" s="9">
        <f>Source!AU36</f>
        <v>10</v>
      </c>
      <c r="F53" s="22"/>
      <c r="G53" s="21"/>
      <c r="H53" s="9"/>
      <c r="I53" s="9"/>
      <c r="J53" s="22">
        <f>SUM(T49:T52)</f>
        <v>1667.22</v>
      </c>
      <c r="K53" s="22"/>
    </row>
    <row r="54" spans="1:22" ht="14.25" x14ac:dyDescent="0.2">
      <c r="A54" s="19"/>
      <c r="B54" s="19"/>
      <c r="C54" s="19" t="s">
        <v>832</v>
      </c>
      <c r="D54" s="20" t="s">
        <v>833</v>
      </c>
      <c r="E54" s="9">
        <f>Source!AQ36</f>
        <v>0.45</v>
      </c>
      <c r="F54" s="22"/>
      <c r="G54" s="21" t="str">
        <f>Source!DI36</f>
        <v/>
      </c>
      <c r="H54" s="9">
        <f>Source!AV36</f>
        <v>1</v>
      </c>
      <c r="I54" s="9"/>
      <c r="J54" s="22"/>
      <c r="K54" s="22">
        <f>Source!U36</f>
        <v>27</v>
      </c>
    </row>
    <row r="55" spans="1:22" ht="15" x14ac:dyDescent="0.25">
      <c r="A55" s="27"/>
      <c r="B55" s="27"/>
      <c r="C55" s="27"/>
      <c r="D55" s="27"/>
      <c r="E55" s="27"/>
      <c r="F55" s="27"/>
      <c r="G55" s="27"/>
      <c r="H55" s="27"/>
      <c r="I55" s="60">
        <f>J51+J52+J53</f>
        <v>30009.960000000003</v>
      </c>
      <c r="J55" s="60"/>
      <c r="K55" s="28">
        <f>IF(Source!I36&lt;&gt;0, ROUND(I55/Source!I36, 2), 0)</f>
        <v>500.17</v>
      </c>
      <c r="P55" s="25">
        <f>I55</f>
        <v>30009.960000000003</v>
      </c>
    </row>
    <row r="56" spans="1:22" ht="42.75" x14ac:dyDescent="0.2">
      <c r="A56" s="19">
        <v>3</v>
      </c>
      <c r="B56" s="19" t="str">
        <f>Source!F37</f>
        <v>1.15-2203-6-1/1</v>
      </c>
      <c r="C56" s="19" t="str">
        <f>Source!G37</f>
        <v>Техническое обслуживание кранов шаровых из НПВХ с разъемными муфтами диаметром до 50 мм</v>
      </c>
      <c r="D56" s="20" t="str">
        <f>Source!H37</f>
        <v>шт.</v>
      </c>
      <c r="E56" s="9">
        <f>Source!I37</f>
        <v>150</v>
      </c>
      <c r="F56" s="22"/>
      <c r="G56" s="21"/>
      <c r="H56" s="9"/>
      <c r="I56" s="9"/>
      <c r="J56" s="22"/>
      <c r="K56" s="22"/>
      <c r="Q56">
        <f>ROUND((Source!BZ37/100)*ROUND((Source!AF37*Source!AV37)*Source!I37, 2), 2)</f>
        <v>43680</v>
      </c>
      <c r="R56">
        <f>Source!X37</f>
        <v>43680</v>
      </c>
      <c r="S56">
        <f>ROUND((Source!CA37/100)*ROUND((Source!AF37*Source!AV37)*Source!I37, 2), 2)</f>
        <v>6240</v>
      </c>
      <c r="T56">
        <f>Source!Y37</f>
        <v>6240</v>
      </c>
      <c r="U56">
        <f>ROUND((175/100)*ROUND((Source!AE37*Source!AV37)*Source!I37, 2), 2)</f>
        <v>0</v>
      </c>
      <c r="V56">
        <f>ROUND((108/100)*ROUND(Source!CS37*Source!I37, 2), 2)</f>
        <v>0</v>
      </c>
    </row>
    <row r="57" spans="1:22" x14ac:dyDescent="0.2">
      <c r="C57" s="23" t="str">
        <f>"Объем: "&amp;Source!I37&amp;"=50*"&amp;"3"</f>
        <v>Объем: 150=50*3</v>
      </c>
    </row>
    <row r="58" spans="1:22" ht="14.25" x14ac:dyDescent="0.2">
      <c r="A58" s="19"/>
      <c r="B58" s="19"/>
      <c r="C58" s="19" t="s">
        <v>825</v>
      </c>
      <c r="D58" s="20"/>
      <c r="E58" s="9"/>
      <c r="F58" s="22">
        <f>Source!AO37</f>
        <v>416</v>
      </c>
      <c r="G58" s="21" t="str">
        <f>Source!DG37</f>
        <v/>
      </c>
      <c r="H58" s="9">
        <f>Source!AV37</f>
        <v>1</v>
      </c>
      <c r="I58" s="9">
        <f>IF(Source!BA37&lt;&gt; 0, Source!BA37, 1)</f>
        <v>1</v>
      </c>
      <c r="J58" s="22">
        <f>Source!S37</f>
        <v>62400</v>
      </c>
      <c r="K58" s="22"/>
    </row>
    <row r="59" spans="1:22" ht="14.25" x14ac:dyDescent="0.2">
      <c r="A59" s="19"/>
      <c r="B59" s="19"/>
      <c r="C59" s="19" t="s">
        <v>834</v>
      </c>
      <c r="D59" s="20"/>
      <c r="E59" s="9"/>
      <c r="F59" s="22">
        <f>Source!AL37</f>
        <v>0.28000000000000003</v>
      </c>
      <c r="G59" s="21" t="str">
        <f>Source!DD37</f>
        <v/>
      </c>
      <c r="H59" s="9">
        <f>Source!AW37</f>
        <v>1</v>
      </c>
      <c r="I59" s="9">
        <f>IF(Source!BC37&lt;&gt; 0, Source!BC37, 1)</f>
        <v>1</v>
      </c>
      <c r="J59" s="22">
        <f>Source!P37</f>
        <v>42</v>
      </c>
      <c r="K59" s="22"/>
    </row>
    <row r="60" spans="1:22" ht="14.25" x14ac:dyDescent="0.2">
      <c r="A60" s="19"/>
      <c r="B60" s="19"/>
      <c r="C60" s="19" t="s">
        <v>828</v>
      </c>
      <c r="D60" s="20" t="s">
        <v>829</v>
      </c>
      <c r="E60" s="9">
        <f>Source!AT37</f>
        <v>70</v>
      </c>
      <c r="F60" s="22"/>
      <c r="G60" s="21"/>
      <c r="H60" s="9"/>
      <c r="I60" s="9"/>
      <c r="J60" s="22">
        <f>SUM(R56:R59)</f>
        <v>43680</v>
      </c>
      <c r="K60" s="22"/>
    </row>
    <row r="61" spans="1:22" ht="14.25" x14ac:dyDescent="0.2">
      <c r="A61" s="19"/>
      <c r="B61" s="19"/>
      <c r="C61" s="19" t="s">
        <v>830</v>
      </c>
      <c r="D61" s="20" t="s">
        <v>829</v>
      </c>
      <c r="E61" s="9">
        <f>Source!AU37</f>
        <v>10</v>
      </c>
      <c r="F61" s="22"/>
      <c r="G61" s="21"/>
      <c r="H61" s="9"/>
      <c r="I61" s="9"/>
      <c r="J61" s="22">
        <f>SUM(T56:T60)</f>
        <v>6240</v>
      </c>
      <c r="K61" s="22"/>
    </row>
    <row r="62" spans="1:22" ht="14.25" x14ac:dyDescent="0.2">
      <c r="A62" s="19"/>
      <c r="B62" s="19"/>
      <c r="C62" s="19" t="s">
        <v>832</v>
      </c>
      <c r="D62" s="20" t="s">
        <v>833</v>
      </c>
      <c r="E62" s="9">
        <f>Source!AQ37</f>
        <v>0.74</v>
      </c>
      <c r="F62" s="22"/>
      <c r="G62" s="21" t="str">
        <f>Source!DI37</f>
        <v/>
      </c>
      <c r="H62" s="9">
        <f>Source!AV37</f>
        <v>1</v>
      </c>
      <c r="I62" s="9"/>
      <c r="J62" s="22"/>
      <c r="K62" s="22">
        <f>Source!U37</f>
        <v>111</v>
      </c>
    </row>
    <row r="63" spans="1:22" ht="15" x14ac:dyDescent="0.25">
      <c r="A63" s="27"/>
      <c r="B63" s="27"/>
      <c r="C63" s="27"/>
      <c r="D63" s="27"/>
      <c r="E63" s="27"/>
      <c r="F63" s="27"/>
      <c r="G63" s="27"/>
      <c r="H63" s="27"/>
      <c r="I63" s="60">
        <f>J58+J59+J60+J61</f>
        <v>112362</v>
      </c>
      <c r="J63" s="60"/>
      <c r="K63" s="28">
        <f>IF(Source!I37&lt;&gt;0, ROUND(I63/Source!I37, 2), 0)</f>
        <v>749.08</v>
      </c>
      <c r="P63" s="25">
        <f>I63</f>
        <v>112362</v>
      </c>
    </row>
    <row r="65" spans="1:22" ht="15" x14ac:dyDescent="0.25">
      <c r="B65" s="56" t="str">
        <f>Source!G38</f>
        <v>Корпус 7.2.4</v>
      </c>
      <c r="C65" s="56"/>
      <c r="D65" s="56"/>
      <c r="E65" s="56"/>
      <c r="F65" s="56"/>
      <c r="G65" s="56"/>
      <c r="H65" s="56"/>
      <c r="I65" s="56"/>
      <c r="J65" s="56"/>
    </row>
    <row r="66" spans="1:22" ht="42.75" x14ac:dyDescent="0.2">
      <c r="A66" s="19">
        <v>4</v>
      </c>
      <c r="B66" s="19" t="str">
        <f>Source!F41</f>
        <v>1.15-2203-7-1/1</v>
      </c>
      <c r="C66" s="19" t="str">
        <f>Source!G41</f>
        <v>Техническое обслуживание крана шарового латунного никелированного диаметром до 25 мм</v>
      </c>
      <c r="D66" s="20" t="str">
        <f>Source!H41</f>
        <v>10 шт.</v>
      </c>
      <c r="E66" s="9">
        <f>Source!I41</f>
        <v>10.9</v>
      </c>
      <c r="F66" s="22"/>
      <c r="G66" s="21"/>
      <c r="H66" s="9"/>
      <c r="I66" s="9"/>
      <c r="J66" s="22"/>
      <c r="K66" s="22"/>
      <c r="Q66">
        <f>ROUND((Source!BZ41/100)*ROUND((Source!AF41*Source!AV41)*Source!I41, 2), 2)</f>
        <v>2120.15</v>
      </c>
      <c r="R66">
        <f>Source!X41</f>
        <v>2120.15</v>
      </c>
      <c r="S66">
        <f>ROUND((Source!CA41/100)*ROUND((Source!AF41*Source!AV41)*Source!I41, 2), 2)</f>
        <v>302.88</v>
      </c>
      <c r="T66">
        <f>Source!Y41</f>
        <v>302.88</v>
      </c>
      <c r="U66">
        <f>ROUND((175/100)*ROUND((Source!AE41*Source!AV41)*Source!I41, 2), 2)</f>
        <v>0</v>
      </c>
      <c r="V66">
        <f>ROUND((108/100)*ROUND(Source!CS41*Source!I41, 2), 2)</f>
        <v>0</v>
      </c>
    </row>
    <row r="67" spans="1:22" x14ac:dyDescent="0.2">
      <c r="C67" s="23" t="str">
        <f>"Объем: "&amp;Source!I41&amp;"=(21+"&amp;"88)/"&amp;"10"</f>
        <v>Объем: 10,9=(21+88)/10</v>
      </c>
    </row>
    <row r="68" spans="1:22" ht="14.25" x14ac:dyDescent="0.2">
      <c r="A68" s="19"/>
      <c r="B68" s="19"/>
      <c r="C68" s="19" t="s">
        <v>825</v>
      </c>
      <c r="D68" s="20"/>
      <c r="E68" s="9"/>
      <c r="F68" s="22">
        <f>Source!AO41</f>
        <v>277.87</v>
      </c>
      <c r="G68" s="21" t="str">
        <f>Source!DG41</f>
        <v/>
      </c>
      <c r="H68" s="9">
        <f>Source!AV41</f>
        <v>1</v>
      </c>
      <c r="I68" s="9">
        <f>IF(Source!BA41&lt;&gt; 0, Source!BA41, 1)</f>
        <v>1</v>
      </c>
      <c r="J68" s="22">
        <f>Source!S41</f>
        <v>3028.78</v>
      </c>
      <c r="K68" s="22"/>
    </row>
    <row r="69" spans="1:22" ht="14.25" x14ac:dyDescent="0.2">
      <c r="A69" s="19"/>
      <c r="B69" s="19"/>
      <c r="C69" s="19" t="s">
        <v>828</v>
      </c>
      <c r="D69" s="20" t="s">
        <v>829</v>
      </c>
      <c r="E69" s="9">
        <f>Source!AT41</f>
        <v>70</v>
      </c>
      <c r="F69" s="22"/>
      <c r="G69" s="21"/>
      <c r="H69" s="9"/>
      <c r="I69" s="9"/>
      <c r="J69" s="22">
        <f>SUM(R66:R68)</f>
        <v>2120.15</v>
      </c>
      <c r="K69" s="22"/>
    </row>
    <row r="70" spans="1:22" ht="14.25" x14ac:dyDescent="0.2">
      <c r="A70" s="19"/>
      <c r="B70" s="19"/>
      <c r="C70" s="19" t="s">
        <v>830</v>
      </c>
      <c r="D70" s="20" t="s">
        <v>829</v>
      </c>
      <c r="E70" s="9">
        <f>Source!AU41</f>
        <v>10</v>
      </c>
      <c r="F70" s="22"/>
      <c r="G70" s="21"/>
      <c r="H70" s="9"/>
      <c r="I70" s="9"/>
      <c r="J70" s="22">
        <f>SUM(T66:T69)</f>
        <v>302.88</v>
      </c>
      <c r="K70" s="22"/>
    </row>
    <row r="71" spans="1:22" ht="14.25" x14ac:dyDescent="0.2">
      <c r="A71" s="19"/>
      <c r="B71" s="19"/>
      <c r="C71" s="19" t="s">
        <v>832</v>
      </c>
      <c r="D71" s="20" t="s">
        <v>833</v>
      </c>
      <c r="E71" s="9">
        <f>Source!AQ41</f>
        <v>0.45</v>
      </c>
      <c r="F71" s="22"/>
      <c r="G71" s="21" t="str">
        <f>Source!DI41</f>
        <v/>
      </c>
      <c r="H71" s="9">
        <f>Source!AV41</f>
        <v>1</v>
      </c>
      <c r="I71" s="9"/>
      <c r="J71" s="22"/>
      <c r="K71" s="22">
        <f>Source!U41</f>
        <v>4.9050000000000002</v>
      </c>
    </row>
    <row r="72" spans="1:22" ht="15" x14ac:dyDescent="0.25">
      <c r="A72" s="27"/>
      <c r="B72" s="27"/>
      <c r="C72" s="27"/>
      <c r="D72" s="27"/>
      <c r="E72" s="27"/>
      <c r="F72" s="27"/>
      <c r="G72" s="27"/>
      <c r="H72" s="27"/>
      <c r="I72" s="60">
        <f>J68+J69+J70</f>
        <v>5451.81</v>
      </c>
      <c r="J72" s="60"/>
      <c r="K72" s="28">
        <f>IF(Source!I41&lt;&gt;0, ROUND(I72/Source!I41, 2), 0)</f>
        <v>500.17</v>
      </c>
      <c r="P72" s="25">
        <f>I72</f>
        <v>5451.81</v>
      </c>
    </row>
    <row r="73" spans="1:22" ht="57" x14ac:dyDescent="0.2">
      <c r="A73" s="19">
        <v>5</v>
      </c>
      <c r="B73" s="19" t="str">
        <f>Source!F42</f>
        <v>1.23-2103-41-1/1</v>
      </c>
      <c r="C73" s="19" t="str">
        <f>Source!G42</f>
        <v>Техническое обслуживание регулирующего клапана/ Комплект угловых кранов 1/2 для подключения гибкой подводки смесителя</v>
      </c>
      <c r="D73" s="20" t="str">
        <f>Source!H42</f>
        <v>шт.</v>
      </c>
      <c r="E73" s="9">
        <f>Source!I42</f>
        <v>50</v>
      </c>
      <c r="F73" s="22"/>
      <c r="G73" s="21"/>
      <c r="H73" s="9"/>
      <c r="I73" s="9"/>
      <c r="J73" s="22"/>
      <c r="K73" s="22"/>
      <c r="Q73">
        <f>ROUND((Source!BZ42/100)*ROUND((Source!AF42*Source!AV42)*Source!I42, 2), 2)</f>
        <v>7280</v>
      </c>
      <c r="R73">
        <f>Source!X42</f>
        <v>7280</v>
      </c>
      <c r="S73">
        <f>ROUND((Source!CA42/100)*ROUND((Source!AF42*Source!AV42)*Source!I42, 2), 2)</f>
        <v>1040</v>
      </c>
      <c r="T73">
        <f>Source!Y42</f>
        <v>1040</v>
      </c>
      <c r="U73">
        <f>ROUND((175/100)*ROUND((Source!AE42*Source!AV42)*Source!I42, 2), 2)</f>
        <v>4337.38</v>
      </c>
      <c r="V73">
        <f>ROUND((108/100)*ROUND(Source!CS42*Source!I42, 2), 2)</f>
        <v>2676.78</v>
      </c>
    </row>
    <row r="74" spans="1:22" x14ac:dyDescent="0.2">
      <c r="C74" s="23" t="str">
        <f>"Объем: "&amp;Source!I42&amp;"=25*"&amp;"2"</f>
        <v>Объем: 50=25*2</v>
      </c>
    </row>
    <row r="75" spans="1:22" ht="14.25" x14ac:dyDescent="0.2">
      <c r="A75" s="19"/>
      <c r="B75" s="19"/>
      <c r="C75" s="19" t="s">
        <v>825</v>
      </c>
      <c r="D75" s="20"/>
      <c r="E75" s="9"/>
      <c r="F75" s="22">
        <f>Source!AO42</f>
        <v>208</v>
      </c>
      <c r="G75" s="21" t="str">
        <f>Source!DG42</f>
        <v/>
      </c>
      <c r="H75" s="9">
        <f>Source!AV42</f>
        <v>1</v>
      </c>
      <c r="I75" s="9">
        <f>IF(Source!BA42&lt;&gt; 0, Source!BA42, 1)</f>
        <v>1</v>
      </c>
      <c r="J75" s="22">
        <f>Source!S42</f>
        <v>10400</v>
      </c>
      <c r="K75" s="22"/>
    </row>
    <row r="76" spans="1:22" ht="14.25" x14ac:dyDescent="0.2">
      <c r="A76" s="19"/>
      <c r="B76" s="19"/>
      <c r="C76" s="19" t="s">
        <v>826</v>
      </c>
      <c r="D76" s="20"/>
      <c r="E76" s="9"/>
      <c r="F76" s="22">
        <f>Source!AM42</f>
        <v>78.180000000000007</v>
      </c>
      <c r="G76" s="21" t="str">
        <f>Source!DE42</f>
        <v/>
      </c>
      <c r="H76" s="9">
        <f>Source!AV42</f>
        <v>1</v>
      </c>
      <c r="I76" s="9">
        <f>IF(Source!BB42&lt;&gt; 0, Source!BB42, 1)</f>
        <v>1</v>
      </c>
      <c r="J76" s="22">
        <f>Source!Q42</f>
        <v>3909</v>
      </c>
      <c r="K76" s="22"/>
    </row>
    <row r="77" spans="1:22" ht="14.25" x14ac:dyDescent="0.2">
      <c r="A77" s="19"/>
      <c r="B77" s="19"/>
      <c r="C77" s="19" t="s">
        <v>827</v>
      </c>
      <c r="D77" s="20"/>
      <c r="E77" s="9"/>
      <c r="F77" s="22">
        <f>Source!AN42</f>
        <v>49.57</v>
      </c>
      <c r="G77" s="21" t="str">
        <f>Source!DF42</f>
        <v/>
      </c>
      <c r="H77" s="9">
        <f>Source!AV42</f>
        <v>1</v>
      </c>
      <c r="I77" s="9">
        <f>IF(Source!BS42&lt;&gt; 0, Source!BS42, 1)</f>
        <v>1</v>
      </c>
      <c r="J77" s="24">
        <f>Source!R42</f>
        <v>2478.5</v>
      </c>
      <c r="K77" s="22"/>
    </row>
    <row r="78" spans="1:22" ht="14.25" x14ac:dyDescent="0.2">
      <c r="A78" s="19"/>
      <c r="B78" s="19"/>
      <c r="C78" s="19" t="s">
        <v>828</v>
      </c>
      <c r="D78" s="20" t="s">
        <v>829</v>
      </c>
      <c r="E78" s="9">
        <f>Source!AT42</f>
        <v>70</v>
      </c>
      <c r="F78" s="22"/>
      <c r="G78" s="21"/>
      <c r="H78" s="9"/>
      <c r="I78" s="9"/>
      <c r="J78" s="22">
        <f>SUM(R73:R77)</f>
        <v>7280</v>
      </c>
      <c r="K78" s="22"/>
    </row>
    <row r="79" spans="1:22" ht="14.25" x14ac:dyDescent="0.2">
      <c r="A79" s="19"/>
      <c r="B79" s="19"/>
      <c r="C79" s="19" t="s">
        <v>830</v>
      </c>
      <c r="D79" s="20" t="s">
        <v>829</v>
      </c>
      <c r="E79" s="9">
        <f>Source!AU42</f>
        <v>10</v>
      </c>
      <c r="F79" s="22"/>
      <c r="G79" s="21"/>
      <c r="H79" s="9"/>
      <c r="I79" s="9"/>
      <c r="J79" s="22">
        <f>SUM(T73:T78)</f>
        <v>1040</v>
      </c>
      <c r="K79" s="22"/>
    </row>
    <row r="80" spans="1:22" ht="14.25" x14ac:dyDescent="0.2">
      <c r="A80" s="19"/>
      <c r="B80" s="19"/>
      <c r="C80" s="19" t="s">
        <v>831</v>
      </c>
      <c r="D80" s="20" t="s">
        <v>829</v>
      </c>
      <c r="E80" s="9">
        <f>108</f>
        <v>108</v>
      </c>
      <c r="F80" s="22"/>
      <c r="G80" s="21"/>
      <c r="H80" s="9"/>
      <c r="I80" s="9"/>
      <c r="J80" s="22">
        <f>SUM(V73:V79)</f>
        <v>2676.78</v>
      </c>
      <c r="K80" s="22"/>
    </row>
    <row r="81" spans="1:22" ht="14.25" x14ac:dyDescent="0.2">
      <c r="A81" s="19"/>
      <c r="B81" s="19"/>
      <c r="C81" s="19" t="s">
        <v>832</v>
      </c>
      <c r="D81" s="20" t="s">
        <v>833</v>
      </c>
      <c r="E81" s="9">
        <f>Source!AQ42</f>
        <v>0.37</v>
      </c>
      <c r="F81" s="22"/>
      <c r="G81" s="21" t="str">
        <f>Source!DI42</f>
        <v/>
      </c>
      <c r="H81" s="9">
        <f>Source!AV42</f>
        <v>1</v>
      </c>
      <c r="I81" s="9"/>
      <c r="J81" s="22"/>
      <c r="K81" s="22">
        <f>Source!U42</f>
        <v>18.5</v>
      </c>
    </row>
    <row r="82" spans="1:22" ht="15" x14ac:dyDescent="0.25">
      <c r="A82" s="27"/>
      <c r="B82" s="27"/>
      <c r="C82" s="27"/>
      <c r="D82" s="27"/>
      <c r="E82" s="27"/>
      <c r="F82" s="27"/>
      <c r="G82" s="27"/>
      <c r="H82" s="27"/>
      <c r="I82" s="60">
        <f>J75+J76+J78+J79+J80</f>
        <v>25305.78</v>
      </c>
      <c r="J82" s="60"/>
      <c r="K82" s="28">
        <f>IF(Source!I42&lt;&gt;0, ROUND(I82/Source!I42, 2), 0)</f>
        <v>506.12</v>
      </c>
      <c r="P82" s="25">
        <f>I82</f>
        <v>25305.78</v>
      </c>
    </row>
    <row r="84" spans="1:22" ht="15" x14ac:dyDescent="0.25">
      <c r="A84" s="59" t="str">
        <f>CONCATENATE("Итого по подразделу: ",IF(Source!G44&lt;&gt;"Новый подраздел", Source!G44, ""))</f>
        <v>Итого по подразделу: Водопровод</v>
      </c>
      <c r="B84" s="59"/>
      <c r="C84" s="59"/>
      <c r="D84" s="59"/>
      <c r="E84" s="59"/>
      <c r="F84" s="59"/>
      <c r="G84" s="59"/>
      <c r="H84" s="59"/>
      <c r="I84" s="57">
        <f>SUM(P36:P83)</f>
        <v>246010.19999999998</v>
      </c>
      <c r="J84" s="58"/>
      <c r="K84" s="18"/>
    </row>
    <row r="87" spans="1:22" ht="16.5" x14ac:dyDescent="0.25">
      <c r="A87" s="55" t="str">
        <f>CONCATENATE("Подраздел: ",IF(Source!G74&lt;&gt;"Новый подраздел", Source!G74, ""))</f>
        <v>Подраздел: Сантехника</v>
      </c>
      <c r="B87" s="55"/>
      <c r="C87" s="55"/>
      <c r="D87" s="55"/>
      <c r="E87" s="55"/>
      <c r="F87" s="55"/>
      <c r="G87" s="55"/>
      <c r="H87" s="55"/>
      <c r="I87" s="55"/>
      <c r="J87" s="55"/>
      <c r="K87" s="55"/>
    </row>
    <row r="89" spans="1:22" ht="15" x14ac:dyDescent="0.25">
      <c r="B89" s="56" t="str">
        <f>Source!G78</f>
        <v>Корпуса 7.2.1, 7.2.2, 7.2.3</v>
      </c>
      <c r="C89" s="56"/>
      <c r="D89" s="56"/>
      <c r="E89" s="56"/>
      <c r="F89" s="56"/>
      <c r="G89" s="56"/>
      <c r="H89" s="56"/>
      <c r="I89" s="56"/>
      <c r="J89" s="56"/>
    </row>
    <row r="90" spans="1:22" ht="28.5" x14ac:dyDescent="0.2">
      <c r="A90" s="19">
        <v>6</v>
      </c>
      <c r="B90" s="19" t="str">
        <f>Source!F81</f>
        <v>1.16-3201-2-1/1</v>
      </c>
      <c r="C90" s="19" t="str">
        <f>Source!G81</f>
        <v>Укрепление расшатавшихся санитарно-технических приборов - умывальники</v>
      </c>
      <c r="D90" s="20" t="str">
        <f>Source!H81</f>
        <v>100 шт.</v>
      </c>
      <c r="E90" s="9">
        <f>Source!I81</f>
        <v>0.72</v>
      </c>
      <c r="F90" s="22"/>
      <c r="G90" s="21"/>
      <c r="H90" s="9"/>
      <c r="I90" s="9"/>
      <c r="J90" s="22"/>
      <c r="K90" s="22"/>
      <c r="Q90">
        <f>ROUND((Source!BZ81/100)*ROUND((Source!AF81*Source!AV81)*Source!I81, 2), 2)</f>
        <v>26679.45</v>
      </c>
      <c r="R90">
        <f>Source!X81</f>
        <v>26679.45</v>
      </c>
      <c r="S90">
        <f>ROUND((Source!CA81/100)*ROUND((Source!AF81*Source!AV81)*Source!I81, 2), 2)</f>
        <v>3811.35</v>
      </c>
      <c r="T90">
        <f>Source!Y81</f>
        <v>3811.35</v>
      </c>
      <c r="U90">
        <f>ROUND((175/100)*ROUND((Source!AE81*Source!AV81)*Source!I81, 2), 2)</f>
        <v>0.88</v>
      </c>
      <c r="V90">
        <f>ROUND((108/100)*ROUND(Source!CS81*Source!I81, 2), 2)</f>
        <v>0.54</v>
      </c>
    </row>
    <row r="91" spans="1:22" x14ac:dyDescent="0.2">
      <c r="C91" s="23" t="str">
        <f>"Объем: "&amp;Source!I81&amp;"=(23+"&amp;"1)*"&amp;"3/"&amp;"100"</f>
        <v>Объем: 0,72=(23+1)*3/100</v>
      </c>
    </row>
    <row r="92" spans="1:22" ht="14.25" x14ac:dyDescent="0.2">
      <c r="A92" s="19"/>
      <c r="B92" s="19"/>
      <c r="C92" s="19" t="s">
        <v>825</v>
      </c>
      <c r="D92" s="20"/>
      <c r="E92" s="9"/>
      <c r="F92" s="22">
        <f>Source!AO81</f>
        <v>52935.41</v>
      </c>
      <c r="G92" s="21" t="str">
        <f>Source!DG81</f>
        <v/>
      </c>
      <c r="H92" s="9">
        <f>Source!AV81</f>
        <v>1</v>
      </c>
      <c r="I92" s="9">
        <f>IF(Source!BA81&lt;&gt; 0, Source!BA81, 1)</f>
        <v>1</v>
      </c>
      <c r="J92" s="22">
        <f>Source!S81</f>
        <v>38113.5</v>
      </c>
      <c r="K92" s="22"/>
    </row>
    <row r="93" spans="1:22" ht="14.25" x14ac:dyDescent="0.2">
      <c r="A93" s="19"/>
      <c r="B93" s="19"/>
      <c r="C93" s="19" t="s">
        <v>826</v>
      </c>
      <c r="D93" s="20"/>
      <c r="E93" s="9"/>
      <c r="F93" s="22">
        <f>Source!AM81</f>
        <v>61.83</v>
      </c>
      <c r="G93" s="21" t="str">
        <f>Source!DE81</f>
        <v/>
      </c>
      <c r="H93" s="9">
        <f>Source!AV81</f>
        <v>1</v>
      </c>
      <c r="I93" s="9">
        <f>IF(Source!BB81&lt;&gt; 0, Source!BB81, 1)</f>
        <v>1</v>
      </c>
      <c r="J93" s="22">
        <f>Source!Q81</f>
        <v>44.52</v>
      </c>
      <c r="K93" s="22"/>
    </row>
    <row r="94" spans="1:22" ht="14.25" x14ac:dyDescent="0.2">
      <c r="A94" s="19"/>
      <c r="B94" s="19"/>
      <c r="C94" s="19" t="s">
        <v>827</v>
      </c>
      <c r="D94" s="20"/>
      <c r="E94" s="9"/>
      <c r="F94" s="22">
        <f>Source!AN81</f>
        <v>0.7</v>
      </c>
      <c r="G94" s="21" t="str">
        <f>Source!DF81</f>
        <v/>
      </c>
      <c r="H94" s="9">
        <f>Source!AV81</f>
        <v>1</v>
      </c>
      <c r="I94" s="9">
        <f>IF(Source!BS81&lt;&gt; 0, Source!BS81, 1)</f>
        <v>1</v>
      </c>
      <c r="J94" s="24">
        <f>Source!R81</f>
        <v>0.5</v>
      </c>
      <c r="K94" s="22"/>
    </row>
    <row r="95" spans="1:22" ht="14.25" x14ac:dyDescent="0.2">
      <c r="A95" s="19"/>
      <c r="B95" s="19"/>
      <c r="C95" s="19" t="s">
        <v>834</v>
      </c>
      <c r="D95" s="20"/>
      <c r="E95" s="9"/>
      <c r="F95" s="22">
        <f>Source!AL81</f>
        <v>776.55</v>
      </c>
      <c r="G95" s="21" t="str">
        <f>Source!DD81</f>
        <v/>
      </c>
      <c r="H95" s="9">
        <f>Source!AW81</f>
        <v>1</v>
      </c>
      <c r="I95" s="9">
        <f>IF(Source!BC81&lt;&gt; 0, Source!BC81, 1)</f>
        <v>1</v>
      </c>
      <c r="J95" s="22">
        <f>Source!P81</f>
        <v>559.12</v>
      </c>
      <c r="K95" s="22"/>
    </row>
    <row r="96" spans="1:22" ht="14.25" x14ac:dyDescent="0.2">
      <c r="A96" s="19"/>
      <c r="B96" s="19"/>
      <c r="C96" s="19" t="s">
        <v>828</v>
      </c>
      <c r="D96" s="20" t="s">
        <v>829</v>
      </c>
      <c r="E96" s="9">
        <f>Source!AT81</f>
        <v>70</v>
      </c>
      <c r="F96" s="22"/>
      <c r="G96" s="21"/>
      <c r="H96" s="9"/>
      <c r="I96" s="9"/>
      <c r="J96" s="22">
        <f>SUM(R90:R95)</f>
        <v>26679.45</v>
      </c>
      <c r="K96" s="22"/>
    </row>
    <row r="97" spans="1:22" ht="14.25" x14ac:dyDescent="0.2">
      <c r="A97" s="19"/>
      <c r="B97" s="19"/>
      <c r="C97" s="19" t="s">
        <v>830</v>
      </c>
      <c r="D97" s="20" t="s">
        <v>829</v>
      </c>
      <c r="E97" s="9">
        <f>Source!AU81</f>
        <v>10</v>
      </c>
      <c r="F97" s="22"/>
      <c r="G97" s="21"/>
      <c r="H97" s="9"/>
      <c r="I97" s="9"/>
      <c r="J97" s="22">
        <f>SUM(T90:T96)</f>
        <v>3811.35</v>
      </c>
      <c r="K97" s="22"/>
    </row>
    <row r="98" spans="1:22" ht="14.25" x14ac:dyDescent="0.2">
      <c r="A98" s="19"/>
      <c r="B98" s="19"/>
      <c r="C98" s="19" t="s">
        <v>831</v>
      </c>
      <c r="D98" s="20" t="s">
        <v>829</v>
      </c>
      <c r="E98" s="9">
        <f>108</f>
        <v>108</v>
      </c>
      <c r="F98" s="22"/>
      <c r="G98" s="21"/>
      <c r="H98" s="9"/>
      <c r="I98" s="9"/>
      <c r="J98" s="22">
        <f>SUM(V90:V97)</f>
        <v>0.54</v>
      </c>
      <c r="K98" s="22"/>
    </row>
    <row r="99" spans="1:22" ht="14.25" x14ac:dyDescent="0.2">
      <c r="A99" s="19"/>
      <c r="B99" s="19"/>
      <c r="C99" s="19" t="s">
        <v>832</v>
      </c>
      <c r="D99" s="20" t="s">
        <v>833</v>
      </c>
      <c r="E99" s="9">
        <f>Source!AQ81</f>
        <v>104.44</v>
      </c>
      <c r="F99" s="22"/>
      <c r="G99" s="21" t="str">
        <f>Source!DI81</f>
        <v/>
      </c>
      <c r="H99" s="9">
        <f>Source!AV81</f>
        <v>1</v>
      </c>
      <c r="I99" s="9"/>
      <c r="J99" s="22"/>
      <c r="K99" s="22">
        <f>Source!U81</f>
        <v>75.196799999999996</v>
      </c>
    </row>
    <row r="100" spans="1:22" ht="15" x14ac:dyDescent="0.25">
      <c r="A100" s="27"/>
      <c r="B100" s="27"/>
      <c r="C100" s="27"/>
      <c r="D100" s="27"/>
      <c r="E100" s="27"/>
      <c r="F100" s="27"/>
      <c r="G100" s="27"/>
      <c r="H100" s="27"/>
      <c r="I100" s="60">
        <f>J92+J93+J95+J96+J97+J98</f>
        <v>69208.479999999996</v>
      </c>
      <c r="J100" s="60"/>
      <c r="K100" s="28">
        <f>IF(Source!I81&lt;&gt;0, ROUND(I100/Source!I81, 2), 0)</f>
        <v>96122.89</v>
      </c>
      <c r="P100" s="25">
        <f>I100</f>
        <v>69208.479999999996</v>
      </c>
    </row>
    <row r="101" spans="1:22" ht="28.5" x14ac:dyDescent="0.2">
      <c r="A101" s="19">
        <v>7</v>
      </c>
      <c r="B101" s="19" t="str">
        <f>Source!F82</f>
        <v>1.16-3201-2-2/1</v>
      </c>
      <c r="C101" s="19" t="str">
        <f>Source!G82</f>
        <v>Укрепление расшатавшихся санитарно-технических приборов - унитазы и биде</v>
      </c>
      <c r="D101" s="20" t="str">
        <f>Source!H82</f>
        <v>100 шт.</v>
      </c>
      <c r="E101" s="9">
        <f>Source!I82</f>
        <v>0.72</v>
      </c>
      <c r="F101" s="22"/>
      <c r="G101" s="21"/>
      <c r="H101" s="9"/>
      <c r="I101" s="9"/>
      <c r="J101" s="22"/>
      <c r="K101" s="22"/>
      <c r="Q101">
        <f>ROUND((Source!BZ82/100)*ROUND((Source!AF82*Source!AV82)*Source!I82, 2), 2)</f>
        <v>38810.879999999997</v>
      </c>
      <c r="R101">
        <f>Source!X82</f>
        <v>38810.879999999997</v>
      </c>
      <c r="S101">
        <f>ROUND((Source!CA82/100)*ROUND((Source!AF82*Source!AV82)*Source!I82, 2), 2)</f>
        <v>5544.41</v>
      </c>
      <c r="T101">
        <f>Source!Y82</f>
        <v>5544.41</v>
      </c>
      <c r="U101">
        <f>ROUND((175/100)*ROUND((Source!AE82*Source!AV82)*Source!I82, 2), 2)</f>
        <v>0.88</v>
      </c>
      <c r="V101">
        <f>ROUND((108/100)*ROUND(Source!CS82*Source!I82, 2), 2)</f>
        <v>0.54</v>
      </c>
    </row>
    <row r="102" spans="1:22" x14ac:dyDescent="0.2">
      <c r="C102" s="23" t="str">
        <f>"Объем: "&amp;Source!I82&amp;"=(23+"&amp;"1)*"&amp;"3/"&amp;"100"</f>
        <v>Объем: 0,72=(23+1)*3/100</v>
      </c>
    </row>
    <row r="103" spans="1:22" ht="14.25" x14ac:dyDescent="0.2">
      <c r="A103" s="19"/>
      <c r="B103" s="19"/>
      <c r="C103" s="19" t="s">
        <v>825</v>
      </c>
      <c r="D103" s="20"/>
      <c r="E103" s="9"/>
      <c r="F103" s="22">
        <f>Source!AO82</f>
        <v>77005.72</v>
      </c>
      <c r="G103" s="21" t="str">
        <f>Source!DG82</f>
        <v/>
      </c>
      <c r="H103" s="9">
        <f>Source!AV82</f>
        <v>1</v>
      </c>
      <c r="I103" s="9">
        <f>IF(Source!BA82&lt;&gt; 0, Source!BA82, 1)</f>
        <v>1</v>
      </c>
      <c r="J103" s="22">
        <f>Source!S82</f>
        <v>55444.12</v>
      </c>
      <c r="K103" s="22"/>
    </row>
    <row r="104" spans="1:22" ht="14.25" x14ac:dyDescent="0.2">
      <c r="A104" s="19"/>
      <c r="B104" s="19"/>
      <c r="C104" s="19" t="s">
        <v>826</v>
      </c>
      <c r="D104" s="20"/>
      <c r="E104" s="9"/>
      <c r="F104" s="22">
        <f>Source!AM82</f>
        <v>61.83</v>
      </c>
      <c r="G104" s="21" t="str">
        <f>Source!DE82</f>
        <v/>
      </c>
      <c r="H104" s="9">
        <f>Source!AV82</f>
        <v>1</v>
      </c>
      <c r="I104" s="9">
        <f>IF(Source!BB82&lt;&gt; 0, Source!BB82, 1)</f>
        <v>1</v>
      </c>
      <c r="J104" s="22">
        <f>Source!Q82</f>
        <v>44.52</v>
      </c>
      <c r="K104" s="22"/>
    </row>
    <row r="105" spans="1:22" ht="14.25" x14ac:dyDescent="0.2">
      <c r="A105" s="19"/>
      <c r="B105" s="19"/>
      <c r="C105" s="19" t="s">
        <v>827</v>
      </c>
      <c r="D105" s="20"/>
      <c r="E105" s="9"/>
      <c r="F105" s="22">
        <f>Source!AN82</f>
        <v>0.7</v>
      </c>
      <c r="G105" s="21" t="str">
        <f>Source!DF82</f>
        <v/>
      </c>
      <c r="H105" s="9">
        <f>Source!AV82</f>
        <v>1</v>
      </c>
      <c r="I105" s="9">
        <f>IF(Source!BS82&lt;&gt; 0, Source!BS82, 1)</f>
        <v>1</v>
      </c>
      <c r="J105" s="24">
        <f>Source!R82</f>
        <v>0.5</v>
      </c>
      <c r="K105" s="22"/>
    </row>
    <row r="106" spans="1:22" ht="14.25" x14ac:dyDescent="0.2">
      <c r="A106" s="19"/>
      <c r="B106" s="19"/>
      <c r="C106" s="19" t="s">
        <v>834</v>
      </c>
      <c r="D106" s="20"/>
      <c r="E106" s="9"/>
      <c r="F106" s="22">
        <f>Source!AL82</f>
        <v>776.55</v>
      </c>
      <c r="G106" s="21" t="str">
        <f>Source!DD82</f>
        <v/>
      </c>
      <c r="H106" s="9">
        <f>Source!AW82</f>
        <v>1</v>
      </c>
      <c r="I106" s="9">
        <f>IF(Source!BC82&lt;&gt; 0, Source!BC82, 1)</f>
        <v>1</v>
      </c>
      <c r="J106" s="22">
        <f>Source!P82</f>
        <v>559.12</v>
      </c>
      <c r="K106" s="22"/>
    </row>
    <row r="107" spans="1:22" ht="14.25" x14ac:dyDescent="0.2">
      <c r="A107" s="19"/>
      <c r="B107" s="19"/>
      <c r="C107" s="19" t="s">
        <v>828</v>
      </c>
      <c r="D107" s="20" t="s">
        <v>829</v>
      </c>
      <c r="E107" s="9">
        <f>Source!AT82</f>
        <v>70</v>
      </c>
      <c r="F107" s="22"/>
      <c r="G107" s="21"/>
      <c r="H107" s="9"/>
      <c r="I107" s="9"/>
      <c r="J107" s="22">
        <f>SUM(R101:R106)</f>
        <v>38810.879999999997</v>
      </c>
      <c r="K107" s="22"/>
    </row>
    <row r="108" spans="1:22" ht="14.25" x14ac:dyDescent="0.2">
      <c r="A108" s="19"/>
      <c r="B108" s="19"/>
      <c r="C108" s="19" t="s">
        <v>830</v>
      </c>
      <c r="D108" s="20" t="s">
        <v>829</v>
      </c>
      <c r="E108" s="9">
        <f>Source!AU82</f>
        <v>10</v>
      </c>
      <c r="F108" s="22"/>
      <c r="G108" s="21"/>
      <c r="H108" s="9"/>
      <c r="I108" s="9"/>
      <c r="J108" s="22">
        <f>SUM(T101:T107)</f>
        <v>5544.41</v>
      </c>
      <c r="K108" s="22"/>
    </row>
    <row r="109" spans="1:22" ht="14.25" x14ac:dyDescent="0.2">
      <c r="A109" s="19"/>
      <c r="B109" s="19"/>
      <c r="C109" s="19" t="s">
        <v>831</v>
      </c>
      <c r="D109" s="20" t="s">
        <v>829</v>
      </c>
      <c r="E109" s="9">
        <f>108</f>
        <v>108</v>
      </c>
      <c r="F109" s="22"/>
      <c r="G109" s="21"/>
      <c r="H109" s="9"/>
      <c r="I109" s="9"/>
      <c r="J109" s="22">
        <f>SUM(V101:V108)</f>
        <v>0.54</v>
      </c>
      <c r="K109" s="22"/>
    </row>
    <row r="110" spans="1:22" ht="14.25" x14ac:dyDescent="0.2">
      <c r="A110" s="19"/>
      <c r="B110" s="19"/>
      <c r="C110" s="19" t="s">
        <v>832</v>
      </c>
      <c r="D110" s="20" t="s">
        <v>833</v>
      </c>
      <c r="E110" s="9">
        <f>Source!AQ82</f>
        <v>151.93</v>
      </c>
      <c r="F110" s="22"/>
      <c r="G110" s="21" t="str">
        <f>Source!DI82</f>
        <v/>
      </c>
      <c r="H110" s="9">
        <f>Source!AV82</f>
        <v>1</v>
      </c>
      <c r="I110" s="9"/>
      <c r="J110" s="22"/>
      <c r="K110" s="22">
        <f>Source!U82</f>
        <v>109.3896</v>
      </c>
    </row>
    <row r="111" spans="1:22" ht="15" x14ac:dyDescent="0.25">
      <c r="A111" s="27"/>
      <c r="B111" s="27"/>
      <c r="C111" s="27"/>
      <c r="D111" s="27"/>
      <c r="E111" s="27"/>
      <c r="F111" s="27"/>
      <c r="G111" s="27"/>
      <c r="H111" s="27"/>
      <c r="I111" s="60">
        <f>J103+J104+J106+J107+J108+J109</f>
        <v>100403.59</v>
      </c>
      <c r="J111" s="60"/>
      <c r="K111" s="28">
        <f>IF(Source!I82&lt;&gt;0, ROUND(I111/Source!I82, 2), 0)</f>
        <v>139449.43</v>
      </c>
      <c r="P111" s="25">
        <f>I111</f>
        <v>100403.59</v>
      </c>
    </row>
    <row r="112" spans="1:22" ht="57" x14ac:dyDescent="0.2">
      <c r="A112" s="19">
        <v>8</v>
      </c>
      <c r="B112" s="19" t="str">
        <f>Source!F83</f>
        <v>1.23-2103-41-1/1</v>
      </c>
      <c r="C112" s="19" t="str">
        <f>Source!G83</f>
        <v>Техническое обслуживание регулирующего клапана / Смеситель для раковины, Смеситель медицинский</v>
      </c>
      <c r="D112" s="20" t="str">
        <f>Source!H83</f>
        <v>шт.</v>
      </c>
      <c r="E112" s="9">
        <f>Source!I83</f>
        <v>72</v>
      </c>
      <c r="F112" s="22"/>
      <c r="G112" s="21"/>
      <c r="H112" s="9"/>
      <c r="I112" s="9"/>
      <c r="J112" s="22"/>
      <c r="K112" s="22"/>
      <c r="Q112">
        <f>ROUND((Source!BZ83/100)*ROUND((Source!AF83*Source!AV83)*Source!I83, 2), 2)</f>
        <v>10483.200000000001</v>
      </c>
      <c r="R112">
        <f>Source!X83</f>
        <v>10483.200000000001</v>
      </c>
      <c r="S112">
        <f>ROUND((Source!CA83/100)*ROUND((Source!AF83*Source!AV83)*Source!I83, 2), 2)</f>
        <v>1497.6</v>
      </c>
      <c r="T112">
        <f>Source!Y83</f>
        <v>1497.6</v>
      </c>
      <c r="U112">
        <f>ROUND((175/100)*ROUND((Source!AE83*Source!AV83)*Source!I83, 2), 2)</f>
        <v>6245.82</v>
      </c>
      <c r="V112">
        <f>ROUND((108/100)*ROUND(Source!CS83*Source!I83, 2), 2)</f>
        <v>3854.56</v>
      </c>
    </row>
    <row r="113" spans="1:22" x14ac:dyDescent="0.2">
      <c r="C113" s="23" t="str">
        <f>"Объем: "&amp;Source!I83&amp;"=(23+"&amp;"1)*"&amp;"3"</f>
        <v>Объем: 72=(23+1)*3</v>
      </c>
    </row>
    <row r="114" spans="1:22" ht="14.25" x14ac:dyDescent="0.2">
      <c r="A114" s="19"/>
      <c r="B114" s="19"/>
      <c r="C114" s="19" t="s">
        <v>825</v>
      </c>
      <c r="D114" s="20"/>
      <c r="E114" s="9"/>
      <c r="F114" s="22">
        <f>Source!AO83</f>
        <v>208</v>
      </c>
      <c r="G114" s="21" t="str">
        <f>Source!DG83</f>
        <v/>
      </c>
      <c r="H114" s="9">
        <f>Source!AV83</f>
        <v>1</v>
      </c>
      <c r="I114" s="9">
        <f>IF(Source!BA83&lt;&gt; 0, Source!BA83, 1)</f>
        <v>1</v>
      </c>
      <c r="J114" s="22">
        <f>Source!S83</f>
        <v>14976</v>
      </c>
      <c r="K114" s="22"/>
    </row>
    <row r="115" spans="1:22" ht="14.25" x14ac:dyDescent="0.2">
      <c r="A115" s="19"/>
      <c r="B115" s="19"/>
      <c r="C115" s="19" t="s">
        <v>826</v>
      </c>
      <c r="D115" s="20"/>
      <c r="E115" s="9"/>
      <c r="F115" s="22">
        <f>Source!AM83</f>
        <v>78.180000000000007</v>
      </c>
      <c r="G115" s="21" t="str">
        <f>Source!DE83</f>
        <v/>
      </c>
      <c r="H115" s="9">
        <f>Source!AV83</f>
        <v>1</v>
      </c>
      <c r="I115" s="9">
        <f>IF(Source!BB83&lt;&gt; 0, Source!BB83, 1)</f>
        <v>1</v>
      </c>
      <c r="J115" s="22">
        <f>Source!Q83</f>
        <v>5628.96</v>
      </c>
      <c r="K115" s="22"/>
    </row>
    <row r="116" spans="1:22" ht="14.25" x14ac:dyDescent="0.2">
      <c r="A116" s="19"/>
      <c r="B116" s="19"/>
      <c r="C116" s="19" t="s">
        <v>827</v>
      </c>
      <c r="D116" s="20"/>
      <c r="E116" s="9"/>
      <c r="F116" s="22">
        <f>Source!AN83</f>
        <v>49.57</v>
      </c>
      <c r="G116" s="21" t="str">
        <f>Source!DF83</f>
        <v/>
      </c>
      <c r="H116" s="9">
        <f>Source!AV83</f>
        <v>1</v>
      </c>
      <c r="I116" s="9">
        <f>IF(Source!BS83&lt;&gt; 0, Source!BS83, 1)</f>
        <v>1</v>
      </c>
      <c r="J116" s="24">
        <f>Source!R83</f>
        <v>3569.04</v>
      </c>
      <c r="K116" s="22"/>
    </row>
    <row r="117" spans="1:22" ht="14.25" x14ac:dyDescent="0.2">
      <c r="A117" s="19"/>
      <c r="B117" s="19"/>
      <c r="C117" s="19" t="s">
        <v>828</v>
      </c>
      <c r="D117" s="20" t="s">
        <v>829</v>
      </c>
      <c r="E117" s="9">
        <f>Source!AT83</f>
        <v>70</v>
      </c>
      <c r="F117" s="22"/>
      <c r="G117" s="21"/>
      <c r="H117" s="9"/>
      <c r="I117" s="9"/>
      <c r="J117" s="22">
        <f>SUM(R112:R116)</f>
        <v>10483.200000000001</v>
      </c>
      <c r="K117" s="22"/>
    </row>
    <row r="118" spans="1:22" ht="14.25" x14ac:dyDescent="0.2">
      <c r="A118" s="19"/>
      <c r="B118" s="19"/>
      <c r="C118" s="19" t="s">
        <v>830</v>
      </c>
      <c r="D118" s="20" t="s">
        <v>829</v>
      </c>
      <c r="E118" s="9">
        <f>Source!AU83</f>
        <v>10</v>
      </c>
      <c r="F118" s="22"/>
      <c r="G118" s="21"/>
      <c r="H118" s="9"/>
      <c r="I118" s="9"/>
      <c r="J118" s="22">
        <f>SUM(T112:T117)</f>
        <v>1497.6</v>
      </c>
      <c r="K118" s="22"/>
    </row>
    <row r="119" spans="1:22" ht="14.25" x14ac:dyDescent="0.2">
      <c r="A119" s="19"/>
      <c r="B119" s="19"/>
      <c r="C119" s="19" t="s">
        <v>831</v>
      </c>
      <c r="D119" s="20" t="s">
        <v>829</v>
      </c>
      <c r="E119" s="9">
        <f>108</f>
        <v>108</v>
      </c>
      <c r="F119" s="22"/>
      <c r="G119" s="21"/>
      <c r="H119" s="9"/>
      <c r="I119" s="9"/>
      <c r="J119" s="22">
        <f>SUM(V112:V118)</f>
        <v>3854.56</v>
      </c>
      <c r="K119" s="22"/>
    </row>
    <row r="120" spans="1:22" ht="14.25" x14ac:dyDescent="0.2">
      <c r="A120" s="19"/>
      <c r="B120" s="19"/>
      <c r="C120" s="19" t="s">
        <v>832</v>
      </c>
      <c r="D120" s="20" t="s">
        <v>833</v>
      </c>
      <c r="E120" s="9">
        <f>Source!AQ83</f>
        <v>0.37</v>
      </c>
      <c r="F120" s="22"/>
      <c r="G120" s="21" t="str">
        <f>Source!DI83</f>
        <v/>
      </c>
      <c r="H120" s="9">
        <f>Source!AV83</f>
        <v>1</v>
      </c>
      <c r="I120" s="9"/>
      <c r="J120" s="22"/>
      <c r="K120" s="22">
        <f>Source!U83</f>
        <v>26.64</v>
      </c>
    </row>
    <row r="121" spans="1:22" ht="15" x14ac:dyDescent="0.25">
      <c r="A121" s="27"/>
      <c r="B121" s="27"/>
      <c r="C121" s="27"/>
      <c r="D121" s="27"/>
      <c r="E121" s="27"/>
      <c r="F121" s="27"/>
      <c r="G121" s="27"/>
      <c r="H121" s="27"/>
      <c r="I121" s="60">
        <f>J114+J115+J117+J118+J119</f>
        <v>36440.32</v>
      </c>
      <c r="J121" s="60"/>
      <c r="K121" s="28">
        <f>IF(Source!I83&lt;&gt;0, ROUND(I121/Source!I83, 2), 0)</f>
        <v>506.12</v>
      </c>
      <c r="P121" s="25">
        <f>I121</f>
        <v>36440.32</v>
      </c>
    </row>
    <row r="122" spans="1:22" ht="28.5" x14ac:dyDescent="0.2">
      <c r="A122" s="19">
        <v>9</v>
      </c>
      <c r="B122" s="19" t="str">
        <f>Source!F84</f>
        <v>1.16-3201-1-1/1</v>
      </c>
      <c r="C122" s="19" t="str">
        <f>Source!G84</f>
        <v>Регулировка смывного бачка</v>
      </c>
      <c r="D122" s="20" t="str">
        <f>Source!H84</f>
        <v>100 приборов</v>
      </c>
      <c r="E122" s="9">
        <f>Source!I84</f>
        <v>0.69</v>
      </c>
      <c r="F122" s="22"/>
      <c r="G122" s="21"/>
      <c r="H122" s="9"/>
      <c r="I122" s="9"/>
      <c r="J122" s="22"/>
      <c r="K122" s="22"/>
      <c r="Q122">
        <f>ROUND((Source!BZ84/100)*ROUND((Source!AF84*Source!AV84)*Source!I84, 2), 2)</f>
        <v>7677.82</v>
      </c>
      <c r="R122">
        <f>Source!X84</f>
        <v>7677.82</v>
      </c>
      <c r="S122">
        <f>ROUND((Source!CA84/100)*ROUND((Source!AF84*Source!AV84)*Source!I84, 2), 2)</f>
        <v>1096.83</v>
      </c>
      <c r="T122">
        <f>Source!Y84</f>
        <v>1096.83</v>
      </c>
      <c r="U122">
        <f>ROUND((175/100)*ROUND((Source!AE84*Source!AV84)*Source!I84, 2), 2)</f>
        <v>0</v>
      </c>
      <c r="V122">
        <f>ROUND((108/100)*ROUND(Source!CS84*Source!I84, 2), 2)</f>
        <v>0</v>
      </c>
    </row>
    <row r="123" spans="1:22" x14ac:dyDescent="0.2">
      <c r="C123" s="23" t="str">
        <f>"Объем: "&amp;Source!I84&amp;"=23*"&amp;"3/"&amp;"100"</f>
        <v>Объем: 0,69=23*3/100</v>
      </c>
    </row>
    <row r="124" spans="1:22" ht="14.25" x14ac:dyDescent="0.2">
      <c r="A124" s="19"/>
      <c r="B124" s="19"/>
      <c r="C124" s="19" t="s">
        <v>825</v>
      </c>
      <c r="D124" s="20"/>
      <c r="E124" s="9"/>
      <c r="F124" s="22">
        <f>Source!AO84</f>
        <v>15896.11</v>
      </c>
      <c r="G124" s="21" t="str">
        <f>Source!DG84</f>
        <v/>
      </c>
      <c r="H124" s="9">
        <f>Source!AV84</f>
        <v>1</v>
      </c>
      <c r="I124" s="9">
        <f>IF(Source!BA84&lt;&gt; 0, Source!BA84, 1)</f>
        <v>1</v>
      </c>
      <c r="J124" s="22">
        <f>Source!S84</f>
        <v>10968.32</v>
      </c>
      <c r="K124" s="22"/>
    </row>
    <row r="125" spans="1:22" ht="14.25" x14ac:dyDescent="0.2">
      <c r="A125" s="19"/>
      <c r="B125" s="19"/>
      <c r="C125" s="19" t="s">
        <v>828</v>
      </c>
      <c r="D125" s="20" t="s">
        <v>829</v>
      </c>
      <c r="E125" s="9">
        <f>Source!AT84</f>
        <v>70</v>
      </c>
      <c r="F125" s="22"/>
      <c r="G125" s="21"/>
      <c r="H125" s="9"/>
      <c r="I125" s="9"/>
      <c r="J125" s="22">
        <f>SUM(R122:R124)</f>
        <v>7677.82</v>
      </c>
      <c r="K125" s="22"/>
    </row>
    <row r="126" spans="1:22" ht="14.25" x14ac:dyDescent="0.2">
      <c r="A126" s="19"/>
      <c r="B126" s="19"/>
      <c r="C126" s="19" t="s">
        <v>830</v>
      </c>
      <c r="D126" s="20" t="s">
        <v>829</v>
      </c>
      <c r="E126" s="9">
        <f>Source!AU84</f>
        <v>10</v>
      </c>
      <c r="F126" s="22"/>
      <c r="G126" s="21"/>
      <c r="H126" s="9"/>
      <c r="I126" s="9"/>
      <c r="J126" s="22">
        <f>SUM(T122:T125)</f>
        <v>1096.83</v>
      </c>
      <c r="K126" s="22"/>
    </row>
    <row r="127" spans="1:22" ht="14.25" x14ac:dyDescent="0.2">
      <c r="A127" s="19"/>
      <c r="B127" s="19"/>
      <c r="C127" s="19" t="s">
        <v>832</v>
      </c>
      <c r="D127" s="20" t="s">
        <v>833</v>
      </c>
      <c r="E127" s="9">
        <f>Source!AQ84</f>
        <v>26.7</v>
      </c>
      <c r="F127" s="22"/>
      <c r="G127" s="21" t="str">
        <f>Source!DI84</f>
        <v/>
      </c>
      <c r="H127" s="9">
        <f>Source!AV84</f>
        <v>1</v>
      </c>
      <c r="I127" s="9"/>
      <c r="J127" s="22"/>
      <c r="K127" s="22">
        <f>Source!U84</f>
        <v>18.422999999999998</v>
      </c>
    </row>
    <row r="128" spans="1:22" ht="15" x14ac:dyDescent="0.25">
      <c r="A128" s="27"/>
      <c r="B128" s="27"/>
      <c r="C128" s="27"/>
      <c r="D128" s="27"/>
      <c r="E128" s="27"/>
      <c r="F128" s="27"/>
      <c r="G128" s="27"/>
      <c r="H128" s="27"/>
      <c r="I128" s="60">
        <f>J124+J125+J126</f>
        <v>19742.97</v>
      </c>
      <c r="J128" s="60"/>
      <c r="K128" s="28">
        <f>IF(Source!I84&lt;&gt;0, ROUND(I128/Source!I84, 2), 0)</f>
        <v>28613</v>
      </c>
      <c r="P128" s="25">
        <f>I128</f>
        <v>19742.97</v>
      </c>
    </row>
    <row r="129" spans="1:22" ht="14.25" x14ac:dyDescent="0.2">
      <c r="A129" s="19">
        <v>10</v>
      </c>
      <c r="B129" s="19" t="str">
        <f>Source!F85</f>
        <v>1.16-2203-1-1/1</v>
      </c>
      <c r="C129" s="19" t="str">
        <f>Source!G85</f>
        <v>Прочистка сифонов</v>
      </c>
      <c r="D129" s="20" t="str">
        <f>Source!H85</f>
        <v>100 шт.</v>
      </c>
      <c r="E129" s="9">
        <f>Source!I85</f>
        <v>0.72</v>
      </c>
      <c r="F129" s="22"/>
      <c r="G129" s="21"/>
      <c r="H129" s="9"/>
      <c r="I129" s="9"/>
      <c r="J129" s="22"/>
      <c r="K129" s="22"/>
      <c r="Q129">
        <f>ROUND((Source!BZ85/100)*ROUND((Source!AF85*Source!AV85)*Source!I85, 2), 2)</f>
        <v>28631.11</v>
      </c>
      <c r="R129">
        <f>Source!X85</f>
        <v>28631.11</v>
      </c>
      <c r="S129">
        <f>ROUND((Source!CA85/100)*ROUND((Source!AF85*Source!AV85)*Source!I85, 2), 2)</f>
        <v>4090.16</v>
      </c>
      <c r="T129">
        <f>Source!Y85</f>
        <v>4090.16</v>
      </c>
      <c r="U129">
        <f>ROUND((175/100)*ROUND((Source!AE85*Source!AV85)*Source!I85, 2), 2)</f>
        <v>0</v>
      </c>
      <c r="V129">
        <f>ROUND((108/100)*ROUND(Source!CS85*Source!I85, 2), 2)</f>
        <v>0</v>
      </c>
    </row>
    <row r="130" spans="1:22" x14ac:dyDescent="0.2">
      <c r="C130" s="23" t="str">
        <f>"Объем: "&amp;Source!I85&amp;"=(23+"&amp;"1)*"&amp;"3/"&amp;"100"</f>
        <v>Объем: 0,72=(23+1)*3/100</v>
      </c>
    </row>
    <row r="131" spans="1:22" ht="14.25" x14ac:dyDescent="0.2">
      <c r="A131" s="19"/>
      <c r="B131" s="19"/>
      <c r="C131" s="19" t="s">
        <v>825</v>
      </c>
      <c r="D131" s="20"/>
      <c r="E131" s="9"/>
      <c r="F131" s="22">
        <f>Source!AO85</f>
        <v>14201.94</v>
      </c>
      <c r="G131" s="21" t="str">
        <f>Source!DG85</f>
        <v>)*4</v>
      </c>
      <c r="H131" s="9">
        <f>Source!AV85</f>
        <v>1</v>
      </c>
      <c r="I131" s="9">
        <f>IF(Source!BA85&lt;&gt; 0, Source!BA85, 1)</f>
        <v>1</v>
      </c>
      <c r="J131" s="22">
        <f>Source!S85</f>
        <v>40901.589999999997</v>
      </c>
      <c r="K131" s="22"/>
    </row>
    <row r="132" spans="1:22" ht="14.25" x14ac:dyDescent="0.2">
      <c r="A132" s="19"/>
      <c r="B132" s="19"/>
      <c r="C132" s="19" t="s">
        <v>834</v>
      </c>
      <c r="D132" s="20"/>
      <c r="E132" s="9"/>
      <c r="F132" s="22">
        <f>Source!AL85</f>
        <v>243.57</v>
      </c>
      <c r="G132" s="21" t="str">
        <f>Source!DD85</f>
        <v>)*4</v>
      </c>
      <c r="H132" s="9">
        <f>Source!AW85</f>
        <v>1</v>
      </c>
      <c r="I132" s="9">
        <f>IF(Source!BC85&lt;&gt; 0, Source!BC85, 1)</f>
        <v>1</v>
      </c>
      <c r="J132" s="22">
        <f>Source!P85</f>
        <v>701.48</v>
      </c>
      <c r="K132" s="22"/>
    </row>
    <row r="133" spans="1:22" ht="14.25" x14ac:dyDescent="0.2">
      <c r="A133" s="19"/>
      <c r="B133" s="19"/>
      <c r="C133" s="19" t="s">
        <v>828</v>
      </c>
      <c r="D133" s="20" t="s">
        <v>829</v>
      </c>
      <c r="E133" s="9">
        <f>Source!AT85</f>
        <v>70</v>
      </c>
      <c r="F133" s="22"/>
      <c r="G133" s="21"/>
      <c r="H133" s="9"/>
      <c r="I133" s="9"/>
      <c r="J133" s="22">
        <f>SUM(R129:R132)</f>
        <v>28631.11</v>
      </c>
      <c r="K133" s="22"/>
    </row>
    <row r="134" spans="1:22" ht="14.25" x14ac:dyDescent="0.2">
      <c r="A134" s="19"/>
      <c r="B134" s="19"/>
      <c r="C134" s="19" t="s">
        <v>830</v>
      </c>
      <c r="D134" s="20" t="s">
        <v>829</v>
      </c>
      <c r="E134" s="9">
        <f>Source!AU85</f>
        <v>10</v>
      </c>
      <c r="F134" s="22"/>
      <c r="G134" s="21"/>
      <c r="H134" s="9"/>
      <c r="I134" s="9"/>
      <c r="J134" s="22">
        <f>SUM(T129:T133)</f>
        <v>4090.16</v>
      </c>
      <c r="K134" s="22"/>
    </row>
    <row r="135" spans="1:22" ht="14.25" x14ac:dyDescent="0.2">
      <c r="A135" s="19"/>
      <c r="B135" s="19"/>
      <c r="C135" s="19" t="s">
        <v>832</v>
      </c>
      <c r="D135" s="20" t="s">
        <v>833</v>
      </c>
      <c r="E135" s="9">
        <f>Source!AQ85</f>
        <v>28.02</v>
      </c>
      <c r="F135" s="22"/>
      <c r="G135" s="21" t="str">
        <f>Source!DI85</f>
        <v>)*4</v>
      </c>
      <c r="H135" s="9">
        <f>Source!AV85</f>
        <v>1</v>
      </c>
      <c r="I135" s="9"/>
      <c r="J135" s="22"/>
      <c r="K135" s="22">
        <f>Source!U85</f>
        <v>80.697599999999994</v>
      </c>
    </row>
    <row r="136" spans="1:22" ht="15" x14ac:dyDescent="0.25">
      <c r="A136" s="27"/>
      <c r="B136" s="27"/>
      <c r="C136" s="27"/>
      <c r="D136" s="27"/>
      <c r="E136" s="27"/>
      <c r="F136" s="27"/>
      <c r="G136" s="27"/>
      <c r="H136" s="27"/>
      <c r="I136" s="60">
        <f>J131+J132+J133+J134</f>
        <v>74324.34</v>
      </c>
      <c r="J136" s="60"/>
      <c r="K136" s="28">
        <f>IF(Source!I85&lt;&gt;0, ROUND(I136/Source!I85, 2), 0)</f>
        <v>103228.25</v>
      </c>
      <c r="P136" s="25">
        <f>I136</f>
        <v>74324.34</v>
      </c>
    </row>
    <row r="138" spans="1:22" ht="15" x14ac:dyDescent="0.25">
      <c r="B138" s="56" t="str">
        <f>Source!G87</f>
        <v>Корпус 7.2.4</v>
      </c>
      <c r="C138" s="56"/>
      <c r="D138" s="56"/>
      <c r="E138" s="56"/>
      <c r="F138" s="56"/>
      <c r="G138" s="56"/>
      <c r="H138" s="56"/>
      <c r="I138" s="56"/>
      <c r="J138" s="56"/>
    </row>
    <row r="139" spans="1:22" ht="28.5" x14ac:dyDescent="0.2">
      <c r="A139" s="19">
        <v>11</v>
      </c>
      <c r="B139" s="19" t="str">
        <f>Source!F91</f>
        <v>1.16-3201-2-1/1</v>
      </c>
      <c r="C139" s="19" t="str">
        <f>Source!G91</f>
        <v>Укрепление расшатавшихся санитарно-технических приборов - умывальники</v>
      </c>
      <c r="D139" s="20" t="str">
        <f>Source!H91</f>
        <v>100 шт.</v>
      </c>
      <c r="E139" s="9">
        <f>Source!I91</f>
        <v>0.18</v>
      </c>
      <c r="F139" s="22"/>
      <c r="G139" s="21"/>
      <c r="H139" s="9"/>
      <c r="I139" s="9"/>
      <c r="J139" s="22"/>
      <c r="K139" s="22"/>
      <c r="Q139">
        <f>ROUND((Source!BZ91/100)*ROUND((Source!AF91*Source!AV91)*Source!I91, 2), 2)</f>
        <v>6669.86</v>
      </c>
      <c r="R139">
        <f>Source!X91</f>
        <v>6669.86</v>
      </c>
      <c r="S139">
        <f>ROUND((Source!CA91/100)*ROUND((Source!AF91*Source!AV91)*Source!I91, 2), 2)</f>
        <v>952.84</v>
      </c>
      <c r="T139">
        <f>Source!Y91</f>
        <v>952.84</v>
      </c>
      <c r="U139">
        <f>ROUND((175/100)*ROUND((Source!AE91*Source!AV91)*Source!I91, 2), 2)</f>
        <v>0.23</v>
      </c>
      <c r="V139">
        <f>ROUND((108/100)*ROUND(Source!CS91*Source!I91, 2), 2)</f>
        <v>0.14000000000000001</v>
      </c>
    </row>
    <row r="140" spans="1:22" x14ac:dyDescent="0.2">
      <c r="C140" s="23" t="str">
        <f>"Объем: "&amp;Source!I91&amp;"=18/"&amp;"100"</f>
        <v>Объем: 0,18=18/100</v>
      </c>
    </row>
    <row r="141" spans="1:22" ht="14.25" x14ac:dyDescent="0.2">
      <c r="A141" s="19"/>
      <c r="B141" s="19"/>
      <c r="C141" s="19" t="s">
        <v>825</v>
      </c>
      <c r="D141" s="20"/>
      <c r="E141" s="9"/>
      <c r="F141" s="22">
        <f>Source!AO91</f>
        <v>52935.41</v>
      </c>
      <c r="G141" s="21" t="str">
        <f>Source!DG91</f>
        <v/>
      </c>
      <c r="H141" s="9">
        <f>Source!AV91</f>
        <v>1</v>
      </c>
      <c r="I141" s="9">
        <f>IF(Source!BA91&lt;&gt; 0, Source!BA91, 1)</f>
        <v>1</v>
      </c>
      <c r="J141" s="22">
        <f>Source!S91</f>
        <v>9528.3700000000008</v>
      </c>
      <c r="K141" s="22"/>
    </row>
    <row r="142" spans="1:22" ht="14.25" x14ac:dyDescent="0.2">
      <c r="A142" s="19"/>
      <c r="B142" s="19"/>
      <c r="C142" s="19" t="s">
        <v>826</v>
      </c>
      <c r="D142" s="20"/>
      <c r="E142" s="9"/>
      <c r="F142" s="22">
        <f>Source!AM91</f>
        <v>61.83</v>
      </c>
      <c r="G142" s="21" t="str">
        <f>Source!DE91</f>
        <v/>
      </c>
      <c r="H142" s="9">
        <f>Source!AV91</f>
        <v>1</v>
      </c>
      <c r="I142" s="9">
        <f>IF(Source!BB91&lt;&gt; 0, Source!BB91, 1)</f>
        <v>1</v>
      </c>
      <c r="J142" s="22">
        <f>Source!Q91</f>
        <v>11.13</v>
      </c>
      <c r="K142" s="22"/>
    </row>
    <row r="143" spans="1:22" ht="14.25" x14ac:dyDescent="0.2">
      <c r="A143" s="19"/>
      <c r="B143" s="19"/>
      <c r="C143" s="19" t="s">
        <v>827</v>
      </c>
      <c r="D143" s="20"/>
      <c r="E143" s="9"/>
      <c r="F143" s="22">
        <f>Source!AN91</f>
        <v>0.7</v>
      </c>
      <c r="G143" s="21" t="str">
        <f>Source!DF91</f>
        <v/>
      </c>
      <c r="H143" s="9">
        <f>Source!AV91</f>
        <v>1</v>
      </c>
      <c r="I143" s="9">
        <f>IF(Source!BS91&lt;&gt; 0, Source!BS91, 1)</f>
        <v>1</v>
      </c>
      <c r="J143" s="24">
        <f>Source!R91</f>
        <v>0.13</v>
      </c>
      <c r="K143" s="22"/>
    </row>
    <row r="144" spans="1:22" ht="14.25" x14ac:dyDescent="0.2">
      <c r="A144" s="19"/>
      <c r="B144" s="19"/>
      <c r="C144" s="19" t="s">
        <v>834</v>
      </c>
      <c r="D144" s="20"/>
      <c r="E144" s="9"/>
      <c r="F144" s="22">
        <f>Source!AL91</f>
        <v>776.55</v>
      </c>
      <c r="G144" s="21" t="str">
        <f>Source!DD91</f>
        <v/>
      </c>
      <c r="H144" s="9">
        <f>Source!AW91</f>
        <v>1</v>
      </c>
      <c r="I144" s="9">
        <f>IF(Source!BC91&lt;&gt; 0, Source!BC91, 1)</f>
        <v>1</v>
      </c>
      <c r="J144" s="22">
        <f>Source!P91</f>
        <v>139.78</v>
      </c>
      <c r="K144" s="22"/>
    </row>
    <row r="145" spans="1:22" ht="14.25" x14ac:dyDescent="0.2">
      <c r="A145" s="19"/>
      <c r="B145" s="19"/>
      <c r="C145" s="19" t="s">
        <v>828</v>
      </c>
      <c r="D145" s="20" t="s">
        <v>829</v>
      </c>
      <c r="E145" s="9">
        <f>Source!AT91</f>
        <v>70</v>
      </c>
      <c r="F145" s="22"/>
      <c r="G145" s="21"/>
      <c r="H145" s="9"/>
      <c r="I145" s="9"/>
      <c r="J145" s="22">
        <f>SUM(R139:R144)</f>
        <v>6669.86</v>
      </c>
      <c r="K145" s="22"/>
    </row>
    <row r="146" spans="1:22" ht="14.25" x14ac:dyDescent="0.2">
      <c r="A146" s="19"/>
      <c r="B146" s="19"/>
      <c r="C146" s="19" t="s">
        <v>830</v>
      </c>
      <c r="D146" s="20" t="s">
        <v>829</v>
      </c>
      <c r="E146" s="9">
        <f>Source!AU91</f>
        <v>10</v>
      </c>
      <c r="F146" s="22"/>
      <c r="G146" s="21"/>
      <c r="H146" s="9"/>
      <c r="I146" s="9"/>
      <c r="J146" s="22">
        <f>SUM(T139:T145)</f>
        <v>952.84</v>
      </c>
      <c r="K146" s="22"/>
    </row>
    <row r="147" spans="1:22" ht="14.25" x14ac:dyDescent="0.2">
      <c r="A147" s="19"/>
      <c r="B147" s="19"/>
      <c r="C147" s="19" t="s">
        <v>831</v>
      </c>
      <c r="D147" s="20" t="s">
        <v>829</v>
      </c>
      <c r="E147" s="9">
        <f>108</f>
        <v>108</v>
      </c>
      <c r="F147" s="22"/>
      <c r="G147" s="21"/>
      <c r="H147" s="9"/>
      <c r="I147" s="9"/>
      <c r="J147" s="22">
        <f>SUM(V139:V146)</f>
        <v>0.14000000000000001</v>
      </c>
      <c r="K147" s="22"/>
    </row>
    <row r="148" spans="1:22" ht="14.25" x14ac:dyDescent="0.2">
      <c r="A148" s="19"/>
      <c r="B148" s="19"/>
      <c r="C148" s="19" t="s">
        <v>832</v>
      </c>
      <c r="D148" s="20" t="s">
        <v>833</v>
      </c>
      <c r="E148" s="9">
        <f>Source!AQ91</f>
        <v>104.44</v>
      </c>
      <c r="F148" s="22"/>
      <c r="G148" s="21" t="str">
        <f>Source!DI91</f>
        <v/>
      </c>
      <c r="H148" s="9">
        <f>Source!AV91</f>
        <v>1</v>
      </c>
      <c r="I148" s="9"/>
      <c r="J148" s="22"/>
      <c r="K148" s="22">
        <f>Source!U91</f>
        <v>18.799199999999999</v>
      </c>
    </row>
    <row r="149" spans="1:22" ht="15" x14ac:dyDescent="0.25">
      <c r="A149" s="27"/>
      <c r="B149" s="27"/>
      <c r="C149" s="27"/>
      <c r="D149" s="27"/>
      <c r="E149" s="27"/>
      <c r="F149" s="27"/>
      <c r="G149" s="27"/>
      <c r="H149" s="27"/>
      <c r="I149" s="60">
        <f>J141+J142+J144+J145+J146+J147</f>
        <v>17302.12</v>
      </c>
      <c r="J149" s="60"/>
      <c r="K149" s="28">
        <f>IF(Source!I91&lt;&gt;0, ROUND(I149/Source!I91, 2), 0)</f>
        <v>96122.89</v>
      </c>
      <c r="P149" s="25">
        <f>I149</f>
        <v>17302.12</v>
      </c>
    </row>
    <row r="150" spans="1:22" ht="28.5" x14ac:dyDescent="0.2">
      <c r="A150" s="19">
        <v>12</v>
      </c>
      <c r="B150" s="19" t="str">
        <f>Source!F92</f>
        <v>1.16-3201-2-2/1</v>
      </c>
      <c r="C150" s="19" t="str">
        <f>Source!G92</f>
        <v>Укрепление расшатавшихся санитарно-технических приборов - унитазы и биде</v>
      </c>
      <c r="D150" s="20" t="str">
        <f>Source!H92</f>
        <v>100 шт.</v>
      </c>
      <c r="E150" s="9">
        <f>Source!I92</f>
        <v>0.16</v>
      </c>
      <c r="F150" s="22"/>
      <c r="G150" s="21"/>
      <c r="H150" s="9"/>
      <c r="I150" s="9"/>
      <c r="J150" s="22"/>
      <c r="K150" s="22"/>
      <c r="Q150">
        <f>ROUND((Source!BZ92/100)*ROUND((Source!AF92*Source!AV92)*Source!I92, 2), 2)</f>
        <v>8624.64</v>
      </c>
      <c r="R150">
        <f>Source!X92</f>
        <v>8624.64</v>
      </c>
      <c r="S150">
        <f>ROUND((Source!CA92/100)*ROUND((Source!AF92*Source!AV92)*Source!I92, 2), 2)</f>
        <v>1232.0899999999999</v>
      </c>
      <c r="T150">
        <f>Source!Y92</f>
        <v>1232.0899999999999</v>
      </c>
      <c r="U150">
        <f>ROUND((175/100)*ROUND((Source!AE92*Source!AV92)*Source!I92, 2), 2)</f>
        <v>0.19</v>
      </c>
      <c r="V150">
        <f>ROUND((108/100)*ROUND(Source!CS92*Source!I92, 2), 2)</f>
        <v>0.12</v>
      </c>
    </row>
    <row r="151" spans="1:22" x14ac:dyDescent="0.2">
      <c r="C151" s="23" t="str">
        <f>"Объем: "&amp;Source!I92&amp;"=16/"&amp;"100"</f>
        <v>Объем: 0,16=16/100</v>
      </c>
    </row>
    <row r="152" spans="1:22" ht="14.25" x14ac:dyDescent="0.2">
      <c r="A152" s="19"/>
      <c r="B152" s="19"/>
      <c r="C152" s="19" t="s">
        <v>825</v>
      </c>
      <c r="D152" s="20"/>
      <c r="E152" s="9"/>
      <c r="F152" s="22">
        <f>Source!AO92</f>
        <v>77005.72</v>
      </c>
      <c r="G152" s="21" t="str">
        <f>Source!DG92</f>
        <v/>
      </c>
      <c r="H152" s="9">
        <f>Source!AV92</f>
        <v>1</v>
      </c>
      <c r="I152" s="9">
        <f>IF(Source!BA92&lt;&gt; 0, Source!BA92, 1)</f>
        <v>1</v>
      </c>
      <c r="J152" s="22">
        <f>Source!S92</f>
        <v>12320.92</v>
      </c>
      <c r="K152" s="22"/>
    </row>
    <row r="153" spans="1:22" ht="14.25" x14ac:dyDescent="0.2">
      <c r="A153" s="19"/>
      <c r="B153" s="19"/>
      <c r="C153" s="19" t="s">
        <v>826</v>
      </c>
      <c r="D153" s="20"/>
      <c r="E153" s="9"/>
      <c r="F153" s="22">
        <f>Source!AM92</f>
        <v>61.83</v>
      </c>
      <c r="G153" s="21" t="str">
        <f>Source!DE92</f>
        <v/>
      </c>
      <c r="H153" s="9">
        <f>Source!AV92</f>
        <v>1</v>
      </c>
      <c r="I153" s="9">
        <f>IF(Source!BB92&lt;&gt; 0, Source!BB92, 1)</f>
        <v>1</v>
      </c>
      <c r="J153" s="22">
        <f>Source!Q92</f>
        <v>9.89</v>
      </c>
      <c r="K153" s="22"/>
    </row>
    <row r="154" spans="1:22" ht="14.25" x14ac:dyDescent="0.2">
      <c r="A154" s="19"/>
      <c r="B154" s="19"/>
      <c r="C154" s="19" t="s">
        <v>827</v>
      </c>
      <c r="D154" s="20"/>
      <c r="E154" s="9"/>
      <c r="F154" s="22">
        <f>Source!AN92</f>
        <v>0.7</v>
      </c>
      <c r="G154" s="21" t="str">
        <f>Source!DF92</f>
        <v/>
      </c>
      <c r="H154" s="9">
        <f>Source!AV92</f>
        <v>1</v>
      </c>
      <c r="I154" s="9">
        <f>IF(Source!BS92&lt;&gt; 0, Source!BS92, 1)</f>
        <v>1</v>
      </c>
      <c r="J154" s="24">
        <f>Source!R92</f>
        <v>0.11</v>
      </c>
      <c r="K154" s="22"/>
    </row>
    <row r="155" spans="1:22" ht="14.25" x14ac:dyDescent="0.2">
      <c r="A155" s="19"/>
      <c r="B155" s="19"/>
      <c r="C155" s="19" t="s">
        <v>834</v>
      </c>
      <c r="D155" s="20"/>
      <c r="E155" s="9"/>
      <c r="F155" s="22">
        <f>Source!AL92</f>
        <v>776.55</v>
      </c>
      <c r="G155" s="21" t="str">
        <f>Source!DD92</f>
        <v/>
      </c>
      <c r="H155" s="9">
        <f>Source!AW92</f>
        <v>1</v>
      </c>
      <c r="I155" s="9">
        <f>IF(Source!BC92&lt;&gt; 0, Source!BC92, 1)</f>
        <v>1</v>
      </c>
      <c r="J155" s="22">
        <f>Source!P92</f>
        <v>124.25</v>
      </c>
      <c r="K155" s="22"/>
    </row>
    <row r="156" spans="1:22" ht="14.25" x14ac:dyDescent="0.2">
      <c r="A156" s="19"/>
      <c r="B156" s="19"/>
      <c r="C156" s="19" t="s">
        <v>828</v>
      </c>
      <c r="D156" s="20" t="s">
        <v>829</v>
      </c>
      <c r="E156" s="9">
        <f>Source!AT92</f>
        <v>70</v>
      </c>
      <c r="F156" s="22"/>
      <c r="G156" s="21"/>
      <c r="H156" s="9"/>
      <c r="I156" s="9"/>
      <c r="J156" s="22">
        <f>SUM(R150:R155)</f>
        <v>8624.64</v>
      </c>
      <c r="K156" s="22"/>
    </row>
    <row r="157" spans="1:22" ht="14.25" x14ac:dyDescent="0.2">
      <c r="A157" s="19"/>
      <c r="B157" s="19"/>
      <c r="C157" s="19" t="s">
        <v>830</v>
      </c>
      <c r="D157" s="20" t="s">
        <v>829</v>
      </c>
      <c r="E157" s="9">
        <f>Source!AU92</f>
        <v>10</v>
      </c>
      <c r="F157" s="22"/>
      <c r="G157" s="21"/>
      <c r="H157" s="9"/>
      <c r="I157" s="9"/>
      <c r="J157" s="22">
        <f>SUM(T150:T156)</f>
        <v>1232.0899999999999</v>
      </c>
      <c r="K157" s="22"/>
    </row>
    <row r="158" spans="1:22" ht="14.25" x14ac:dyDescent="0.2">
      <c r="A158" s="19"/>
      <c r="B158" s="19"/>
      <c r="C158" s="19" t="s">
        <v>831</v>
      </c>
      <c r="D158" s="20" t="s">
        <v>829</v>
      </c>
      <c r="E158" s="9">
        <f>108</f>
        <v>108</v>
      </c>
      <c r="F158" s="22"/>
      <c r="G158" s="21"/>
      <c r="H158" s="9"/>
      <c r="I158" s="9"/>
      <c r="J158" s="22">
        <f>SUM(V150:V157)</f>
        <v>0.12</v>
      </c>
      <c r="K158" s="22"/>
    </row>
    <row r="159" spans="1:22" ht="14.25" x14ac:dyDescent="0.2">
      <c r="A159" s="19"/>
      <c r="B159" s="19"/>
      <c r="C159" s="19" t="s">
        <v>832</v>
      </c>
      <c r="D159" s="20" t="s">
        <v>833</v>
      </c>
      <c r="E159" s="9">
        <f>Source!AQ92</f>
        <v>151.93</v>
      </c>
      <c r="F159" s="22"/>
      <c r="G159" s="21" t="str">
        <f>Source!DI92</f>
        <v/>
      </c>
      <c r="H159" s="9">
        <f>Source!AV92</f>
        <v>1</v>
      </c>
      <c r="I159" s="9"/>
      <c r="J159" s="22"/>
      <c r="K159" s="22">
        <f>Source!U92</f>
        <v>24.308800000000002</v>
      </c>
    </row>
    <row r="160" spans="1:22" ht="15" x14ac:dyDescent="0.25">
      <c r="A160" s="27"/>
      <c r="B160" s="27"/>
      <c r="C160" s="27"/>
      <c r="D160" s="27"/>
      <c r="E160" s="27"/>
      <c r="F160" s="27"/>
      <c r="G160" s="27"/>
      <c r="H160" s="27"/>
      <c r="I160" s="60">
        <f>J152+J153+J155+J156+J157+J158</f>
        <v>22311.909999999996</v>
      </c>
      <c r="J160" s="60"/>
      <c r="K160" s="28">
        <f>IF(Source!I92&lt;&gt;0, ROUND(I160/Source!I92, 2), 0)</f>
        <v>139449.44</v>
      </c>
      <c r="P160" s="25">
        <f>I160</f>
        <v>22311.909999999996</v>
      </c>
    </row>
    <row r="161" spans="1:22" ht="57" x14ac:dyDescent="0.2">
      <c r="A161" s="19">
        <v>13</v>
      </c>
      <c r="B161" s="19" t="str">
        <f>Source!F93</f>
        <v>1.23-2103-41-1/1</v>
      </c>
      <c r="C161" s="19" t="str">
        <f>Source!G93</f>
        <v>Техническое обслуживание регулирующего клапана / Смеситель для раковины, Смеситель медицинский</v>
      </c>
      <c r="D161" s="20" t="str">
        <f>Source!H93</f>
        <v>шт.</v>
      </c>
      <c r="E161" s="9">
        <f>Source!I93</f>
        <v>22</v>
      </c>
      <c r="F161" s="22"/>
      <c r="G161" s="21"/>
      <c r="H161" s="9"/>
      <c r="I161" s="9"/>
      <c r="J161" s="22"/>
      <c r="K161" s="22"/>
      <c r="Q161">
        <f>ROUND((Source!BZ93/100)*ROUND((Source!AF93*Source!AV93)*Source!I93, 2), 2)</f>
        <v>3203.2</v>
      </c>
      <c r="R161">
        <f>Source!X93</f>
        <v>3203.2</v>
      </c>
      <c r="S161">
        <f>ROUND((Source!CA93/100)*ROUND((Source!AF93*Source!AV93)*Source!I93, 2), 2)</f>
        <v>457.6</v>
      </c>
      <c r="T161">
        <f>Source!Y93</f>
        <v>457.6</v>
      </c>
      <c r="U161">
        <f>ROUND((175/100)*ROUND((Source!AE93*Source!AV93)*Source!I93, 2), 2)</f>
        <v>1908.45</v>
      </c>
      <c r="V161">
        <f>ROUND((108/100)*ROUND(Source!CS93*Source!I93, 2), 2)</f>
        <v>1177.78</v>
      </c>
    </row>
    <row r="162" spans="1:22" ht="14.25" x14ac:dyDescent="0.2">
      <c r="A162" s="19"/>
      <c r="B162" s="19"/>
      <c r="C162" s="19" t="s">
        <v>825</v>
      </c>
      <c r="D162" s="20"/>
      <c r="E162" s="9"/>
      <c r="F162" s="22">
        <f>Source!AO93</f>
        <v>208</v>
      </c>
      <c r="G162" s="21" t="str">
        <f>Source!DG93</f>
        <v/>
      </c>
      <c r="H162" s="9">
        <f>Source!AV93</f>
        <v>1</v>
      </c>
      <c r="I162" s="9">
        <f>IF(Source!BA93&lt;&gt; 0, Source!BA93, 1)</f>
        <v>1</v>
      </c>
      <c r="J162" s="22">
        <f>Source!S93</f>
        <v>4576</v>
      </c>
      <c r="K162" s="22"/>
    </row>
    <row r="163" spans="1:22" ht="14.25" x14ac:dyDescent="0.2">
      <c r="A163" s="19"/>
      <c r="B163" s="19"/>
      <c r="C163" s="19" t="s">
        <v>826</v>
      </c>
      <c r="D163" s="20"/>
      <c r="E163" s="9"/>
      <c r="F163" s="22">
        <f>Source!AM93</f>
        <v>78.180000000000007</v>
      </c>
      <c r="G163" s="21" t="str">
        <f>Source!DE93</f>
        <v/>
      </c>
      <c r="H163" s="9">
        <f>Source!AV93</f>
        <v>1</v>
      </c>
      <c r="I163" s="9">
        <f>IF(Source!BB93&lt;&gt; 0, Source!BB93, 1)</f>
        <v>1</v>
      </c>
      <c r="J163" s="22">
        <f>Source!Q93</f>
        <v>1719.96</v>
      </c>
      <c r="K163" s="22"/>
    </row>
    <row r="164" spans="1:22" ht="14.25" x14ac:dyDescent="0.2">
      <c r="A164" s="19"/>
      <c r="B164" s="19"/>
      <c r="C164" s="19" t="s">
        <v>827</v>
      </c>
      <c r="D164" s="20"/>
      <c r="E164" s="9"/>
      <c r="F164" s="22">
        <f>Source!AN93</f>
        <v>49.57</v>
      </c>
      <c r="G164" s="21" t="str">
        <f>Source!DF93</f>
        <v/>
      </c>
      <c r="H164" s="9">
        <f>Source!AV93</f>
        <v>1</v>
      </c>
      <c r="I164" s="9">
        <f>IF(Source!BS93&lt;&gt; 0, Source!BS93, 1)</f>
        <v>1</v>
      </c>
      <c r="J164" s="24">
        <f>Source!R93</f>
        <v>1090.54</v>
      </c>
      <c r="K164" s="22"/>
    </row>
    <row r="165" spans="1:22" ht="14.25" x14ac:dyDescent="0.2">
      <c r="A165" s="19"/>
      <c r="B165" s="19"/>
      <c r="C165" s="19" t="s">
        <v>828</v>
      </c>
      <c r="D165" s="20" t="s">
        <v>829</v>
      </c>
      <c r="E165" s="9">
        <f>Source!AT93</f>
        <v>70</v>
      </c>
      <c r="F165" s="22"/>
      <c r="G165" s="21"/>
      <c r="H165" s="9"/>
      <c r="I165" s="9"/>
      <c r="J165" s="22">
        <f>SUM(R161:R164)</f>
        <v>3203.2</v>
      </c>
      <c r="K165" s="22"/>
    </row>
    <row r="166" spans="1:22" ht="14.25" x14ac:dyDescent="0.2">
      <c r="A166" s="19"/>
      <c r="B166" s="19"/>
      <c r="C166" s="19" t="s">
        <v>830</v>
      </c>
      <c r="D166" s="20" t="s">
        <v>829</v>
      </c>
      <c r="E166" s="9">
        <f>Source!AU93</f>
        <v>10</v>
      </c>
      <c r="F166" s="22"/>
      <c r="G166" s="21"/>
      <c r="H166" s="9"/>
      <c r="I166" s="9"/>
      <c r="J166" s="22">
        <f>SUM(T161:T165)</f>
        <v>457.6</v>
      </c>
      <c r="K166" s="22"/>
    </row>
    <row r="167" spans="1:22" ht="14.25" x14ac:dyDescent="0.2">
      <c r="A167" s="19"/>
      <c r="B167" s="19"/>
      <c r="C167" s="19" t="s">
        <v>831</v>
      </c>
      <c r="D167" s="20" t="s">
        <v>829</v>
      </c>
      <c r="E167" s="9">
        <f>108</f>
        <v>108</v>
      </c>
      <c r="F167" s="22"/>
      <c r="G167" s="21"/>
      <c r="H167" s="9"/>
      <c r="I167" s="9"/>
      <c r="J167" s="22">
        <f>SUM(V161:V166)</f>
        <v>1177.78</v>
      </c>
      <c r="K167" s="22"/>
    </row>
    <row r="168" spans="1:22" ht="14.25" x14ac:dyDescent="0.2">
      <c r="A168" s="19"/>
      <c r="B168" s="19"/>
      <c r="C168" s="19" t="s">
        <v>832</v>
      </c>
      <c r="D168" s="20" t="s">
        <v>833</v>
      </c>
      <c r="E168" s="9">
        <f>Source!AQ93</f>
        <v>0.37</v>
      </c>
      <c r="F168" s="22"/>
      <c r="G168" s="21" t="str">
        <f>Source!DI93</f>
        <v/>
      </c>
      <c r="H168" s="9">
        <f>Source!AV93</f>
        <v>1</v>
      </c>
      <c r="I168" s="9"/>
      <c r="J168" s="22"/>
      <c r="K168" s="22">
        <f>Source!U93</f>
        <v>8.14</v>
      </c>
    </row>
    <row r="169" spans="1:22" ht="15" x14ac:dyDescent="0.25">
      <c r="A169" s="27"/>
      <c r="B169" s="27"/>
      <c r="C169" s="27"/>
      <c r="D169" s="27"/>
      <c r="E169" s="27"/>
      <c r="F169" s="27"/>
      <c r="G169" s="27"/>
      <c r="H169" s="27"/>
      <c r="I169" s="60">
        <f>J162+J163+J165+J166+J167</f>
        <v>11134.54</v>
      </c>
      <c r="J169" s="60"/>
      <c r="K169" s="28">
        <f>IF(Source!I93&lt;&gt;0, ROUND(I169/Source!I93, 2), 0)</f>
        <v>506.12</v>
      </c>
      <c r="P169" s="25">
        <f>I169</f>
        <v>11134.54</v>
      </c>
    </row>
    <row r="170" spans="1:22" ht="28.5" x14ac:dyDescent="0.2">
      <c r="A170" s="19">
        <v>14</v>
      </c>
      <c r="B170" s="19" t="str">
        <f>Source!F94</f>
        <v>1.16-3201-1-1/1</v>
      </c>
      <c r="C170" s="19" t="str">
        <f>Source!G94</f>
        <v>Регулировка смывного бачка</v>
      </c>
      <c r="D170" s="20" t="str">
        <f>Source!H94</f>
        <v>100 приборов</v>
      </c>
      <c r="E170" s="9">
        <f>Source!I94</f>
        <v>0.16</v>
      </c>
      <c r="F170" s="22"/>
      <c r="G170" s="21"/>
      <c r="H170" s="9"/>
      <c r="I170" s="9"/>
      <c r="J170" s="22"/>
      <c r="K170" s="22"/>
      <c r="Q170">
        <f>ROUND((Source!BZ94/100)*ROUND((Source!AF94*Source!AV94)*Source!I94, 2), 2)</f>
        <v>1780.37</v>
      </c>
      <c r="R170">
        <f>Source!X94</f>
        <v>1780.37</v>
      </c>
      <c r="S170">
        <f>ROUND((Source!CA94/100)*ROUND((Source!AF94*Source!AV94)*Source!I94, 2), 2)</f>
        <v>254.34</v>
      </c>
      <c r="T170">
        <f>Source!Y94</f>
        <v>254.34</v>
      </c>
      <c r="U170">
        <f>ROUND((175/100)*ROUND((Source!AE94*Source!AV94)*Source!I94, 2), 2)</f>
        <v>0</v>
      </c>
      <c r="V170">
        <f>ROUND((108/100)*ROUND(Source!CS94*Source!I94, 2), 2)</f>
        <v>0</v>
      </c>
    </row>
    <row r="171" spans="1:22" x14ac:dyDescent="0.2">
      <c r="C171" s="23" t="str">
        <f>"Объем: "&amp;Source!I94&amp;"=16/"&amp;"100"</f>
        <v>Объем: 0,16=16/100</v>
      </c>
    </row>
    <row r="172" spans="1:22" ht="14.25" x14ac:dyDescent="0.2">
      <c r="A172" s="19"/>
      <c r="B172" s="19"/>
      <c r="C172" s="19" t="s">
        <v>825</v>
      </c>
      <c r="D172" s="20"/>
      <c r="E172" s="9"/>
      <c r="F172" s="22">
        <f>Source!AO94</f>
        <v>15896.11</v>
      </c>
      <c r="G172" s="21" t="str">
        <f>Source!DG94</f>
        <v/>
      </c>
      <c r="H172" s="9">
        <f>Source!AV94</f>
        <v>1</v>
      </c>
      <c r="I172" s="9">
        <f>IF(Source!BA94&lt;&gt; 0, Source!BA94, 1)</f>
        <v>1</v>
      </c>
      <c r="J172" s="22">
        <f>Source!S94</f>
        <v>2543.38</v>
      </c>
      <c r="K172" s="22"/>
    </row>
    <row r="173" spans="1:22" ht="14.25" x14ac:dyDescent="0.2">
      <c r="A173" s="19"/>
      <c r="B173" s="19"/>
      <c r="C173" s="19" t="s">
        <v>828</v>
      </c>
      <c r="D173" s="20" t="s">
        <v>829</v>
      </c>
      <c r="E173" s="9">
        <f>Source!AT94</f>
        <v>70</v>
      </c>
      <c r="F173" s="22"/>
      <c r="G173" s="21"/>
      <c r="H173" s="9"/>
      <c r="I173" s="9"/>
      <c r="J173" s="22">
        <f>SUM(R170:R172)</f>
        <v>1780.37</v>
      </c>
      <c r="K173" s="22"/>
    </row>
    <row r="174" spans="1:22" ht="14.25" x14ac:dyDescent="0.2">
      <c r="A174" s="19"/>
      <c r="B174" s="19"/>
      <c r="C174" s="19" t="s">
        <v>830</v>
      </c>
      <c r="D174" s="20" t="s">
        <v>829</v>
      </c>
      <c r="E174" s="9">
        <f>Source!AU94</f>
        <v>10</v>
      </c>
      <c r="F174" s="22"/>
      <c r="G174" s="21"/>
      <c r="H174" s="9"/>
      <c r="I174" s="9"/>
      <c r="J174" s="22">
        <f>SUM(T170:T173)</f>
        <v>254.34</v>
      </c>
      <c r="K174" s="22"/>
    </row>
    <row r="175" spans="1:22" ht="14.25" x14ac:dyDescent="0.2">
      <c r="A175" s="19"/>
      <c r="B175" s="19"/>
      <c r="C175" s="19" t="s">
        <v>832</v>
      </c>
      <c r="D175" s="20" t="s">
        <v>833</v>
      </c>
      <c r="E175" s="9">
        <f>Source!AQ94</f>
        <v>26.7</v>
      </c>
      <c r="F175" s="22"/>
      <c r="G175" s="21" t="str">
        <f>Source!DI94</f>
        <v/>
      </c>
      <c r="H175" s="9">
        <f>Source!AV94</f>
        <v>1</v>
      </c>
      <c r="I175" s="9"/>
      <c r="J175" s="22"/>
      <c r="K175" s="22">
        <f>Source!U94</f>
        <v>4.2720000000000002</v>
      </c>
    </row>
    <row r="176" spans="1:22" ht="15" x14ac:dyDescent="0.25">
      <c r="A176" s="27"/>
      <c r="B176" s="27"/>
      <c r="C176" s="27"/>
      <c r="D176" s="27"/>
      <c r="E176" s="27"/>
      <c r="F176" s="27"/>
      <c r="G176" s="27"/>
      <c r="H176" s="27"/>
      <c r="I176" s="60">
        <f>J172+J173+J174</f>
        <v>4578.09</v>
      </c>
      <c r="J176" s="60"/>
      <c r="K176" s="28">
        <f>IF(Source!I94&lt;&gt;0, ROUND(I176/Source!I94, 2), 0)</f>
        <v>28613.06</v>
      </c>
      <c r="P176" s="25">
        <f>I176</f>
        <v>4578.09</v>
      </c>
    </row>
    <row r="177" spans="1:22" ht="14.25" x14ac:dyDescent="0.2">
      <c r="A177" s="19">
        <v>15</v>
      </c>
      <c r="B177" s="19" t="str">
        <f>Source!F95</f>
        <v>1.16-2203-1-1/1</v>
      </c>
      <c r="C177" s="19" t="str">
        <f>Source!G95</f>
        <v>Прочистка сифонов</v>
      </c>
      <c r="D177" s="20" t="str">
        <f>Source!H95</f>
        <v>100 шт.</v>
      </c>
      <c r="E177" s="9">
        <f>Source!I95</f>
        <v>0.11</v>
      </c>
      <c r="F177" s="22"/>
      <c r="G177" s="21"/>
      <c r="H177" s="9"/>
      <c r="I177" s="9"/>
      <c r="J177" s="22"/>
      <c r="K177" s="22"/>
      <c r="Q177">
        <f>ROUND((Source!BZ95/100)*ROUND((Source!AF95*Source!AV95)*Source!I95, 2), 2)</f>
        <v>4374.2</v>
      </c>
      <c r="R177">
        <f>Source!X95</f>
        <v>4374.2</v>
      </c>
      <c r="S177">
        <f>ROUND((Source!CA95/100)*ROUND((Source!AF95*Source!AV95)*Source!I95, 2), 2)</f>
        <v>624.89</v>
      </c>
      <c r="T177">
        <f>Source!Y95</f>
        <v>624.89</v>
      </c>
      <c r="U177">
        <f>ROUND((175/100)*ROUND((Source!AE95*Source!AV95)*Source!I95, 2), 2)</f>
        <v>0</v>
      </c>
      <c r="V177">
        <f>ROUND((108/100)*ROUND(Source!CS95*Source!I95, 2), 2)</f>
        <v>0</v>
      </c>
    </row>
    <row r="178" spans="1:22" x14ac:dyDescent="0.2">
      <c r="C178" s="23" t="str">
        <f>"Объем: "&amp;Source!I95&amp;"=11/"&amp;"100"</f>
        <v>Объем: 0,11=11/100</v>
      </c>
    </row>
    <row r="179" spans="1:22" ht="14.25" x14ac:dyDescent="0.2">
      <c r="A179" s="19"/>
      <c r="B179" s="19"/>
      <c r="C179" s="19" t="s">
        <v>825</v>
      </c>
      <c r="D179" s="20"/>
      <c r="E179" s="9"/>
      <c r="F179" s="22">
        <f>Source!AO95</f>
        <v>14201.94</v>
      </c>
      <c r="G179" s="21" t="str">
        <f>Source!DG95</f>
        <v>)*4</v>
      </c>
      <c r="H179" s="9">
        <f>Source!AV95</f>
        <v>1</v>
      </c>
      <c r="I179" s="9">
        <f>IF(Source!BA95&lt;&gt; 0, Source!BA95, 1)</f>
        <v>1</v>
      </c>
      <c r="J179" s="22">
        <f>Source!S95</f>
        <v>6248.85</v>
      </c>
      <c r="K179" s="22"/>
    </row>
    <row r="180" spans="1:22" ht="14.25" x14ac:dyDescent="0.2">
      <c r="A180" s="19"/>
      <c r="B180" s="19"/>
      <c r="C180" s="19" t="s">
        <v>834</v>
      </c>
      <c r="D180" s="20"/>
      <c r="E180" s="9"/>
      <c r="F180" s="22">
        <f>Source!AL95</f>
        <v>243.57</v>
      </c>
      <c r="G180" s="21" t="str">
        <f>Source!DD95</f>
        <v>)*4</v>
      </c>
      <c r="H180" s="9">
        <f>Source!AW95</f>
        <v>1</v>
      </c>
      <c r="I180" s="9">
        <f>IF(Source!BC95&lt;&gt; 0, Source!BC95, 1)</f>
        <v>1</v>
      </c>
      <c r="J180" s="22">
        <f>Source!P95</f>
        <v>107.17</v>
      </c>
      <c r="K180" s="22"/>
    </row>
    <row r="181" spans="1:22" ht="14.25" x14ac:dyDescent="0.2">
      <c r="A181" s="19"/>
      <c r="B181" s="19"/>
      <c r="C181" s="19" t="s">
        <v>828</v>
      </c>
      <c r="D181" s="20" t="s">
        <v>829</v>
      </c>
      <c r="E181" s="9">
        <f>Source!AT95</f>
        <v>70</v>
      </c>
      <c r="F181" s="22"/>
      <c r="G181" s="21"/>
      <c r="H181" s="9"/>
      <c r="I181" s="9"/>
      <c r="J181" s="22">
        <f>SUM(R177:R180)</f>
        <v>4374.2</v>
      </c>
      <c r="K181" s="22"/>
    </row>
    <row r="182" spans="1:22" ht="14.25" x14ac:dyDescent="0.2">
      <c r="A182" s="19"/>
      <c r="B182" s="19"/>
      <c r="C182" s="19" t="s">
        <v>830</v>
      </c>
      <c r="D182" s="20" t="s">
        <v>829</v>
      </c>
      <c r="E182" s="9">
        <f>Source!AU95</f>
        <v>10</v>
      </c>
      <c r="F182" s="22"/>
      <c r="G182" s="21"/>
      <c r="H182" s="9"/>
      <c r="I182" s="9"/>
      <c r="J182" s="22">
        <f>SUM(T177:T181)</f>
        <v>624.89</v>
      </c>
      <c r="K182" s="22"/>
    </row>
    <row r="183" spans="1:22" ht="14.25" x14ac:dyDescent="0.2">
      <c r="A183" s="19"/>
      <c r="B183" s="19"/>
      <c r="C183" s="19" t="s">
        <v>832</v>
      </c>
      <c r="D183" s="20" t="s">
        <v>833</v>
      </c>
      <c r="E183" s="9">
        <f>Source!AQ95</f>
        <v>28.02</v>
      </c>
      <c r="F183" s="22"/>
      <c r="G183" s="21" t="str">
        <f>Source!DI95</f>
        <v>)*4</v>
      </c>
      <c r="H183" s="9">
        <f>Source!AV95</f>
        <v>1</v>
      </c>
      <c r="I183" s="9"/>
      <c r="J183" s="22"/>
      <c r="K183" s="22">
        <f>Source!U95</f>
        <v>12.328799999999999</v>
      </c>
    </row>
    <row r="184" spans="1:22" ht="15" x14ac:dyDescent="0.25">
      <c r="A184" s="27"/>
      <c r="B184" s="27"/>
      <c r="C184" s="27"/>
      <c r="D184" s="27"/>
      <c r="E184" s="27"/>
      <c r="F184" s="27"/>
      <c r="G184" s="27"/>
      <c r="H184" s="27"/>
      <c r="I184" s="60">
        <f>J179+J180+J181+J182</f>
        <v>11355.11</v>
      </c>
      <c r="J184" s="60"/>
      <c r="K184" s="28">
        <f>IF(Source!I95&lt;&gt;0, ROUND(I184/Source!I95, 2), 0)</f>
        <v>103228.27</v>
      </c>
      <c r="P184" s="25">
        <f>I184</f>
        <v>11355.11</v>
      </c>
    </row>
    <row r="186" spans="1:22" ht="15" x14ac:dyDescent="0.25">
      <c r="A186" s="59" t="str">
        <f>CONCATENATE("Итого по подразделу: ",IF(Source!G97&lt;&gt;"Новый подраздел", Source!G97, ""))</f>
        <v>Итого по подразделу: Сантехника</v>
      </c>
      <c r="B186" s="59"/>
      <c r="C186" s="59"/>
      <c r="D186" s="59"/>
      <c r="E186" s="59"/>
      <c r="F186" s="59"/>
      <c r="G186" s="59"/>
      <c r="H186" s="59"/>
      <c r="I186" s="57">
        <f>SUM(P87:P185)</f>
        <v>366801.47</v>
      </c>
      <c r="J186" s="58"/>
      <c r="K186" s="18"/>
    </row>
    <row r="187" spans="1:22" hidden="1" x14ac:dyDescent="0.2"/>
    <row r="188" spans="1:22" hidden="1" x14ac:dyDescent="0.2"/>
    <row r="189" spans="1:22" ht="16.5" hidden="1" x14ac:dyDescent="0.25">
      <c r="A189" s="55" t="str">
        <f>CONCATENATE("Подраздел: ",IF(Source!G127&lt;&gt;"Новый подраздел", Source!G127, ""))</f>
        <v>Подраздел: Канализация</v>
      </c>
      <c r="B189" s="55"/>
      <c r="C189" s="55"/>
      <c r="D189" s="55"/>
      <c r="E189" s="55"/>
      <c r="F189" s="55"/>
      <c r="G189" s="55"/>
      <c r="H189" s="55"/>
      <c r="I189" s="55"/>
      <c r="J189" s="55"/>
      <c r="K189" s="55"/>
    </row>
    <row r="190" spans="1:22" hidden="1" x14ac:dyDescent="0.2"/>
    <row r="191" spans="1:22" ht="15" hidden="1" x14ac:dyDescent="0.25">
      <c r="B191" s="56" t="str">
        <f>Source!G131</f>
        <v>Корпуса 7.2.1, 7.2.2, 7.2.3</v>
      </c>
      <c r="C191" s="56"/>
      <c r="D191" s="56"/>
      <c r="E191" s="56"/>
      <c r="F191" s="56"/>
      <c r="G191" s="56"/>
      <c r="H191" s="56"/>
      <c r="I191" s="56"/>
      <c r="J191" s="56"/>
    </row>
    <row r="192" spans="1:22" hidden="1" x14ac:dyDescent="0.2"/>
    <row r="193" spans="1:22" ht="15" hidden="1" x14ac:dyDescent="0.25">
      <c r="B193" s="56" t="str">
        <f>Source!G136</f>
        <v>Корпус 7.2.4</v>
      </c>
      <c r="C193" s="56"/>
      <c r="D193" s="56"/>
      <c r="E193" s="56"/>
      <c r="F193" s="56"/>
      <c r="G193" s="56"/>
      <c r="H193" s="56"/>
      <c r="I193" s="56"/>
      <c r="J193" s="56"/>
    </row>
    <row r="194" spans="1:22" hidden="1" x14ac:dyDescent="0.2"/>
    <row r="195" spans="1:22" ht="15" hidden="1" x14ac:dyDescent="0.25">
      <c r="A195" s="59" t="str">
        <f>CONCATENATE("Итого по подразделу: ",IF(Source!G142&lt;&gt;"Новый подраздел", Source!G142, ""))</f>
        <v>Итого по подразделу: Канализация</v>
      </c>
      <c r="B195" s="59"/>
      <c r="C195" s="59"/>
      <c r="D195" s="59"/>
      <c r="E195" s="59"/>
      <c r="F195" s="59"/>
      <c r="G195" s="59"/>
      <c r="H195" s="59"/>
      <c r="I195" s="57">
        <f>SUM(P189:P194)</f>
        <v>0</v>
      </c>
      <c r="J195" s="58"/>
      <c r="K195" s="18"/>
    </row>
    <row r="198" spans="1:22" ht="15" x14ac:dyDescent="0.25">
      <c r="A198" s="59" t="str">
        <f>CONCATENATE("Итого по разделу: ",IF(Source!G172&lt;&gt;"Новый раздел", Source!G172, ""))</f>
        <v>Итого по разделу: 1.Водоснабжение и водоотведение</v>
      </c>
      <c r="B198" s="59"/>
      <c r="C198" s="59"/>
      <c r="D198" s="59"/>
      <c r="E198" s="59"/>
      <c r="F198" s="59"/>
      <c r="G198" s="59"/>
      <c r="H198" s="59"/>
      <c r="I198" s="57">
        <f>SUM(P34:P197)</f>
        <v>612811.67000000004</v>
      </c>
      <c r="J198" s="58"/>
      <c r="K198" s="18"/>
    </row>
    <row r="201" spans="1:22" ht="16.5" x14ac:dyDescent="0.25">
      <c r="A201" s="55" t="str">
        <f>CONCATENATE("Раздел: ",IF(Source!G202&lt;&gt;"Новый раздел", Source!G202, ""))</f>
        <v>Раздел: 2. Внутренние сети отопления и ИТП</v>
      </c>
      <c r="B201" s="55"/>
      <c r="C201" s="55"/>
      <c r="D201" s="55"/>
      <c r="E201" s="55"/>
      <c r="F201" s="55"/>
      <c r="G201" s="55"/>
      <c r="H201" s="55"/>
      <c r="I201" s="55"/>
      <c r="J201" s="55"/>
      <c r="K201" s="55"/>
    </row>
    <row r="203" spans="1:22" ht="16.5" x14ac:dyDescent="0.25">
      <c r="A203" s="55" t="str">
        <f>CONCATENATE("Подраздел: ",IF(Source!G206&lt;&gt;"Новый подраздел", Source!G206, ""))</f>
        <v>Подраздел: Индивидуальный тепловой пункт</v>
      </c>
      <c r="B203" s="55"/>
      <c r="C203" s="55"/>
      <c r="D203" s="55"/>
      <c r="E203" s="55"/>
      <c r="F203" s="55"/>
      <c r="G203" s="55"/>
      <c r="H203" s="55"/>
      <c r="I203" s="55"/>
      <c r="J203" s="55"/>
      <c r="K203" s="55"/>
    </row>
    <row r="205" spans="1:22" ht="15" x14ac:dyDescent="0.25">
      <c r="B205" s="56" t="str">
        <f>Source!G210</f>
        <v>Тепломеханические решения</v>
      </c>
      <c r="C205" s="56"/>
      <c r="D205" s="56"/>
      <c r="E205" s="56"/>
      <c r="F205" s="56"/>
      <c r="G205" s="56"/>
      <c r="H205" s="56"/>
      <c r="I205" s="56"/>
      <c r="J205" s="56"/>
    </row>
    <row r="207" spans="1:22" ht="15" x14ac:dyDescent="0.25">
      <c r="B207" s="56" t="str">
        <f>Source!G211</f>
        <v>Корпуса 7.2.1, 7.2.2,7.2.3,7.2.4</v>
      </c>
      <c r="C207" s="56"/>
      <c r="D207" s="56"/>
      <c r="E207" s="56"/>
      <c r="F207" s="56"/>
      <c r="G207" s="56"/>
      <c r="H207" s="56"/>
      <c r="I207" s="56"/>
      <c r="J207" s="56"/>
    </row>
    <row r="208" spans="1:22" ht="42.75" x14ac:dyDescent="0.2">
      <c r="A208" s="19">
        <v>16</v>
      </c>
      <c r="B208" s="19" t="str">
        <f>Source!F214</f>
        <v>1.23-2103-41-1/1</v>
      </c>
      <c r="C208" s="19" t="str">
        <f>Source!G214</f>
        <v>Техническое обслуживание регулирующего клапана/ Клапан 2хход c приводом</v>
      </c>
      <c r="D208" s="20" t="str">
        <f>Source!H214</f>
        <v>шт.</v>
      </c>
      <c r="E208" s="9">
        <f>Source!I214</f>
        <v>12</v>
      </c>
      <c r="F208" s="22"/>
      <c r="G208" s="21"/>
      <c r="H208" s="9"/>
      <c r="I208" s="9"/>
      <c r="J208" s="22"/>
      <c r="K208" s="22"/>
      <c r="Q208">
        <f>ROUND((Source!BZ214/100)*ROUND((Source!AF214*Source!AV214)*Source!I214, 2), 2)</f>
        <v>3494.4</v>
      </c>
      <c r="R208">
        <f>Source!X214</f>
        <v>3494.4</v>
      </c>
      <c r="S208">
        <f>ROUND((Source!CA214/100)*ROUND((Source!AF214*Source!AV214)*Source!I214, 2), 2)</f>
        <v>499.2</v>
      </c>
      <c r="T208">
        <f>Source!Y214</f>
        <v>499.2</v>
      </c>
      <c r="U208">
        <f>ROUND((175/100)*ROUND((Source!AE214*Source!AV214)*Source!I214, 2), 2)</f>
        <v>2081.94</v>
      </c>
      <c r="V208">
        <f>ROUND((108/100)*ROUND(Source!CS214*Source!I214, 2), 2)</f>
        <v>1284.8499999999999</v>
      </c>
    </row>
    <row r="209" spans="1:22" x14ac:dyDescent="0.2">
      <c r="C209" s="23" t="str">
        <f>"Объем: "&amp;Source!I214&amp;"=(1+"&amp;"1+"&amp;"1)*"&amp;"4"</f>
        <v>Объем: 12=(1+1+1)*4</v>
      </c>
    </row>
    <row r="210" spans="1:22" ht="14.25" x14ac:dyDescent="0.2">
      <c r="A210" s="19"/>
      <c r="B210" s="19"/>
      <c r="C210" s="19" t="s">
        <v>825</v>
      </c>
      <c r="D210" s="20"/>
      <c r="E210" s="9"/>
      <c r="F210" s="22">
        <f>Source!AO214</f>
        <v>208</v>
      </c>
      <c r="G210" s="21" t="str">
        <f>Source!DG214</f>
        <v>)*2</v>
      </c>
      <c r="H210" s="9">
        <f>Source!AV214</f>
        <v>1</v>
      </c>
      <c r="I210" s="9">
        <f>IF(Source!BA214&lt;&gt; 0, Source!BA214, 1)</f>
        <v>1</v>
      </c>
      <c r="J210" s="22">
        <f>Source!S214</f>
        <v>4992</v>
      </c>
      <c r="K210" s="22"/>
    </row>
    <row r="211" spans="1:22" ht="14.25" x14ac:dyDescent="0.2">
      <c r="A211" s="19"/>
      <c r="B211" s="19"/>
      <c r="C211" s="19" t="s">
        <v>826</v>
      </c>
      <c r="D211" s="20"/>
      <c r="E211" s="9"/>
      <c r="F211" s="22">
        <f>Source!AM214</f>
        <v>78.180000000000007</v>
      </c>
      <c r="G211" s="21" t="str">
        <f>Source!DE214</f>
        <v>)*2</v>
      </c>
      <c r="H211" s="9">
        <f>Source!AV214</f>
        <v>1</v>
      </c>
      <c r="I211" s="9">
        <f>IF(Source!BB214&lt;&gt; 0, Source!BB214, 1)</f>
        <v>1</v>
      </c>
      <c r="J211" s="22">
        <f>Source!Q214</f>
        <v>1876.32</v>
      </c>
      <c r="K211" s="22"/>
    </row>
    <row r="212" spans="1:22" ht="14.25" x14ac:dyDescent="0.2">
      <c r="A212" s="19"/>
      <c r="B212" s="19"/>
      <c r="C212" s="19" t="s">
        <v>827</v>
      </c>
      <c r="D212" s="20"/>
      <c r="E212" s="9"/>
      <c r="F212" s="22">
        <f>Source!AN214</f>
        <v>49.57</v>
      </c>
      <c r="G212" s="21" t="str">
        <f>Source!DF214</f>
        <v>)*2</v>
      </c>
      <c r="H212" s="9">
        <f>Source!AV214</f>
        <v>1</v>
      </c>
      <c r="I212" s="9">
        <f>IF(Source!BS214&lt;&gt; 0, Source!BS214, 1)</f>
        <v>1</v>
      </c>
      <c r="J212" s="24">
        <f>Source!R214</f>
        <v>1189.68</v>
      </c>
      <c r="K212" s="22"/>
    </row>
    <row r="213" spans="1:22" ht="14.25" x14ac:dyDescent="0.2">
      <c r="A213" s="19"/>
      <c r="B213" s="19"/>
      <c r="C213" s="19" t="s">
        <v>828</v>
      </c>
      <c r="D213" s="20" t="s">
        <v>829</v>
      </c>
      <c r="E213" s="9">
        <f>Source!AT214</f>
        <v>70</v>
      </c>
      <c r="F213" s="22"/>
      <c r="G213" s="21"/>
      <c r="H213" s="9"/>
      <c r="I213" s="9"/>
      <c r="J213" s="22">
        <f>SUM(R208:R212)</f>
        <v>3494.4</v>
      </c>
      <c r="K213" s="22"/>
    </row>
    <row r="214" spans="1:22" ht="14.25" x14ac:dyDescent="0.2">
      <c r="A214" s="19"/>
      <c r="B214" s="19"/>
      <c r="C214" s="19" t="s">
        <v>830</v>
      </c>
      <c r="D214" s="20" t="s">
        <v>829</v>
      </c>
      <c r="E214" s="9">
        <f>Source!AU214</f>
        <v>10</v>
      </c>
      <c r="F214" s="22"/>
      <c r="G214" s="21"/>
      <c r="H214" s="9"/>
      <c r="I214" s="9"/>
      <c r="J214" s="22">
        <f>SUM(T208:T213)</f>
        <v>499.2</v>
      </c>
      <c r="K214" s="22"/>
    </row>
    <row r="215" spans="1:22" ht="14.25" x14ac:dyDescent="0.2">
      <c r="A215" s="19"/>
      <c r="B215" s="19"/>
      <c r="C215" s="19" t="s">
        <v>831</v>
      </c>
      <c r="D215" s="20" t="s">
        <v>829</v>
      </c>
      <c r="E215" s="9">
        <f>108</f>
        <v>108</v>
      </c>
      <c r="F215" s="22"/>
      <c r="G215" s="21"/>
      <c r="H215" s="9"/>
      <c r="I215" s="9"/>
      <c r="J215" s="22">
        <f>SUM(V208:V214)</f>
        <v>1284.8499999999999</v>
      </c>
      <c r="K215" s="22"/>
    </row>
    <row r="216" spans="1:22" ht="14.25" x14ac:dyDescent="0.2">
      <c r="A216" s="19"/>
      <c r="B216" s="19"/>
      <c r="C216" s="19" t="s">
        <v>832</v>
      </c>
      <c r="D216" s="20" t="s">
        <v>833</v>
      </c>
      <c r="E216" s="9">
        <f>Source!AQ214</f>
        <v>0.37</v>
      </c>
      <c r="F216" s="22"/>
      <c r="G216" s="21" t="str">
        <f>Source!DI214</f>
        <v>)*2</v>
      </c>
      <c r="H216" s="9">
        <f>Source!AV214</f>
        <v>1</v>
      </c>
      <c r="I216" s="9"/>
      <c r="J216" s="22"/>
      <c r="K216" s="22">
        <f>Source!U214</f>
        <v>8.879999999999999</v>
      </c>
    </row>
    <row r="217" spans="1:22" ht="15" x14ac:dyDescent="0.25">
      <c r="A217" s="27"/>
      <c r="B217" s="27"/>
      <c r="C217" s="27"/>
      <c r="D217" s="27"/>
      <c r="E217" s="27"/>
      <c r="F217" s="27"/>
      <c r="G217" s="27"/>
      <c r="H217" s="27"/>
      <c r="I217" s="60">
        <f>J210+J211+J213+J214+J215</f>
        <v>12146.77</v>
      </c>
      <c r="J217" s="60"/>
      <c r="K217" s="28">
        <f>IF(Source!I214&lt;&gt;0, ROUND(I217/Source!I214, 2), 0)</f>
        <v>1012.23</v>
      </c>
      <c r="P217" s="25">
        <f>I217</f>
        <v>12146.77</v>
      </c>
    </row>
    <row r="218" spans="1:22" ht="57" x14ac:dyDescent="0.2">
      <c r="A218" s="19">
        <v>17</v>
      </c>
      <c r="B218" s="19" t="str">
        <f>Source!F215</f>
        <v>1.17-2103-14-1/1</v>
      </c>
      <c r="C218" s="19" t="str">
        <f>Source!G215</f>
        <v>Техническое обслуживание мембранного расширительного бака объемом 100 л/Бак расширительный мембранный, V=80л</v>
      </c>
      <c r="D218" s="20" t="str">
        <f>Source!H215</f>
        <v>шт.</v>
      </c>
      <c r="E218" s="9">
        <f>Source!I215</f>
        <v>4</v>
      </c>
      <c r="F218" s="22"/>
      <c r="G218" s="21"/>
      <c r="H218" s="9"/>
      <c r="I218" s="9"/>
      <c r="J218" s="22"/>
      <c r="K218" s="22"/>
      <c r="Q218">
        <f>ROUND((Source!BZ215/100)*ROUND((Source!AF215*Source!AV215)*Source!I215, 2), 2)</f>
        <v>1002.79</v>
      </c>
      <c r="R218">
        <f>Source!X215</f>
        <v>1002.79</v>
      </c>
      <c r="S218">
        <f>ROUND((Source!CA215/100)*ROUND((Source!AF215*Source!AV215)*Source!I215, 2), 2)</f>
        <v>143.26</v>
      </c>
      <c r="T218">
        <f>Source!Y215</f>
        <v>143.26</v>
      </c>
      <c r="U218">
        <f>ROUND((175/100)*ROUND((Source!AE215*Source!AV215)*Source!I215, 2), 2)</f>
        <v>0</v>
      </c>
      <c r="V218">
        <f>ROUND((108/100)*ROUND(Source!CS215*Source!I215, 2), 2)</f>
        <v>0</v>
      </c>
    </row>
    <row r="219" spans="1:22" x14ac:dyDescent="0.2">
      <c r="C219" s="23" t="str">
        <f>"Объем: "&amp;Source!I215&amp;"=1+"&amp;"1+"&amp;"1+"&amp;"1"</f>
        <v>Объем: 4=1+1+1+1</v>
      </c>
    </row>
    <row r="220" spans="1:22" ht="14.25" x14ac:dyDescent="0.2">
      <c r="A220" s="19"/>
      <c r="B220" s="19"/>
      <c r="C220" s="19" t="s">
        <v>825</v>
      </c>
      <c r="D220" s="20"/>
      <c r="E220" s="9"/>
      <c r="F220" s="22">
        <f>Source!AO215</f>
        <v>358.14</v>
      </c>
      <c r="G220" s="21" t="str">
        <f>Source!DG215</f>
        <v/>
      </c>
      <c r="H220" s="9">
        <f>Source!AV215</f>
        <v>1</v>
      </c>
      <c r="I220" s="9">
        <f>IF(Source!BA215&lt;&gt; 0, Source!BA215, 1)</f>
        <v>1</v>
      </c>
      <c r="J220" s="22">
        <f>Source!S215</f>
        <v>1432.56</v>
      </c>
      <c r="K220" s="22"/>
    </row>
    <row r="221" spans="1:22" ht="14.25" x14ac:dyDescent="0.2">
      <c r="A221" s="19"/>
      <c r="B221" s="19"/>
      <c r="C221" s="19" t="s">
        <v>834</v>
      </c>
      <c r="D221" s="20"/>
      <c r="E221" s="9"/>
      <c r="F221" s="22">
        <f>Source!AL215</f>
        <v>0.63</v>
      </c>
      <c r="G221" s="21" t="str">
        <f>Source!DD215</f>
        <v/>
      </c>
      <c r="H221" s="9">
        <f>Source!AW215</f>
        <v>1</v>
      </c>
      <c r="I221" s="9">
        <f>IF(Source!BC215&lt;&gt; 0, Source!BC215, 1)</f>
        <v>1</v>
      </c>
      <c r="J221" s="22">
        <f>Source!P215</f>
        <v>2.52</v>
      </c>
      <c r="K221" s="22"/>
    </row>
    <row r="222" spans="1:22" ht="14.25" x14ac:dyDescent="0.2">
      <c r="A222" s="19"/>
      <c r="B222" s="19"/>
      <c r="C222" s="19" t="s">
        <v>828</v>
      </c>
      <c r="D222" s="20" t="s">
        <v>829</v>
      </c>
      <c r="E222" s="9">
        <f>Source!AT215</f>
        <v>70</v>
      </c>
      <c r="F222" s="22"/>
      <c r="G222" s="21"/>
      <c r="H222" s="9"/>
      <c r="I222" s="9"/>
      <c r="J222" s="22">
        <f>SUM(R218:R221)</f>
        <v>1002.79</v>
      </c>
      <c r="K222" s="22"/>
    </row>
    <row r="223" spans="1:22" ht="14.25" x14ac:dyDescent="0.2">
      <c r="A223" s="19"/>
      <c r="B223" s="19"/>
      <c r="C223" s="19" t="s">
        <v>830</v>
      </c>
      <c r="D223" s="20" t="s">
        <v>829</v>
      </c>
      <c r="E223" s="9">
        <f>Source!AU215</f>
        <v>10</v>
      </c>
      <c r="F223" s="22"/>
      <c r="G223" s="21"/>
      <c r="H223" s="9"/>
      <c r="I223" s="9"/>
      <c r="J223" s="22">
        <f>SUM(T218:T222)</f>
        <v>143.26</v>
      </c>
      <c r="K223" s="22"/>
    </row>
    <row r="224" spans="1:22" ht="14.25" x14ac:dyDescent="0.2">
      <c r="A224" s="19"/>
      <c r="B224" s="19"/>
      <c r="C224" s="19" t="s">
        <v>832</v>
      </c>
      <c r="D224" s="20" t="s">
        <v>833</v>
      </c>
      <c r="E224" s="9">
        <f>Source!AQ215</f>
        <v>0.57999999999999996</v>
      </c>
      <c r="F224" s="22"/>
      <c r="G224" s="21" t="str">
        <f>Source!DI215</f>
        <v/>
      </c>
      <c r="H224" s="9">
        <f>Source!AV215</f>
        <v>1</v>
      </c>
      <c r="I224" s="9"/>
      <c r="J224" s="22"/>
      <c r="K224" s="22">
        <f>Source!U215</f>
        <v>2.3199999999999998</v>
      </c>
    </row>
    <row r="225" spans="1:22" ht="15" x14ac:dyDescent="0.25">
      <c r="A225" s="27"/>
      <c r="B225" s="27"/>
      <c r="C225" s="27"/>
      <c r="D225" s="27"/>
      <c r="E225" s="27"/>
      <c r="F225" s="27"/>
      <c r="G225" s="27"/>
      <c r="H225" s="27"/>
      <c r="I225" s="60">
        <f>J220+J221+J222+J223</f>
        <v>2581.13</v>
      </c>
      <c r="J225" s="60"/>
      <c r="K225" s="28">
        <f>IF(Source!I215&lt;&gt;0, ROUND(I225/Source!I215, 2), 0)</f>
        <v>645.28</v>
      </c>
      <c r="P225" s="25">
        <f>I225</f>
        <v>2581.13</v>
      </c>
    </row>
    <row r="226" spans="1:22" ht="42.75" x14ac:dyDescent="0.2">
      <c r="A226" s="19">
        <v>18</v>
      </c>
      <c r="B226" s="19" t="str">
        <f>Source!F216</f>
        <v>1.21-2303-24-1/1</v>
      </c>
      <c r="C226" s="19" t="str">
        <f>Source!G216</f>
        <v>Техническое обслуживание электроводонагревателей объемом до 80 литров</v>
      </c>
      <c r="D226" s="20" t="str">
        <f>Source!H216</f>
        <v>шт.</v>
      </c>
      <c r="E226" s="9">
        <f>Source!I216</f>
        <v>4</v>
      </c>
      <c r="F226" s="22"/>
      <c r="G226" s="21"/>
      <c r="H226" s="9"/>
      <c r="I226" s="9"/>
      <c r="J226" s="22"/>
      <c r="K226" s="22"/>
      <c r="Q226">
        <f>ROUND((Source!BZ216/100)*ROUND((Source!AF216*Source!AV216)*Source!I216, 2), 2)</f>
        <v>3483.28</v>
      </c>
      <c r="R226">
        <f>Source!X216</f>
        <v>3483.28</v>
      </c>
      <c r="S226">
        <f>ROUND((Source!CA216/100)*ROUND((Source!AF216*Source!AV216)*Source!I216, 2), 2)</f>
        <v>497.61</v>
      </c>
      <c r="T226">
        <f>Source!Y216</f>
        <v>497.61</v>
      </c>
      <c r="U226">
        <f>ROUND((175/100)*ROUND((Source!AE216*Source!AV216)*Source!I216, 2), 2)</f>
        <v>6263.39</v>
      </c>
      <c r="V226">
        <f>ROUND((108/100)*ROUND(Source!CS216*Source!I216, 2), 2)</f>
        <v>3865.41</v>
      </c>
    </row>
    <row r="227" spans="1:22" ht="14.25" x14ac:dyDescent="0.2">
      <c r="A227" s="19"/>
      <c r="B227" s="19"/>
      <c r="C227" s="19" t="s">
        <v>825</v>
      </c>
      <c r="D227" s="20"/>
      <c r="E227" s="9"/>
      <c r="F227" s="22">
        <f>Source!AO216</f>
        <v>1244.03</v>
      </c>
      <c r="G227" s="21" t="str">
        <f>Source!DG216</f>
        <v/>
      </c>
      <c r="H227" s="9">
        <f>Source!AV216</f>
        <v>1</v>
      </c>
      <c r="I227" s="9">
        <f>IF(Source!BA216&lt;&gt; 0, Source!BA216, 1)</f>
        <v>1</v>
      </c>
      <c r="J227" s="22">
        <f>Source!S216</f>
        <v>4976.12</v>
      </c>
      <c r="K227" s="22"/>
    </row>
    <row r="228" spans="1:22" ht="14.25" x14ac:dyDescent="0.2">
      <c r="A228" s="19"/>
      <c r="B228" s="19"/>
      <c r="C228" s="19" t="s">
        <v>826</v>
      </c>
      <c r="D228" s="20"/>
      <c r="E228" s="9"/>
      <c r="F228" s="22">
        <f>Source!AM216</f>
        <v>1411.16</v>
      </c>
      <c r="G228" s="21" t="str">
        <f>Source!DE216</f>
        <v/>
      </c>
      <c r="H228" s="9">
        <f>Source!AV216</f>
        <v>1</v>
      </c>
      <c r="I228" s="9">
        <f>IF(Source!BB216&lt;&gt; 0, Source!BB216, 1)</f>
        <v>1</v>
      </c>
      <c r="J228" s="22">
        <f>Source!Q216</f>
        <v>5644.64</v>
      </c>
      <c r="K228" s="22"/>
    </row>
    <row r="229" spans="1:22" ht="14.25" x14ac:dyDescent="0.2">
      <c r="A229" s="19"/>
      <c r="B229" s="19"/>
      <c r="C229" s="19" t="s">
        <v>827</v>
      </c>
      <c r="D229" s="20"/>
      <c r="E229" s="9"/>
      <c r="F229" s="22">
        <f>Source!AN216</f>
        <v>894.77</v>
      </c>
      <c r="G229" s="21" t="str">
        <f>Source!DF216</f>
        <v/>
      </c>
      <c r="H229" s="9">
        <f>Source!AV216</f>
        <v>1</v>
      </c>
      <c r="I229" s="9">
        <f>IF(Source!BS216&lt;&gt; 0, Source!BS216, 1)</f>
        <v>1</v>
      </c>
      <c r="J229" s="24">
        <f>Source!R216</f>
        <v>3579.08</v>
      </c>
      <c r="K229" s="22"/>
    </row>
    <row r="230" spans="1:22" ht="14.25" x14ac:dyDescent="0.2">
      <c r="A230" s="19"/>
      <c r="B230" s="19"/>
      <c r="C230" s="19" t="s">
        <v>834</v>
      </c>
      <c r="D230" s="20"/>
      <c r="E230" s="9"/>
      <c r="F230" s="22">
        <f>Source!AL216</f>
        <v>0.63</v>
      </c>
      <c r="G230" s="21" t="str">
        <f>Source!DD216</f>
        <v/>
      </c>
      <c r="H230" s="9">
        <f>Source!AW216</f>
        <v>1</v>
      </c>
      <c r="I230" s="9">
        <f>IF(Source!BC216&lt;&gt; 0, Source!BC216, 1)</f>
        <v>1</v>
      </c>
      <c r="J230" s="22">
        <f>Source!P216</f>
        <v>2.52</v>
      </c>
      <c r="K230" s="22"/>
    </row>
    <row r="231" spans="1:22" ht="14.25" x14ac:dyDescent="0.2">
      <c r="A231" s="19"/>
      <c r="B231" s="19"/>
      <c r="C231" s="19" t="s">
        <v>828</v>
      </c>
      <c r="D231" s="20" t="s">
        <v>829</v>
      </c>
      <c r="E231" s="9">
        <f>Source!AT216</f>
        <v>70</v>
      </c>
      <c r="F231" s="22"/>
      <c r="G231" s="21"/>
      <c r="H231" s="9"/>
      <c r="I231" s="9"/>
      <c r="J231" s="22">
        <f>SUM(R226:R230)</f>
        <v>3483.28</v>
      </c>
      <c r="K231" s="22"/>
    </row>
    <row r="232" spans="1:22" ht="14.25" x14ac:dyDescent="0.2">
      <c r="A232" s="19"/>
      <c r="B232" s="19"/>
      <c r="C232" s="19" t="s">
        <v>830</v>
      </c>
      <c r="D232" s="20" t="s">
        <v>829</v>
      </c>
      <c r="E232" s="9">
        <f>Source!AU216</f>
        <v>10</v>
      </c>
      <c r="F232" s="22"/>
      <c r="G232" s="21"/>
      <c r="H232" s="9"/>
      <c r="I232" s="9"/>
      <c r="J232" s="22">
        <f>SUM(T226:T231)</f>
        <v>497.61</v>
      </c>
      <c r="K232" s="22"/>
    </row>
    <row r="233" spans="1:22" ht="14.25" x14ac:dyDescent="0.2">
      <c r="A233" s="19"/>
      <c r="B233" s="19"/>
      <c r="C233" s="19" t="s">
        <v>831</v>
      </c>
      <c r="D233" s="20" t="s">
        <v>829</v>
      </c>
      <c r="E233" s="9">
        <f>108</f>
        <v>108</v>
      </c>
      <c r="F233" s="22"/>
      <c r="G233" s="21"/>
      <c r="H233" s="9"/>
      <c r="I233" s="9"/>
      <c r="J233" s="22">
        <f>SUM(V226:V232)</f>
        <v>3865.41</v>
      </c>
      <c r="K233" s="22"/>
    </row>
    <row r="234" spans="1:22" ht="14.25" x14ac:dyDescent="0.2">
      <c r="A234" s="19"/>
      <c r="B234" s="19"/>
      <c r="C234" s="19" t="s">
        <v>832</v>
      </c>
      <c r="D234" s="20" t="s">
        <v>833</v>
      </c>
      <c r="E234" s="9">
        <f>Source!AQ216</f>
        <v>1.75</v>
      </c>
      <c r="F234" s="22"/>
      <c r="G234" s="21" t="str">
        <f>Source!DI216</f>
        <v/>
      </c>
      <c r="H234" s="9">
        <f>Source!AV216</f>
        <v>1</v>
      </c>
      <c r="I234" s="9"/>
      <c r="J234" s="22"/>
      <c r="K234" s="22">
        <f>Source!U216</f>
        <v>7</v>
      </c>
    </row>
    <row r="235" spans="1:22" ht="15" x14ac:dyDescent="0.25">
      <c r="A235" s="27"/>
      <c r="B235" s="27"/>
      <c r="C235" s="27"/>
      <c r="D235" s="27"/>
      <c r="E235" s="27"/>
      <c r="F235" s="27"/>
      <c r="G235" s="27"/>
      <c r="H235" s="27"/>
      <c r="I235" s="60">
        <f>J227+J228+J230+J231+J232+J233</f>
        <v>18469.580000000002</v>
      </c>
      <c r="J235" s="60"/>
      <c r="K235" s="28">
        <f>IF(Source!I216&lt;&gt;0, ROUND(I235/Source!I216, 2), 0)</f>
        <v>4617.3999999999996</v>
      </c>
      <c r="P235" s="25">
        <f>I235</f>
        <v>18469.580000000002</v>
      </c>
    </row>
    <row r="236" spans="1:22" ht="71.25" x14ac:dyDescent="0.2">
      <c r="A236" s="19">
        <v>19</v>
      </c>
      <c r="B236" s="19" t="str">
        <f>Source!F217</f>
        <v>1.23-2103-21-1/1</v>
      </c>
      <c r="C236" s="19" t="str">
        <f>Source!G217</f>
        <v>Техническое обслуживание преобразователей давления, перепада давления, тензорезисторных, дифференциальных (Сапфир) / Регулятор перепада давлений</v>
      </c>
      <c r="D236" s="20" t="str">
        <f>Source!H217</f>
        <v>шт.</v>
      </c>
      <c r="E236" s="9">
        <f>Source!I217</f>
        <v>4</v>
      </c>
      <c r="F236" s="22"/>
      <c r="G236" s="21"/>
      <c r="H236" s="9"/>
      <c r="I236" s="9"/>
      <c r="J236" s="22"/>
      <c r="K236" s="22"/>
      <c r="Q236">
        <f>ROUND((Source!BZ217/100)*ROUND((Source!AF217*Source!AV217)*Source!I217, 2), 2)</f>
        <v>3576.66</v>
      </c>
      <c r="R236">
        <f>Source!X217</f>
        <v>3576.66</v>
      </c>
      <c r="S236">
        <f>ROUND((Source!CA217/100)*ROUND((Source!AF217*Source!AV217)*Source!I217, 2), 2)</f>
        <v>510.95</v>
      </c>
      <c r="T236">
        <f>Source!Y217</f>
        <v>510.95</v>
      </c>
      <c r="U236">
        <f>ROUND((175/100)*ROUND((Source!AE217*Source!AV217)*Source!I217, 2), 2)</f>
        <v>0</v>
      </c>
      <c r="V236">
        <f>ROUND((108/100)*ROUND(Source!CS217*Source!I217, 2), 2)</f>
        <v>0</v>
      </c>
    </row>
    <row r="237" spans="1:22" ht="14.25" x14ac:dyDescent="0.2">
      <c r="A237" s="19"/>
      <c r="B237" s="19"/>
      <c r="C237" s="19" t="s">
        <v>825</v>
      </c>
      <c r="D237" s="20"/>
      <c r="E237" s="9"/>
      <c r="F237" s="22">
        <f>Source!AO217</f>
        <v>638.69000000000005</v>
      </c>
      <c r="G237" s="21" t="str">
        <f>Source!DG217</f>
        <v>)*2</v>
      </c>
      <c r="H237" s="9">
        <f>Source!AV217</f>
        <v>1</v>
      </c>
      <c r="I237" s="9">
        <f>IF(Source!BA217&lt;&gt; 0, Source!BA217, 1)</f>
        <v>1</v>
      </c>
      <c r="J237" s="22">
        <f>Source!S217</f>
        <v>5109.5200000000004</v>
      </c>
      <c r="K237" s="22"/>
    </row>
    <row r="238" spans="1:22" ht="14.25" x14ac:dyDescent="0.2">
      <c r="A238" s="19"/>
      <c r="B238" s="19"/>
      <c r="C238" s="19" t="s">
        <v>834</v>
      </c>
      <c r="D238" s="20"/>
      <c r="E238" s="9"/>
      <c r="F238" s="22">
        <f>Source!AL217</f>
        <v>19.14</v>
      </c>
      <c r="G238" s="21" t="str">
        <f>Source!DD217</f>
        <v>)*2</v>
      </c>
      <c r="H238" s="9">
        <f>Source!AW217</f>
        <v>1</v>
      </c>
      <c r="I238" s="9">
        <f>IF(Source!BC217&lt;&gt; 0, Source!BC217, 1)</f>
        <v>1</v>
      </c>
      <c r="J238" s="22">
        <f>Source!P217</f>
        <v>153.12</v>
      </c>
      <c r="K238" s="22"/>
    </row>
    <row r="239" spans="1:22" ht="14.25" x14ac:dyDescent="0.2">
      <c r="A239" s="19"/>
      <c r="B239" s="19"/>
      <c r="C239" s="19" t="s">
        <v>828</v>
      </c>
      <c r="D239" s="20" t="s">
        <v>829</v>
      </c>
      <c r="E239" s="9">
        <f>Source!AT217</f>
        <v>70</v>
      </c>
      <c r="F239" s="22"/>
      <c r="G239" s="21"/>
      <c r="H239" s="9"/>
      <c r="I239" s="9"/>
      <c r="J239" s="22">
        <f>SUM(R236:R238)</f>
        <v>3576.66</v>
      </c>
      <c r="K239" s="22"/>
    </row>
    <row r="240" spans="1:22" ht="14.25" x14ac:dyDescent="0.2">
      <c r="A240" s="19"/>
      <c r="B240" s="19"/>
      <c r="C240" s="19" t="s">
        <v>830</v>
      </c>
      <c r="D240" s="20" t="s">
        <v>829</v>
      </c>
      <c r="E240" s="9">
        <f>Source!AU217</f>
        <v>10</v>
      </c>
      <c r="F240" s="22"/>
      <c r="G240" s="21"/>
      <c r="H240" s="9"/>
      <c r="I240" s="9"/>
      <c r="J240" s="22">
        <f>SUM(T236:T239)</f>
        <v>510.95</v>
      </c>
      <c r="K240" s="22"/>
    </row>
    <row r="241" spans="1:22" ht="14.25" x14ac:dyDescent="0.2">
      <c r="A241" s="19"/>
      <c r="B241" s="19"/>
      <c r="C241" s="19" t="s">
        <v>832</v>
      </c>
      <c r="D241" s="20" t="s">
        <v>833</v>
      </c>
      <c r="E241" s="9">
        <f>Source!AQ217</f>
        <v>0.77</v>
      </c>
      <c r="F241" s="22"/>
      <c r="G241" s="21" t="str">
        <f>Source!DI217</f>
        <v>)*2</v>
      </c>
      <c r="H241" s="9">
        <f>Source!AV217</f>
        <v>1</v>
      </c>
      <c r="I241" s="9"/>
      <c r="J241" s="22"/>
      <c r="K241" s="22">
        <f>Source!U217</f>
        <v>6.16</v>
      </c>
    </row>
    <row r="242" spans="1:22" ht="15" x14ac:dyDescent="0.25">
      <c r="A242" s="27"/>
      <c r="B242" s="27"/>
      <c r="C242" s="27"/>
      <c r="D242" s="27"/>
      <c r="E242" s="27"/>
      <c r="F242" s="27"/>
      <c r="G242" s="27"/>
      <c r="H242" s="27"/>
      <c r="I242" s="60">
        <f>J237+J238+J239+J240</f>
        <v>9350.25</v>
      </c>
      <c r="J242" s="60"/>
      <c r="K242" s="28">
        <f>IF(Source!I217&lt;&gt;0, ROUND(I242/Source!I217, 2), 0)</f>
        <v>2337.56</v>
      </c>
      <c r="P242" s="25">
        <f>I242</f>
        <v>9350.25</v>
      </c>
    </row>
    <row r="243" spans="1:22" ht="42.75" x14ac:dyDescent="0.2">
      <c r="A243" s="19">
        <v>20</v>
      </c>
      <c r="B243" s="19" t="str">
        <f>Source!F218</f>
        <v>1.23-2103-41-1/1</v>
      </c>
      <c r="C243" s="19" t="str">
        <f>Source!G218</f>
        <v>Техническое обслуживание регулирующего клапана/ Клапан электромагнитный, муфтовый</v>
      </c>
      <c r="D243" s="20" t="str">
        <f>Source!H218</f>
        <v>шт.</v>
      </c>
      <c r="E243" s="9">
        <f>Source!I218</f>
        <v>4</v>
      </c>
      <c r="F243" s="22"/>
      <c r="G243" s="21"/>
      <c r="H243" s="9"/>
      <c r="I243" s="9"/>
      <c r="J243" s="22"/>
      <c r="K243" s="22"/>
      <c r="Q243">
        <f>ROUND((Source!BZ218/100)*ROUND((Source!AF218*Source!AV218)*Source!I218, 2), 2)</f>
        <v>1164.8</v>
      </c>
      <c r="R243">
        <f>Source!X218</f>
        <v>1164.8</v>
      </c>
      <c r="S243">
        <f>ROUND((Source!CA218/100)*ROUND((Source!AF218*Source!AV218)*Source!I218, 2), 2)</f>
        <v>166.4</v>
      </c>
      <c r="T243">
        <f>Source!Y218</f>
        <v>166.4</v>
      </c>
      <c r="U243">
        <f>ROUND((175/100)*ROUND((Source!AE218*Source!AV218)*Source!I218, 2), 2)</f>
        <v>693.98</v>
      </c>
      <c r="V243">
        <f>ROUND((108/100)*ROUND(Source!CS218*Source!I218, 2), 2)</f>
        <v>428.28</v>
      </c>
    </row>
    <row r="244" spans="1:22" x14ac:dyDescent="0.2">
      <c r="C244" s="23" t="str">
        <f>"Объем: "&amp;Source!I218&amp;"=1+"&amp;"1+"&amp;"1+"&amp;"1"</f>
        <v>Объем: 4=1+1+1+1</v>
      </c>
    </row>
    <row r="245" spans="1:22" ht="14.25" x14ac:dyDescent="0.2">
      <c r="A245" s="19"/>
      <c r="B245" s="19"/>
      <c r="C245" s="19" t="s">
        <v>825</v>
      </c>
      <c r="D245" s="20"/>
      <c r="E245" s="9"/>
      <c r="F245" s="22">
        <f>Source!AO218</f>
        <v>208</v>
      </c>
      <c r="G245" s="21" t="str">
        <f>Source!DG218</f>
        <v>)*2</v>
      </c>
      <c r="H245" s="9">
        <f>Source!AV218</f>
        <v>1</v>
      </c>
      <c r="I245" s="9">
        <f>IF(Source!BA218&lt;&gt; 0, Source!BA218, 1)</f>
        <v>1</v>
      </c>
      <c r="J245" s="22">
        <f>Source!S218</f>
        <v>1664</v>
      </c>
      <c r="K245" s="22"/>
    </row>
    <row r="246" spans="1:22" ht="14.25" x14ac:dyDescent="0.2">
      <c r="A246" s="19"/>
      <c r="B246" s="19"/>
      <c r="C246" s="19" t="s">
        <v>826</v>
      </c>
      <c r="D246" s="20"/>
      <c r="E246" s="9"/>
      <c r="F246" s="22">
        <f>Source!AM218</f>
        <v>78.180000000000007</v>
      </c>
      <c r="G246" s="21" t="str">
        <f>Source!DE218</f>
        <v>)*2</v>
      </c>
      <c r="H246" s="9">
        <f>Source!AV218</f>
        <v>1</v>
      </c>
      <c r="I246" s="9">
        <f>IF(Source!BB218&lt;&gt; 0, Source!BB218, 1)</f>
        <v>1</v>
      </c>
      <c r="J246" s="22">
        <f>Source!Q218</f>
        <v>625.44000000000005</v>
      </c>
      <c r="K246" s="22"/>
    </row>
    <row r="247" spans="1:22" ht="14.25" x14ac:dyDescent="0.2">
      <c r="A247" s="19"/>
      <c r="B247" s="19"/>
      <c r="C247" s="19" t="s">
        <v>827</v>
      </c>
      <c r="D247" s="20"/>
      <c r="E247" s="9"/>
      <c r="F247" s="22">
        <f>Source!AN218</f>
        <v>49.57</v>
      </c>
      <c r="G247" s="21" t="str">
        <f>Source!DF218</f>
        <v>)*2</v>
      </c>
      <c r="H247" s="9">
        <f>Source!AV218</f>
        <v>1</v>
      </c>
      <c r="I247" s="9">
        <f>IF(Source!BS218&lt;&gt; 0, Source!BS218, 1)</f>
        <v>1</v>
      </c>
      <c r="J247" s="24">
        <f>Source!R218</f>
        <v>396.56</v>
      </c>
      <c r="K247" s="22"/>
    </row>
    <row r="248" spans="1:22" ht="14.25" x14ac:dyDescent="0.2">
      <c r="A248" s="19"/>
      <c r="B248" s="19"/>
      <c r="C248" s="19" t="s">
        <v>828</v>
      </c>
      <c r="D248" s="20" t="s">
        <v>829</v>
      </c>
      <c r="E248" s="9">
        <f>Source!AT218</f>
        <v>70</v>
      </c>
      <c r="F248" s="22"/>
      <c r="G248" s="21"/>
      <c r="H248" s="9"/>
      <c r="I248" s="9"/>
      <c r="J248" s="22">
        <f>SUM(R243:R247)</f>
        <v>1164.8</v>
      </c>
      <c r="K248" s="22"/>
    </row>
    <row r="249" spans="1:22" ht="14.25" x14ac:dyDescent="0.2">
      <c r="A249" s="19"/>
      <c r="B249" s="19"/>
      <c r="C249" s="19" t="s">
        <v>830</v>
      </c>
      <c r="D249" s="20" t="s">
        <v>829</v>
      </c>
      <c r="E249" s="9">
        <f>Source!AU218</f>
        <v>10</v>
      </c>
      <c r="F249" s="22"/>
      <c r="G249" s="21"/>
      <c r="H249" s="9"/>
      <c r="I249" s="9"/>
      <c r="J249" s="22">
        <f>SUM(T243:T248)</f>
        <v>166.4</v>
      </c>
      <c r="K249" s="22"/>
    </row>
    <row r="250" spans="1:22" ht="14.25" x14ac:dyDescent="0.2">
      <c r="A250" s="19"/>
      <c r="B250" s="19"/>
      <c r="C250" s="19" t="s">
        <v>831</v>
      </c>
      <c r="D250" s="20" t="s">
        <v>829</v>
      </c>
      <c r="E250" s="9">
        <f>108</f>
        <v>108</v>
      </c>
      <c r="F250" s="22"/>
      <c r="G250" s="21"/>
      <c r="H250" s="9"/>
      <c r="I250" s="9"/>
      <c r="J250" s="22">
        <f>SUM(V243:V249)</f>
        <v>428.28</v>
      </c>
      <c r="K250" s="22"/>
    </row>
    <row r="251" spans="1:22" ht="14.25" x14ac:dyDescent="0.2">
      <c r="A251" s="19"/>
      <c r="B251" s="19"/>
      <c r="C251" s="19" t="s">
        <v>832</v>
      </c>
      <c r="D251" s="20" t="s">
        <v>833</v>
      </c>
      <c r="E251" s="9">
        <f>Source!AQ218</f>
        <v>0.37</v>
      </c>
      <c r="F251" s="22"/>
      <c r="G251" s="21" t="str">
        <f>Source!DI218</f>
        <v>)*2</v>
      </c>
      <c r="H251" s="9">
        <f>Source!AV218</f>
        <v>1</v>
      </c>
      <c r="I251" s="9"/>
      <c r="J251" s="22"/>
      <c r="K251" s="22">
        <f>Source!U218</f>
        <v>2.96</v>
      </c>
    </row>
    <row r="252" spans="1:22" ht="15" x14ac:dyDescent="0.25">
      <c r="A252" s="27"/>
      <c r="B252" s="27"/>
      <c r="C252" s="27"/>
      <c r="D252" s="27"/>
      <c r="E252" s="27"/>
      <c r="F252" s="27"/>
      <c r="G252" s="27"/>
      <c r="H252" s="27"/>
      <c r="I252" s="60">
        <f>J245+J246+J248+J249+J250</f>
        <v>4048.92</v>
      </c>
      <c r="J252" s="60"/>
      <c r="K252" s="28">
        <f>IF(Source!I218&lt;&gt;0, ROUND(I252/Source!I218, 2), 0)</f>
        <v>1012.23</v>
      </c>
      <c r="P252" s="25">
        <f>I252</f>
        <v>4048.92</v>
      </c>
    </row>
    <row r="253" spans="1:22" ht="28.5" x14ac:dyDescent="0.2">
      <c r="A253" s="19">
        <v>21</v>
      </c>
      <c r="B253" s="19" t="str">
        <f>Source!F219</f>
        <v>1.23-2103-22-3/1</v>
      </c>
      <c r="C253" s="19" t="str">
        <f>Source!G219</f>
        <v>Техническое обслуживание расходомера электромагнитного</v>
      </c>
      <c r="D253" s="20" t="str">
        <f>Source!H219</f>
        <v>шт.</v>
      </c>
      <c r="E253" s="9">
        <f>Source!I219</f>
        <v>12</v>
      </c>
      <c r="F253" s="22"/>
      <c r="G253" s="21"/>
      <c r="H253" s="9"/>
      <c r="I253" s="9"/>
      <c r="J253" s="22"/>
      <c r="K253" s="22"/>
      <c r="Q253">
        <f>ROUND((Source!BZ219/100)*ROUND((Source!AF219*Source!AV219)*Source!I219, 2), 2)</f>
        <v>12541.62</v>
      </c>
      <c r="R253">
        <f>Source!X219</f>
        <v>12541.62</v>
      </c>
      <c r="S253">
        <f>ROUND((Source!CA219/100)*ROUND((Source!AF219*Source!AV219)*Source!I219, 2), 2)</f>
        <v>1791.66</v>
      </c>
      <c r="T253">
        <f>Source!Y219</f>
        <v>1791.66</v>
      </c>
      <c r="U253">
        <f>ROUND((175/100)*ROUND((Source!AE219*Source!AV219)*Source!I219, 2), 2)</f>
        <v>0</v>
      </c>
      <c r="V253">
        <f>ROUND((108/100)*ROUND(Source!CS219*Source!I219, 2), 2)</f>
        <v>0</v>
      </c>
    </row>
    <row r="254" spans="1:22" x14ac:dyDescent="0.2">
      <c r="C254" s="23" t="str">
        <f>"Объем: "&amp;Source!I219&amp;"=(1+"&amp;"1+"&amp;"1)*"&amp;"4"</f>
        <v>Объем: 12=(1+1+1)*4</v>
      </c>
    </row>
    <row r="255" spans="1:22" ht="14.25" x14ac:dyDescent="0.2">
      <c r="A255" s="19"/>
      <c r="B255" s="19"/>
      <c r="C255" s="19" t="s">
        <v>825</v>
      </c>
      <c r="D255" s="20"/>
      <c r="E255" s="9"/>
      <c r="F255" s="22">
        <f>Source!AO219</f>
        <v>1493.05</v>
      </c>
      <c r="G255" s="21" t="str">
        <f>Source!DG219</f>
        <v/>
      </c>
      <c r="H255" s="9">
        <f>Source!AV219</f>
        <v>1</v>
      </c>
      <c r="I255" s="9">
        <f>IF(Source!BA219&lt;&gt; 0, Source!BA219, 1)</f>
        <v>1</v>
      </c>
      <c r="J255" s="22">
        <f>Source!S219</f>
        <v>17916.599999999999</v>
      </c>
      <c r="K255" s="22"/>
    </row>
    <row r="256" spans="1:22" ht="14.25" x14ac:dyDescent="0.2">
      <c r="A256" s="19"/>
      <c r="B256" s="19"/>
      <c r="C256" s="19" t="s">
        <v>834</v>
      </c>
      <c r="D256" s="20"/>
      <c r="E256" s="9"/>
      <c r="F256" s="22">
        <f>Source!AL219</f>
        <v>19.14</v>
      </c>
      <c r="G256" s="21" t="str">
        <f>Source!DD219</f>
        <v/>
      </c>
      <c r="H256" s="9">
        <f>Source!AW219</f>
        <v>1</v>
      </c>
      <c r="I256" s="9">
        <f>IF(Source!BC219&lt;&gt; 0, Source!BC219, 1)</f>
        <v>1</v>
      </c>
      <c r="J256" s="22">
        <f>Source!P219</f>
        <v>229.68</v>
      </c>
      <c r="K256" s="22"/>
    </row>
    <row r="257" spans="1:22" ht="14.25" x14ac:dyDescent="0.2">
      <c r="A257" s="19"/>
      <c r="B257" s="19"/>
      <c r="C257" s="19" t="s">
        <v>828</v>
      </c>
      <c r="D257" s="20" t="s">
        <v>829</v>
      </c>
      <c r="E257" s="9">
        <f>Source!AT219</f>
        <v>70</v>
      </c>
      <c r="F257" s="22"/>
      <c r="G257" s="21"/>
      <c r="H257" s="9"/>
      <c r="I257" s="9"/>
      <c r="J257" s="22">
        <f>SUM(R253:R256)</f>
        <v>12541.62</v>
      </c>
      <c r="K257" s="22"/>
    </row>
    <row r="258" spans="1:22" ht="14.25" x14ac:dyDescent="0.2">
      <c r="A258" s="19"/>
      <c r="B258" s="19"/>
      <c r="C258" s="19" t="s">
        <v>830</v>
      </c>
      <c r="D258" s="20" t="s">
        <v>829</v>
      </c>
      <c r="E258" s="9">
        <f>Source!AU219</f>
        <v>10</v>
      </c>
      <c r="F258" s="22"/>
      <c r="G258" s="21"/>
      <c r="H258" s="9"/>
      <c r="I258" s="9"/>
      <c r="J258" s="22">
        <f>SUM(T253:T257)</f>
        <v>1791.66</v>
      </c>
      <c r="K258" s="22"/>
    </row>
    <row r="259" spans="1:22" ht="14.25" x14ac:dyDescent="0.2">
      <c r="A259" s="19"/>
      <c r="B259" s="19"/>
      <c r="C259" s="19" t="s">
        <v>832</v>
      </c>
      <c r="D259" s="20" t="s">
        <v>833</v>
      </c>
      <c r="E259" s="9">
        <f>Source!AQ219</f>
        <v>1.8</v>
      </c>
      <c r="F259" s="22"/>
      <c r="G259" s="21" t="str">
        <f>Source!DI219</f>
        <v/>
      </c>
      <c r="H259" s="9">
        <f>Source!AV219</f>
        <v>1</v>
      </c>
      <c r="I259" s="9"/>
      <c r="J259" s="22"/>
      <c r="K259" s="22">
        <f>Source!U219</f>
        <v>21.6</v>
      </c>
    </row>
    <row r="260" spans="1:22" ht="15" x14ac:dyDescent="0.25">
      <c r="A260" s="27"/>
      <c r="B260" s="27"/>
      <c r="C260" s="27"/>
      <c r="D260" s="27"/>
      <c r="E260" s="27"/>
      <c r="F260" s="27"/>
      <c r="G260" s="27"/>
      <c r="H260" s="27"/>
      <c r="I260" s="60">
        <f>J255+J256+J257+J258</f>
        <v>32479.56</v>
      </c>
      <c r="J260" s="60"/>
      <c r="K260" s="28">
        <f>IF(Source!I219&lt;&gt;0, ROUND(I260/Source!I219, 2), 0)</f>
        <v>2706.63</v>
      </c>
      <c r="P260" s="25">
        <f>I260</f>
        <v>32479.56</v>
      </c>
    </row>
    <row r="261" spans="1:22" ht="42.75" x14ac:dyDescent="0.2">
      <c r="A261" s="19">
        <v>22</v>
      </c>
      <c r="B261" s="19" t="str">
        <f>Source!F220</f>
        <v>1.15-2203-7-1/1</v>
      </c>
      <c r="C261" s="19" t="str">
        <f>Source!G220</f>
        <v>Техническое обслуживание крана шарового латунного никелированного диаметром до 25 мм</v>
      </c>
      <c r="D261" s="20" t="str">
        <f>Source!H220</f>
        <v>10 шт.</v>
      </c>
      <c r="E261" s="9">
        <f>Source!I220</f>
        <v>16.8</v>
      </c>
      <c r="F261" s="22"/>
      <c r="G261" s="21"/>
      <c r="H261" s="9"/>
      <c r="I261" s="9"/>
      <c r="J261" s="22"/>
      <c r="K261" s="22"/>
      <c r="Q261">
        <f>ROUND((Source!BZ220/100)*ROUND((Source!AF220*Source!AV220)*Source!I220, 2), 2)</f>
        <v>3267.75</v>
      </c>
      <c r="R261">
        <f>Source!X220</f>
        <v>3267.75</v>
      </c>
      <c r="S261">
        <f>ROUND((Source!CA220/100)*ROUND((Source!AF220*Source!AV220)*Source!I220, 2), 2)</f>
        <v>466.82</v>
      </c>
      <c r="T261">
        <f>Source!Y220</f>
        <v>466.82</v>
      </c>
      <c r="U261">
        <f>ROUND((175/100)*ROUND((Source!AE220*Source!AV220)*Source!I220, 2), 2)</f>
        <v>0</v>
      </c>
      <c r="V261">
        <f>ROUND((108/100)*ROUND(Source!CS220*Source!I220, 2), 2)</f>
        <v>0</v>
      </c>
    </row>
    <row r="262" spans="1:22" ht="25.5" x14ac:dyDescent="0.2">
      <c r="C262" s="23" t="str">
        <f>"Объем: "&amp;Source!I220&amp;"=((14+"&amp;"1+"&amp;"4+"&amp;"23)*"&amp;"3+"&amp;"(13+"&amp;"1+"&amp;"1+"&amp;"4+"&amp;"23))/"&amp;"10"</f>
        <v>Объем: 16,8=((14+1+4+23)*3+(13+1+1+4+23))/10</v>
      </c>
    </row>
    <row r="263" spans="1:22" ht="14.25" x14ac:dyDescent="0.2">
      <c r="A263" s="19"/>
      <c r="B263" s="19"/>
      <c r="C263" s="19" t="s">
        <v>825</v>
      </c>
      <c r="D263" s="20"/>
      <c r="E263" s="9"/>
      <c r="F263" s="22">
        <f>Source!AO220</f>
        <v>277.87</v>
      </c>
      <c r="G263" s="21" t="str">
        <f>Source!DG220</f>
        <v/>
      </c>
      <c r="H263" s="9">
        <f>Source!AV220</f>
        <v>1</v>
      </c>
      <c r="I263" s="9">
        <f>IF(Source!BA220&lt;&gt; 0, Source!BA220, 1)</f>
        <v>1</v>
      </c>
      <c r="J263" s="22">
        <f>Source!S220</f>
        <v>4668.22</v>
      </c>
      <c r="K263" s="22"/>
    </row>
    <row r="264" spans="1:22" ht="14.25" x14ac:dyDescent="0.2">
      <c r="A264" s="19"/>
      <c r="B264" s="19"/>
      <c r="C264" s="19" t="s">
        <v>828</v>
      </c>
      <c r="D264" s="20" t="s">
        <v>829</v>
      </c>
      <c r="E264" s="9">
        <f>Source!AT220</f>
        <v>70</v>
      </c>
      <c r="F264" s="22"/>
      <c r="G264" s="21"/>
      <c r="H264" s="9"/>
      <c r="I264" s="9"/>
      <c r="J264" s="22">
        <f>SUM(R261:R263)</f>
        <v>3267.75</v>
      </c>
      <c r="K264" s="22"/>
    </row>
    <row r="265" spans="1:22" ht="14.25" x14ac:dyDescent="0.2">
      <c r="A265" s="19"/>
      <c r="B265" s="19"/>
      <c r="C265" s="19" t="s">
        <v>830</v>
      </c>
      <c r="D265" s="20" t="s">
        <v>829</v>
      </c>
      <c r="E265" s="9">
        <f>Source!AU220</f>
        <v>10</v>
      </c>
      <c r="F265" s="22"/>
      <c r="G265" s="21"/>
      <c r="H265" s="9"/>
      <c r="I265" s="9"/>
      <c r="J265" s="22">
        <f>SUM(T261:T264)</f>
        <v>466.82</v>
      </c>
      <c r="K265" s="22"/>
    </row>
    <row r="266" spans="1:22" ht="14.25" x14ac:dyDescent="0.2">
      <c r="A266" s="19"/>
      <c r="B266" s="19"/>
      <c r="C266" s="19" t="s">
        <v>832</v>
      </c>
      <c r="D266" s="20" t="s">
        <v>833</v>
      </c>
      <c r="E266" s="9">
        <f>Source!AQ220</f>
        <v>0.45</v>
      </c>
      <c r="F266" s="22"/>
      <c r="G266" s="21" t="str">
        <f>Source!DI220</f>
        <v/>
      </c>
      <c r="H266" s="9">
        <f>Source!AV220</f>
        <v>1</v>
      </c>
      <c r="I266" s="9"/>
      <c r="J266" s="22"/>
      <c r="K266" s="22">
        <f>Source!U220</f>
        <v>7.5600000000000005</v>
      </c>
    </row>
    <row r="267" spans="1:22" ht="15" x14ac:dyDescent="0.25">
      <c r="A267" s="27"/>
      <c r="B267" s="27"/>
      <c r="C267" s="27"/>
      <c r="D267" s="27"/>
      <c r="E267" s="27"/>
      <c r="F267" s="27"/>
      <c r="G267" s="27"/>
      <c r="H267" s="27"/>
      <c r="I267" s="60">
        <f>J263+J264+J265</f>
        <v>8402.7900000000009</v>
      </c>
      <c r="J267" s="60"/>
      <c r="K267" s="28">
        <f>IF(Source!I220&lt;&gt;0, ROUND(I267/Source!I220, 2), 0)</f>
        <v>500.17</v>
      </c>
      <c r="P267" s="25">
        <f>I267</f>
        <v>8402.7900000000009</v>
      </c>
    </row>
    <row r="268" spans="1:22" ht="42.75" x14ac:dyDescent="0.2">
      <c r="A268" s="19">
        <v>23</v>
      </c>
      <c r="B268" s="19" t="str">
        <f>Source!F221</f>
        <v>1.15-2203-7-2/1</v>
      </c>
      <c r="C268" s="19" t="str">
        <f>Source!G221</f>
        <v>Техническое обслуживание крана шарового латунного никелированного диаметром до 50 мм</v>
      </c>
      <c r="D268" s="20" t="str">
        <f>Source!H221</f>
        <v>10 шт.</v>
      </c>
      <c r="E268" s="9">
        <f>Source!I221</f>
        <v>7.5</v>
      </c>
      <c r="F268" s="22"/>
      <c r="G268" s="21"/>
      <c r="H268" s="9"/>
      <c r="I268" s="9"/>
      <c r="J268" s="22"/>
      <c r="K268" s="22"/>
      <c r="Q268">
        <f>ROUND((Source!BZ221/100)*ROUND((Source!AF221*Source!AV221)*Source!I221, 2), 2)</f>
        <v>1977.52</v>
      </c>
      <c r="R268">
        <f>Source!X221</f>
        <v>1977.52</v>
      </c>
      <c r="S268">
        <f>ROUND((Source!CA221/100)*ROUND((Source!AF221*Source!AV221)*Source!I221, 2), 2)</f>
        <v>282.5</v>
      </c>
      <c r="T268">
        <f>Source!Y221</f>
        <v>282.5</v>
      </c>
      <c r="U268">
        <f>ROUND((175/100)*ROUND((Source!AE221*Source!AV221)*Source!I221, 2), 2)</f>
        <v>0</v>
      </c>
      <c r="V268">
        <f>ROUND((108/100)*ROUND(Source!CS221*Source!I221, 2), 2)</f>
        <v>0</v>
      </c>
    </row>
    <row r="269" spans="1:22" ht="25.5" x14ac:dyDescent="0.2">
      <c r="C269" s="23" t="str">
        <f>"Объем: "&amp;Source!I221&amp;"=((4+"&amp;"7+"&amp;"3+"&amp;"2+"&amp;"2+"&amp;"1)*"&amp;"3+"&amp;"(4+"&amp;"6+"&amp;"1+"&amp;"3+"&amp;"2+"&amp;"1+"&amp;"1))/"&amp;"10"</f>
        <v>Объем: 7,5=((4+7+3+2+2+1)*3+(4+6+1+3+2+1+1))/10</v>
      </c>
    </row>
    <row r="270" spans="1:22" ht="14.25" x14ac:dyDescent="0.2">
      <c r="A270" s="19"/>
      <c r="B270" s="19"/>
      <c r="C270" s="19" t="s">
        <v>825</v>
      </c>
      <c r="D270" s="20"/>
      <c r="E270" s="9"/>
      <c r="F270" s="22">
        <f>Source!AO221</f>
        <v>376.67</v>
      </c>
      <c r="G270" s="21" t="str">
        <f>Source!DG221</f>
        <v/>
      </c>
      <c r="H270" s="9">
        <f>Source!AV221</f>
        <v>1</v>
      </c>
      <c r="I270" s="9">
        <f>IF(Source!BA221&lt;&gt; 0, Source!BA221, 1)</f>
        <v>1</v>
      </c>
      <c r="J270" s="22">
        <f>Source!S221</f>
        <v>2825.03</v>
      </c>
      <c r="K270" s="22"/>
    </row>
    <row r="271" spans="1:22" ht="14.25" x14ac:dyDescent="0.2">
      <c r="A271" s="19"/>
      <c r="B271" s="19"/>
      <c r="C271" s="19" t="s">
        <v>828</v>
      </c>
      <c r="D271" s="20" t="s">
        <v>829</v>
      </c>
      <c r="E271" s="9">
        <f>Source!AT221</f>
        <v>70</v>
      </c>
      <c r="F271" s="22"/>
      <c r="G271" s="21"/>
      <c r="H271" s="9"/>
      <c r="I271" s="9"/>
      <c r="J271" s="22">
        <f>SUM(R268:R270)</f>
        <v>1977.52</v>
      </c>
      <c r="K271" s="22"/>
    </row>
    <row r="272" spans="1:22" ht="14.25" x14ac:dyDescent="0.2">
      <c r="A272" s="19"/>
      <c r="B272" s="19"/>
      <c r="C272" s="19" t="s">
        <v>830</v>
      </c>
      <c r="D272" s="20" t="s">
        <v>829</v>
      </c>
      <c r="E272" s="9">
        <f>Source!AU221</f>
        <v>10</v>
      </c>
      <c r="F272" s="22"/>
      <c r="G272" s="21"/>
      <c r="H272" s="9"/>
      <c r="I272" s="9"/>
      <c r="J272" s="22">
        <f>SUM(T268:T271)</f>
        <v>282.5</v>
      </c>
      <c r="K272" s="22"/>
    </row>
    <row r="273" spans="1:22" ht="14.25" x14ac:dyDescent="0.2">
      <c r="A273" s="19"/>
      <c r="B273" s="19"/>
      <c r="C273" s="19" t="s">
        <v>832</v>
      </c>
      <c r="D273" s="20" t="s">
        <v>833</v>
      </c>
      <c r="E273" s="9">
        <f>Source!AQ221</f>
        <v>0.61</v>
      </c>
      <c r="F273" s="22"/>
      <c r="G273" s="21" t="str">
        <f>Source!DI221</f>
        <v/>
      </c>
      <c r="H273" s="9">
        <f>Source!AV221</f>
        <v>1</v>
      </c>
      <c r="I273" s="9"/>
      <c r="J273" s="22"/>
      <c r="K273" s="22">
        <f>Source!U221</f>
        <v>4.5750000000000002</v>
      </c>
    </row>
    <row r="274" spans="1:22" ht="15" x14ac:dyDescent="0.25">
      <c r="A274" s="27"/>
      <c r="B274" s="27"/>
      <c r="C274" s="27"/>
      <c r="D274" s="27"/>
      <c r="E274" s="27"/>
      <c r="F274" s="27"/>
      <c r="G274" s="27"/>
      <c r="H274" s="27"/>
      <c r="I274" s="60">
        <f>J270+J271+J272</f>
        <v>5085.05</v>
      </c>
      <c r="J274" s="60"/>
      <c r="K274" s="28">
        <f>IF(Source!I221&lt;&gt;0, ROUND(I274/Source!I221, 2), 0)</f>
        <v>678.01</v>
      </c>
      <c r="P274" s="25">
        <f>I274</f>
        <v>5085.05</v>
      </c>
    </row>
    <row r="275" spans="1:22" ht="57" x14ac:dyDescent="0.2">
      <c r="A275" s="19">
        <v>24</v>
      </c>
      <c r="B275" s="19" t="str">
        <f>Source!F222</f>
        <v>1.15-2303-5-1/1</v>
      </c>
      <c r="C275" s="19" t="str">
        <f>Source!G222</f>
        <v>Техническое обслуживание фильтров водяных фланцевых сетчатых диаметром до 65 мм/ Грязевик абонентский стальной фланцевый</v>
      </c>
      <c r="D275" s="20" t="str">
        <f>Source!H222</f>
        <v>10 шт.</v>
      </c>
      <c r="E275" s="9">
        <f>Source!I222</f>
        <v>0.4</v>
      </c>
      <c r="F275" s="22"/>
      <c r="G275" s="21"/>
      <c r="H275" s="9"/>
      <c r="I275" s="9"/>
      <c r="J275" s="22"/>
      <c r="K275" s="22"/>
      <c r="Q275">
        <f>ROUND((Source!BZ222/100)*ROUND((Source!AF222*Source!AV222)*Source!I222, 2), 2)</f>
        <v>566.66</v>
      </c>
      <c r="R275">
        <f>Source!X222</f>
        <v>566.66</v>
      </c>
      <c r="S275">
        <f>ROUND((Source!CA222/100)*ROUND((Source!AF222*Source!AV222)*Source!I222, 2), 2)</f>
        <v>80.95</v>
      </c>
      <c r="T275">
        <f>Source!Y222</f>
        <v>80.95</v>
      </c>
      <c r="U275">
        <f>ROUND((175/100)*ROUND((Source!AE222*Source!AV222)*Source!I222, 2), 2)</f>
        <v>0</v>
      </c>
      <c r="V275">
        <f>ROUND((108/100)*ROUND(Source!CS222*Source!I222, 2), 2)</f>
        <v>0</v>
      </c>
    </row>
    <row r="276" spans="1:22" x14ac:dyDescent="0.2">
      <c r="C276" s="23" t="str">
        <f>"Объем: "&amp;Source!I222&amp;"=4/"&amp;"10"</f>
        <v>Объем: 0,4=4/10</v>
      </c>
    </row>
    <row r="277" spans="1:22" ht="14.25" x14ac:dyDescent="0.2">
      <c r="A277" s="19"/>
      <c r="B277" s="19"/>
      <c r="C277" s="19" t="s">
        <v>825</v>
      </c>
      <c r="D277" s="20"/>
      <c r="E277" s="9"/>
      <c r="F277" s="22">
        <f>Source!AO222</f>
        <v>2023.81</v>
      </c>
      <c r="G277" s="21" t="str">
        <f>Source!DG222</f>
        <v/>
      </c>
      <c r="H277" s="9">
        <f>Source!AV222</f>
        <v>1</v>
      </c>
      <c r="I277" s="9">
        <f>IF(Source!BA222&lt;&gt; 0, Source!BA222, 1)</f>
        <v>1</v>
      </c>
      <c r="J277" s="22">
        <f>Source!S222</f>
        <v>809.52</v>
      </c>
      <c r="K277" s="22"/>
    </row>
    <row r="278" spans="1:22" ht="14.25" x14ac:dyDescent="0.2">
      <c r="A278" s="19"/>
      <c r="B278" s="19"/>
      <c r="C278" s="19" t="s">
        <v>834</v>
      </c>
      <c r="D278" s="20"/>
      <c r="E278" s="9"/>
      <c r="F278" s="22">
        <f>Source!AL222</f>
        <v>0.38</v>
      </c>
      <c r="G278" s="21" t="str">
        <f>Source!DD222</f>
        <v/>
      </c>
      <c r="H278" s="9">
        <f>Source!AW222</f>
        <v>1</v>
      </c>
      <c r="I278" s="9">
        <f>IF(Source!BC222&lt;&gt; 0, Source!BC222, 1)</f>
        <v>1</v>
      </c>
      <c r="J278" s="22">
        <f>Source!P222</f>
        <v>0.15</v>
      </c>
      <c r="K278" s="22"/>
    </row>
    <row r="279" spans="1:22" ht="57" x14ac:dyDescent="0.2">
      <c r="A279" s="19" t="s">
        <v>192</v>
      </c>
      <c r="B279" s="19" t="str">
        <f>Source!F223</f>
        <v>21.26-1-110</v>
      </c>
      <c r="C279" s="19" t="str">
        <f>Source!G223</f>
        <v>Прокладки из терморасширенного графита для обслуживания фильтра сетчатого чугунного фланцевого диаметром 65 мм</v>
      </c>
      <c r="D279" s="20" t="str">
        <f>Source!H223</f>
        <v>шт.</v>
      </c>
      <c r="E279" s="9">
        <f>Source!I223</f>
        <v>8</v>
      </c>
      <c r="F279" s="22">
        <f>Source!AK223</f>
        <v>207.47</v>
      </c>
      <c r="G279" s="30" t="s">
        <v>3</v>
      </c>
      <c r="H279" s="9">
        <f>Source!AW223</f>
        <v>1</v>
      </c>
      <c r="I279" s="9">
        <f>IF(Source!BC223&lt;&gt; 0, Source!BC223, 1)</f>
        <v>1</v>
      </c>
      <c r="J279" s="22">
        <f>Source!O223</f>
        <v>1659.76</v>
      </c>
      <c r="K279" s="22"/>
      <c r="Q279">
        <f>ROUND((Source!BZ223/100)*ROUND((Source!AF223*Source!AV223)*Source!I223, 2), 2)</f>
        <v>0</v>
      </c>
      <c r="R279">
        <f>Source!X223</f>
        <v>0</v>
      </c>
      <c r="S279">
        <f>ROUND((Source!CA223/100)*ROUND((Source!AF223*Source!AV223)*Source!I223, 2), 2)</f>
        <v>0</v>
      </c>
      <c r="T279">
        <f>Source!Y223</f>
        <v>0</v>
      </c>
      <c r="U279">
        <f>ROUND((175/100)*ROUND((Source!AE223*Source!AV223)*Source!I223, 2), 2)</f>
        <v>0</v>
      </c>
      <c r="V279">
        <f>ROUND((108/100)*ROUND(Source!CS223*Source!I223, 2), 2)</f>
        <v>0</v>
      </c>
    </row>
    <row r="280" spans="1:22" ht="14.25" x14ac:dyDescent="0.2">
      <c r="A280" s="19"/>
      <c r="B280" s="19"/>
      <c r="C280" s="19" t="s">
        <v>828</v>
      </c>
      <c r="D280" s="20" t="s">
        <v>829</v>
      </c>
      <c r="E280" s="9">
        <f>Source!AT222</f>
        <v>70</v>
      </c>
      <c r="F280" s="22"/>
      <c r="G280" s="21"/>
      <c r="H280" s="9"/>
      <c r="I280" s="9"/>
      <c r="J280" s="22">
        <f>SUM(R275:R279)</f>
        <v>566.66</v>
      </c>
      <c r="K280" s="22"/>
    </row>
    <row r="281" spans="1:22" ht="14.25" x14ac:dyDescent="0.2">
      <c r="A281" s="19"/>
      <c r="B281" s="19"/>
      <c r="C281" s="19" t="s">
        <v>830</v>
      </c>
      <c r="D281" s="20" t="s">
        <v>829</v>
      </c>
      <c r="E281" s="9">
        <f>Source!AU222</f>
        <v>10</v>
      </c>
      <c r="F281" s="22"/>
      <c r="G281" s="21"/>
      <c r="H281" s="9"/>
      <c r="I281" s="9"/>
      <c r="J281" s="22">
        <f>SUM(T275:T280)</f>
        <v>80.95</v>
      </c>
      <c r="K281" s="22"/>
    </row>
    <row r="282" spans="1:22" ht="14.25" x14ac:dyDescent="0.2">
      <c r="A282" s="19"/>
      <c r="B282" s="19"/>
      <c r="C282" s="19" t="s">
        <v>832</v>
      </c>
      <c r="D282" s="20" t="s">
        <v>833</v>
      </c>
      <c r="E282" s="9">
        <f>Source!AQ222</f>
        <v>3.6</v>
      </c>
      <c r="F282" s="22"/>
      <c r="G282" s="21" t="str">
        <f>Source!DI222</f>
        <v/>
      </c>
      <c r="H282" s="9">
        <f>Source!AV222</f>
        <v>1</v>
      </c>
      <c r="I282" s="9"/>
      <c r="J282" s="22"/>
      <c r="K282" s="22">
        <f>Source!U222</f>
        <v>1.4400000000000002</v>
      </c>
    </row>
    <row r="283" spans="1:22" ht="15" x14ac:dyDescent="0.25">
      <c r="A283" s="27"/>
      <c r="B283" s="27"/>
      <c r="C283" s="27"/>
      <c r="D283" s="27"/>
      <c r="E283" s="27"/>
      <c r="F283" s="27"/>
      <c r="G283" s="27"/>
      <c r="H283" s="27"/>
      <c r="I283" s="60">
        <f>J277+J278+J280+J281+SUM(J279:J279)</f>
        <v>3117.04</v>
      </c>
      <c r="J283" s="60"/>
      <c r="K283" s="28">
        <f>IF(Source!I222&lt;&gt;0, ROUND(I283/Source!I222, 2), 0)</f>
        <v>7792.6</v>
      </c>
      <c r="P283" s="25">
        <f>I283</f>
        <v>3117.04</v>
      </c>
    </row>
    <row r="284" spans="1:22" ht="42.75" x14ac:dyDescent="0.2">
      <c r="A284" s="19">
        <v>25</v>
      </c>
      <c r="B284" s="19" t="str">
        <f>Source!F224</f>
        <v>1.23-2103-41-1/1</v>
      </c>
      <c r="C284" s="19" t="str">
        <f>Source!G224</f>
        <v>Техническое обслуживание регулирующего клапана/ Обратный клапан с латунным золотником</v>
      </c>
      <c r="D284" s="20" t="str">
        <f>Source!H224</f>
        <v>шт.</v>
      </c>
      <c r="E284" s="9">
        <f>Source!I224</f>
        <v>20</v>
      </c>
      <c r="F284" s="22"/>
      <c r="G284" s="21"/>
      <c r="H284" s="9"/>
      <c r="I284" s="9"/>
      <c r="J284" s="22"/>
      <c r="K284" s="22"/>
      <c r="Q284">
        <f>ROUND((Source!BZ224/100)*ROUND((Source!AF224*Source!AV224)*Source!I224, 2), 2)</f>
        <v>2912</v>
      </c>
      <c r="R284">
        <f>Source!X224</f>
        <v>2912</v>
      </c>
      <c r="S284">
        <f>ROUND((Source!CA224/100)*ROUND((Source!AF224*Source!AV224)*Source!I224, 2), 2)</f>
        <v>416</v>
      </c>
      <c r="T284">
        <f>Source!Y224</f>
        <v>416</v>
      </c>
      <c r="U284">
        <f>ROUND((175/100)*ROUND((Source!AE224*Source!AV224)*Source!I224, 2), 2)</f>
        <v>1734.95</v>
      </c>
      <c r="V284">
        <f>ROUND((108/100)*ROUND(Source!CS224*Source!I224, 2), 2)</f>
        <v>1070.71</v>
      </c>
    </row>
    <row r="285" spans="1:22" x14ac:dyDescent="0.2">
      <c r="C285" s="23" t="str">
        <f>"Объем: "&amp;Source!I224&amp;"=(2+"&amp;"1+"&amp;"2)*"&amp;"4"</f>
        <v>Объем: 20=(2+1+2)*4</v>
      </c>
    </row>
    <row r="286" spans="1:22" ht="14.25" x14ac:dyDescent="0.2">
      <c r="A286" s="19"/>
      <c r="B286" s="19"/>
      <c r="C286" s="19" t="s">
        <v>825</v>
      </c>
      <c r="D286" s="20"/>
      <c r="E286" s="9"/>
      <c r="F286" s="22">
        <f>Source!AO224</f>
        <v>208</v>
      </c>
      <c r="G286" s="21" t="str">
        <f>Source!DG224</f>
        <v/>
      </c>
      <c r="H286" s="9">
        <f>Source!AV224</f>
        <v>1</v>
      </c>
      <c r="I286" s="9">
        <f>IF(Source!BA224&lt;&gt; 0, Source!BA224, 1)</f>
        <v>1</v>
      </c>
      <c r="J286" s="22">
        <f>Source!S224</f>
        <v>4160</v>
      </c>
      <c r="K286" s="22"/>
    </row>
    <row r="287" spans="1:22" ht="14.25" x14ac:dyDescent="0.2">
      <c r="A287" s="19"/>
      <c r="B287" s="19"/>
      <c r="C287" s="19" t="s">
        <v>826</v>
      </c>
      <c r="D287" s="20"/>
      <c r="E287" s="9"/>
      <c r="F287" s="22">
        <f>Source!AM224</f>
        <v>78.180000000000007</v>
      </c>
      <c r="G287" s="21" t="str">
        <f>Source!DE224</f>
        <v/>
      </c>
      <c r="H287" s="9">
        <f>Source!AV224</f>
        <v>1</v>
      </c>
      <c r="I287" s="9">
        <f>IF(Source!BB224&lt;&gt; 0, Source!BB224, 1)</f>
        <v>1</v>
      </c>
      <c r="J287" s="22">
        <f>Source!Q224</f>
        <v>1563.6</v>
      </c>
      <c r="K287" s="22"/>
    </row>
    <row r="288" spans="1:22" ht="14.25" x14ac:dyDescent="0.2">
      <c r="A288" s="19"/>
      <c r="B288" s="19"/>
      <c r="C288" s="19" t="s">
        <v>827</v>
      </c>
      <c r="D288" s="20"/>
      <c r="E288" s="9"/>
      <c r="F288" s="22">
        <f>Source!AN224</f>
        <v>49.57</v>
      </c>
      <c r="G288" s="21" t="str">
        <f>Source!DF224</f>
        <v/>
      </c>
      <c r="H288" s="9">
        <f>Source!AV224</f>
        <v>1</v>
      </c>
      <c r="I288" s="9">
        <f>IF(Source!BS224&lt;&gt; 0, Source!BS224, 1)</f>
        <v>1</v>
      </c>
      <c r="J288" s="24">
        <f>Source!R224</f>
        <v>991.4</v>
      </c>
      <c r="K288" s="22"/>
    </row>
    <row r="289" spans="1:22" ht="14.25" x14ac:dyDescent="0.2">
      <c r="A289" s="19"/>
      <c r="B289" s="19"/>
      <c r="C289" s="19" t="s">
        <v>828</v>
      </c>
      <c r="D289" s="20" t="s">
        <v>829</v>
      </c>
      <c r="E289" s="9">
        <f>Source!AT224</f>
        <v>70</v>
      </c>
      <c r="F289" s="22"/>
      <c r="G289" s="21"/>
      <c r="H289" s="9"/>
      <c r="I289" s="9"/>
      <c r="J289" s="22">
        <f>SUM(R284:R288)</f>
        <v>2912</v>
      </c>
      <c r="K289" s="22"/>
    </row>
    <row r="290" spans="1:22" ht="14.25" x14ac:dyDescent="0.2">
      <c r="A290" s="19"/>
      <c r="B290" s="19"/>
      <c r="C290" s="19" t="s">
        <v>830</v>
      </c>
      <c r="D290" s="20" t="s">
        <v>829</v>
      </c>
      <c r="E290" s="9">
        <f>Source!AU224</f>
        <v>10</v>
      </c>
      <c r="F290" s="22"/>
      <c r="G290" s="21"/>
      <c r="H290" s="9"/>
      <c r="I290" s="9"/>
      <c r="J290" s="22">
        <f>SUM(T284:T289)</f>
        <v>416</v>
      </c>
      <c r="K290" s="22"/>
    </row>
    <row r="291" spans="1:22" ht="14.25" x14ac:dyDescent="0.2">
      <c r="A291" s="19"/>
      <c r="B291" s="19"/>
      <c r="C291" s="19" t="s">
        <v>831</v>
      </c>
      <c r="D291" s="20" t="s">
        <v>829</v>
      </c>
      <c r="E291" s="9">
        <f>108</f>
        <v>108</v>
      </c>
      <c r="F291" s="22"/>
      <c r="G291" s="21"/>
      <c r="H291" s="9"/>
      <c r="I291" s="9"/>
      <c r="J291" s="22">
        <f>SUM(V284:V290)</f>
        <v>1070.71</v>
      </c>
      <c r="K291" s="22"/>
    </row>
    <row r="292" spans="1:22" ht="14.25" x14ac:dyDescent="0.2">
      <c r="A292" s="19"/>
      <c r="B292" s="19"/>
      <c r="C292" s="19" t="s">
        <v>832</v>
      </c>
      <c r="D292" s="20" t="s">
        <v>833</v>
      </c>
      <c r="E292" s="9">
        <f>Source!AQ224</f>
        <v>0.37</v>
      </c>
      <c r="F292" s="22"/>
      <c r="G292" s="21" t="str">
        <f>Source!DI224</f>
        <v/>
      </c>
      <c r="H292" s="9">
        <f>Source!AV224</f>
        <v>1</v>
      </c>
      <c r="I292" s="9"/>
      <c r="J292" s="22"/>
      <c r="K292" s="22">
        <f>Source!U224</f>
        <v>7.4</v>
      </c>
    </row>
    <row r="293" spans="1:22" ht="15" x14ac:dyDescent="0.25">
      <c r="A293" s="27"/>
      <c r="B293" s="27"/>
      <c r="C293" s="27"/>
      <c r="D293" s="27"/>
      <c r="E293" s="27"/>
      <c r="F293" s="27"/>
      <c r="G293" s="27"/>
      <c r="H293" s="27"/>
      <c r="I293" s="60">
        <f>J286+J287+J289+J290+J291</f>
        <v>10122.310000000001</v>
      </c>
      <c r="J293" s="60"/>
      <c r="K293" s="28">
        <f>IF(Source!I224&lt;&gt;0, ROUND(I293/Source!I224, 2), 0)</f>
        <v>506.12</v>
      </c>
      <c r="P293" s="25">
        <f>I293</f>
        <v>10122.310000000001</v>
      </c>
    </row>
    <row r="294" spans="1:22" ht="28.5" x14ac:dyDescent="0.2">
      <c r="A294" s="19">
        <v>26</v>
      </c>
      <c r="B294" s="19" t="str">
        <f>Source!F225</f>
        <v>1.15-2303-4-1/1</v>
      </c>
      <c r="C294" s="19" t="str">
        <f>Source!G225</f>
        <v>Прочистка сетчатых фильтров грубой очистки воды диаметром до 25 мм</v>
      </c>
      <c r="D294" s="20" t="str">
        <f>Source!H225</f>
        <v>10 шт.</v>
      </c>
      <c r="E294" s="9">
        <f>Source!I225</f>
        <v>0.8</v>
      </c>
      <c r="F294" s="22"/>
      <c r="G294" s="21"/>
      <c r="H294" s="9"/>
      <c r="I294" s="9"/>
      <c r="J294" s="22"/>
      <c r="K294" s="22"/>
      <c r="Q294">
        <f>ROUND((Source!BZ225/100)*ROUND((Source!AF225*Source!AV225)*Source!I225, 2), 2)</f>
        <v>1410.84</v>
      </c>
      <c r="R294">
        <f>Source!X225</f>
        <v>1410.84</v>
      </c>
      <c r="S294">
        <f>ROUND((Source!CA225/100)*ROUND((Source!AF225*Source!AV225)*Source!I225, 2), 2)</f>
        <v>201.55</v>
      </c>
      <c r="T294">
        <f>Source!Y225</f>
        <v>201.55</v>
      </c>
      <c r="U294">
        <f>ROUND((175/100)*ROUND((Source!AE225*Source!AV225)*Source!I225, 2), 2)</f>
        <v>0</v>
      </c>
      <c r="V294">
        <f>ROUND((108/100)*ROUND(Source!CS225*Source!I225, 2), 2)</f>
        <v>0</v>
      </c>
    </row>
    <row r="295" spans="1:22" x14ac:dyDescent="0.2">
      <c r="C295" s="23" t="str">
        <f>"Объем: "&amp;Source!I225&amp;"=(2+"&amp;"2+"&amp;"2+"&amp;"2)/"&amp;"10"</f>
        <v>Объем: 0,8=(2+2+2+2)/10</v>
      </c>
    </row>
    <row r="296" spans="1:22" ht="14.25" x14ac:dyDescent="0.2">
      <c r="A296" s="19"/>
      <c r="B296" s="19"/>
      <c r="C296" s="19" t="s">
        <v>825</v>
      </c>
      <c r="D296" s="20"/>
      <c r="E296" s="9"/>
      <c r="F296" s="22">
        <f>Source!AO225</f>
        <v>1259.68</v>
      </c>
      <c r="G296" s="21" t="str">
        <f>Source!DG225</f>
        <v>)*2</v>
      </c>
      <c r="H296" s="9">
        <f>Source!AV225</f>
        <v>1</v>
      </c>
      <c r="I296" s="9">
        <f>IF(Source!BA225&lt;&gt; 0, Source!BA225, 1)</f>
        <v>1</v>
      </c>
      <c r="J296" s="22">
        <f>Source!S225</f>
        <v>2015.49</v>
      </c>
      <c r="K296" s="22"/>
    </row>
    <row r="297" spans="1:22" ht="14.25" x14ac:dyDescent="0.2">
      <c r="A297" s="19"/>
      <c r="B297" s="19"/>
      <c r="C297" s="19" t="s">
        <v>828</v>
      </c>
      <c r="D297" s="20" t="s">
        <v>829</v>
      </c>
      <c r="E297" s="9">
        <f>Source!AT225</f>
        <v>70</v>
      </c>
      <c r="F297" s="22"/>
      <c r="G297" s="21"/>
      <c r="H297" s="9"/>
      <c r="I297" s="9"/>
      <c r="J297" s="22">
        <f>SUM(R294:R296)</f>
        <v>1410.84</v>
      </c>
      <c r="K297" s="22"/>
    </row>
    <row r="298" spans="1:22" ht="14.25" x14ac:dyDescent="0.2">
      <c r="A298" s="19"/>
      <c r="B298" s="19"/>
      <c r="C298" s="19" t="s">
        <v>830</v>
      </c>
      <c r="D298" s="20" t="s">
        <v>829</v>
      </c>
      <c r="E298" s="9">
        <f>Source!AU225</f>
        <v>10</v>
      </c>
      <c r="F298" s="22"/>
      <c r="G298" s="21"/>
      <c r="H298" s="9"/>
      <c r="I298" s="9"/>
      <c r="J298" s="22">
        <f>SUM(T294:T297)</f>
        <v>201.55</v>
      </c>
      <c r="K298" s="22"/>
    </row>
    <row r="299" spans="1:22" ht="14.25" x14ac:dyDescent="0.2">
      <c r="A299" s="19"/>
      <c r="B299" s="19"/>
      <c r="C299" s="19" t="s">
        <v>832</v>
      </c>
      <c r="D299" s="20" t="s">
        <v>833</v>
      </c>
      <c r="E299" s="9">
        <f>Source!AQ225</f>
        <v>2.04</v>
      </c>
      <c r="F299" s="22"/>
      <c r="G299" s="21" t="str">
        <f>Source!DI225</f>
        <v>)*2</v>
      </c>
      <c r="H299" s="9">
        <f>Source!AV225</f>
        <v>1</v>
      </c>
      <c r="I299" s="9"/>
      <c r="J299" s="22"/>
      <c r="K299" s="22">
        <f>Source!U225</f>
        <v>3.2640000000000002</v>
      </c>
    </row>
    <row r="300" spans="1:22" ht="15" x14ac:dyDescent="0.25">
      <c r="A300" s="27"/>
      <c r="B300" s="27"/>
      <c r="C300" s="27"/>
      <c r="D300" s="27"/>
      <c r="E300" s="27"/>
      <c r="F300" s="27"/>
      <c r="G300" s="27"/>
      <c r="H300" s="27"/>
      <c r="I300" s="60">
        <f>J296+J297+J298</f>
        <v>3627.88</v>
      </c>
      <c r="J300" s="60"/>
      <c r="K300" s="28">
        <f>IF(Source!I225&lt;&gt;0, ROUND(I300/Source!I225, 2), 0)</f>
        <v>4534.8500000000004</v>
      </c>
      <c r="P300" s="25">
        <f>I300</f>
        <v>3627.88</v>
      </c>
    </row>
    <row r="301" spans="1:22" ht="28.5" x14ac:dyDescent="0.2">
      <c r="A301" s="19">
        <v>27</v>
      </c>
      <c r="B301" s="19" t="str">
        <f>Source!F226</f>
        <v>1.15-2303-4-2/1</v>
      </c>
      <c r="C301" s="19" t="str">
        <f>Source!G226</f>
        <v>Прочистка сетчатых фильтров грубой очистки воды диаметром до 50 мм</v>
      </c>
      <c r="D301" s="20" t="str">
        <f>Source!H226</f>
        <v>10 шт.</v>
      </c>
      <c r="E301" s="9">
        <f>Source!I226</f>
        <v>1.2</v>
      </c>
      <c r="F301" s="22"/>
      <c r="G301" s="21"/>
      <c r="H301" s="9"/>
      <c r="I301" s="9"/>
      <c r="J301" s="22"/>
      <c r="K301" s="22"/>
      <c r="Q301">
        <f>ROUND((Source!BZ226/100)*ROUND((Source!AF226*Source!AV226)*Source!I226, 2), 2)</f>
        <v>2417.1</v>
      </c>
      <c r="R301">
        <f>Source!X226</f>
        <v>2417.1</v>
      </c>
      <c r="S301">
        <f>ROUND((Source!CA226/100)*ROUND((Source!AF226*Source!AV226)*Source!I226, 2), 2)</f>
        <v>345.3</v>
      </c>
      <c r="T301">
        <f>Source!Y226</f>
        <v>345.3</v>
      </c>
      <c r="U301">
        <f>ROUND((175/100)*ROUND((Source!AE226*Source!AV226)*Source!I226, 2), 2)</f>
        <v>0</v>
      </c>
      <c r="V301">
        <f>ROUND((108/100)*ROUND(Source!CS226*Source!I226, 2), 2)</f>
        <v>0</v>
      </c>
    </row>
    <row r="302" spans="1:22" x14ac:dyDescent="0.2">
      <c r="C302" s="23" t="str">
        <f>"Объем: "&amp;Source!I226&amp;"=(2+"&amp;"1)*"&amp;"4/"&amp;"10"</f>
        <v>Объем: 1,2=(2+1)*4/10</v>
      </c>
    </row>
    <row r="303" spans="1:22" ht="14.25" x14ac:dyDescent="0.2">
      <c r="A303" s="19"/>
      <c r="B303" s="19"/>
      <c r="C303" s="19" t="s">
        <v>825</v>
      </c>
      <c r="D303" s="20"/>
      <c r="E303" s="9"/>
      <c r="F303" s="22">
        <f>Source!AO226</f>
        <v>1438.75</v>
      </c>
      <c r="G303" s="21" t="str">
        <f>Source!DG226</f>
        <v>)*2</v>
      </c>
      <c r="H303" s="9">
        <f>Source!AV226</f>
        <v>1</v>
      </c>
      <c r="I303" s="9">
        <f>IF(Source!BA226&lt;&gt; 0, Source!BA226, 1)</f>
        <v>1</v>
      </c>
      <c r="J303" s="22">
        <f>Source!S226</f>
        <v>3453</v>
      </c>
      <c r="K303" s="22"/>
    </row>
    <row r="304" spans="1:22" ht="14.25" x14ac:dyDescent="0.2">
      <c r="A304" s="19"/>
      <c r="B304" s="19"/>
      <c r="C304" s="19" t="s">
        <v>828</v>
      </c>
      <c r="D304" s="20" t="s">
        <v>829</v>
      </c>
      <c r="E304" s="9">
        <f>Source!AT226</f>
        <v>70</v>
      </c>
      <c r="F304" s="22"/>
      <c r="G304" s="21"/>
      <c r="H304" s="9"/>
      <c r="I304" s="9"/>
      <c r="J304" s="22">
        <f>SUM(R301:R303)</f>
        <v>2417.1</v>
      </c>
      <c r="K304" s="22"/>
    </row>
    <row r="305" spans="1:22" ht="14.25" x14ac:dyDescent="0.2">
      <c r="A305" s="19"/>
      <c r="B305" s="19"/>
      <c r="C305" s="19" t="s">
        <v>830</v>
      </c>
      <c r="D305" s="20" t="s">
        <v>829</v>
      </c>
      <c r="E305" s="9">
        <f>Source!AU226</f>
        <v>10</v>
      </c>
      <c r="F305" s="22"/>
      <c r="G305" s="21"/>
      <c r="H305" s="9"/>
      <c r="I305" s="9"/>
      <c r="J305" s="22">
        <f>SUM(T301:T304)</f>
        <v>345.3</v>
      </c>
      <c r="K305" s="22"/>
    </row>
    <row r="306" spans="1:22" ht="14.25" x14ac:dyDescent="0.2">
      <c r="A306" s="19"/>
      <c r="B306" s="19"/>
      <c r="C306" s="19" t="s">
        <v>832</v>
      </c>
      <c r="D306" s="20" t="s">
        <v>833</v>
      </c>
      <c r="E306" s="9">
        <f>Source!AQ226</f>
        <v>2.33</v>
      </c>
      <c r="F306" s="22"/>
      <c r="G306" s="21" t="str">
        <f>Source!DI226</f>
        <v>)*2</v>
      </c>
      <c r="H306" s="9">
        <f>Source!AV226</f>
        <v>1</v>
      </c>
      <c r="I306" s="9"/>
      <c r="J306" s="22"/>
      <c r="K306" s="22">
        <f>Source!U226</f>
        <v>5.5919999999999996</v>
      </c>
    </row>
    <row r="307" spans="1:22" ht="15" x14ac:dyDescent="0.25">
      <c r="A307" s="27"/>
      <c r="B307" s="27"/>
      <c r="C307" s="27"/>
      <c r="D307" s="27"/>
      <c r="E307" s="27"/>
      <c r="F307" s="27"/>
      <c r="G307" s="27"/>
      <c r="H307" s="27"/>
      <c r="I307" s="60">
        <f>J303+J304+J305</f>
        <v>6215.4000000000005</v>
      </c>
      <c r="J307" s="60"/>
      <c r="K307" s="28">
        <f>IF(Source!I226&lt;&gt;0, ROUND(I307/Source!I226, 2), 0)</f>
        <v>5179.5</v>
      </c>
      <c r="P307" s="25">
        <f>I307</f>
        <v>6215.4000000000005</v>
      </c>
    </row>
    <row r="308" spans="1:22" ht="42.75" x14ac:dyDescent="0.2">
      <c r="A308" s="19">
        <v>28</v>
      </c>
      <c r="B308" s="19" t="str">
        <f>Source!F227</f>
        <v>1.23-2103-39-2/1</v>
      </c>
      <c r="C308" s="19" t="str">
        <f>Source!G227</f>
        <v>Техническое обслуживание счетчиков холодной и горячей воды условным диаметром 25-40 мм.</v>
      </c>
      <c r="D308" s="20" t="str">
        <f>Source!H227</f>
        <v>шт.</v>
      </c>
      <c r="E308" s="9">
        <f>Source!I227</f>
        <v>4</v>
      </c>
      <c r="F308" s="22"/>
      <c r="G308" s="21"/>
      <c r="H308" s="9"/>
      <c r="I308" s="9"/>
      <c r="J308" s="22"/>
      <c r="K308" s="22"/>
      <c r="Q308">
        <f>ROUND((Source!BZ227/100)*ROUND((Source!AF227*Source!AV227)*Source!I227, 2), 2)</f>
        <v>3274.07</v>
      </c>
      <c r="R308">
        <f>Source!X227</f>
        <v>3274.07</v>
      </c>
      <c r="S308">
        <f>ROUND((Source!CA227/100)*ROUND((Source!AF227*Source!AV227)*Source!I227, 2), 2)</f>
        <v>467.72</v>
      </c>
      <c r="T308">
        <f>Source!Y227</f>
        <v>467.72</v>
      </c>
      <c r="U308">
        <f>ROUND((175/100)*ROUND((Source!AE227*Source!AV227)*Source!I227, 2), 2)</f>
        <v>0</v>
      </c>
      <c r="V308">
        <f>ROUND((108/100)*ROUND(Source!CS227*Source!I227, 2), 2)</f>
        <v>0</v>
      </c>
    </row>
    <row r="309" spans="1:22" x14ac:dyDescent="0.2">
      <c r="C309" s="23" t="str">
        <f>"Объем: "&amp;Source!I227&amp;"=1+"&amp;"1+"&amp;"1+"&amp;"1"</f>
        <v>Объем: 4=1+1+1+1</v>
      </c>
    </row>
    <row r="310" spans="1:22" ht="14.25" x14ac:dyDescent="0.2">
      <c r="A310" s="19"/>
      <c r="B310" s="19"/>
      <c r="C310" s="19" t="s">
        <v>825</v>
      </c>
      <c r="D310" s="20"/>
      <c r="E310" s="9"/>
      <c r="F310" s="22">
        <f>Source!AO227</f>
        <v>1169.31</v>
      </c>
      <c r="G310" s="21" t="str">
        <f>Source!DG227</f>
        <v/>
      </c>
      <c r="H310" s="9">
        <f>Source!AV227</f>
        <v>1</v>
      </c>
      <c r="I310" s="9">
        <f>IF(Source!BA227&lt;&gt; 0, Source!BA227, 1)</f>
        <v>1</v>
      </c>
      <c r="J310" s="22">
        <f>Source!S227</f>
        <v>4677.24</v>
      </c>
      <c r="K310" s="22"/>
    </row>
    <row r="311" spans="1:22" ht="14.25" x14ac:dyDescent="0.2">
      <c r="A311" s="19"/>
      <c r="B311" s="19"/>
      <c r="C311" s="19" t="s">
        <v>834</v>
      </c>
      <c r="D311" s="20"/>
      <c r="E311" s="9"/>
      <c r="F311" s="22">
        <f>Source!AL227</f>
        <v>0.19</v>
      </c>
      <c r="G311" s="21" t="str">
        <f>Source!DD227</f>
        <v/>
      </c>
      <c r="H311" s="9">
        <f>Source!AW227</f>
        <v>1</v>
      </c>
      <c r="I311" s="9">
        <f>IF(Source!BC227&lt;&gt; 0, Source!BC227, 1)</f>
        <v>1</v>
      </c>
      <c r="J311" s="22">
        <f>Source!P227</f>
        <v>0.76</v>
      </c>
      <c r="K311" s="22"/>
    </row>
    <row r="312" spans="1:22" ht="14.25" x14ac:dyDescent="0.2">
      <c r="A312" s="19"/>
      <c r="B312" s="19"/>
      <c r="C312" s="19" t="s">
        <v>828</v>
      </c>
      <c r="D312" s="20" t="s">
        <v>829</v>
      </c>
      <c r="E312" s="9">
        <f>Source!AT227</f>
        <v>70</v>
      </c>
      <c r="F312" s="22"/>
      <c r="G312" s="21"/>
      <c r="H312" s="9"/>
      <c r="I312" s="9"/>
      <c r="J312" s="22">
        <f>SUM(R308:R311)</f>
        <v>3274.07</v>
      </c>
      <c r="K312" s="22"/>
    </row>
    <row r="313" spans="1:22" ht="14.25" x14ac:dyDescent="0.2">
      <c r="A313" s="19"/>
      <c r="B313" s="19"/>
      <c r="C313" s="19" t="s">
        <v>830</v>
      </c>
      <c r="D313" s="20" t="s">
        <v>829</v>
      </c>
      <c r="E313" s="9">
        <f>Source!AU227</f>
        <v>10</v>
      </c>
      <c r="F313" s="22"/>
      <c r="G313" s="21"/>
      <c r="H313" s="9"/>
      <c r="I313" s="9"/>
      <c r="J313" s="22">
        <f>SUM(T308:T312)</f>
        <v>467.72</v>
      </c>
      <c r="K313" s="22"/>
    </row>
    <row r="314" spans="1:22" ht="14.25" x14ac:dyDescent="0.2">
      <c r="A314" s="19"/>
      <c r="B314" s="19"/>
      <c r="C314" s="19" t="s">
        <v>832</v>
      </c>
      <c r="D314" s="20" t="s">
        <v>833</v>
      </c>
      <c r="E314" s="9">
        <f>Source!AQ227</f>
        <v>2.08</v>
      </c>
      <c r="F314" s="22"/>
      <c r="G314" s="21" t="str">
        <f>Source!DI227</f>
        <v/>
      </c>
      <c r="H314" s="9">
        <f>Source!AV227</f>
        <v>1</v>
      </c>
      <c r="I314" s="9"/>
      <c r="J314" s="22"/>
      <c r="K314" s="22">
        <f>Source!U227</f>
        <v>8.32</v>
      </c>
    </row>
    <row r="315" spans="1:22" ht="15" x14ac:dyDescent="0.25">
      <c r="A315" s="27"/>
      <c r="B315" s="27"/>
      <c r="C315" s="27"/>
      <c r="D315" s="27"/>
      <c r="E315" s="27"/>
      <c r="F315" s="27"/>
      <c r="G315" s="27"/>
      <c r="H315" s="27"/>
      <c r="I315" s="60">
        <f>J310+J311+J312+J313</f>
        <v>8419.7899999999991</v>
      </c>
      <c r="J315" s="60"/>
      <c r="K315" s="28">
        <f>IF(Source!I227&lt;&gt;0, ROUND(I315/Source!I227, 2), 0)</f>
        <v>2104.9499999999998</v>
      </c>
      <c r="P315" s="25">
        <f>I315</f>
        <v>8419.7899999999991</v>
      </c>
    </row>
    <row r="316" spans="1:22" ht="57" x14ac:dyDescent="0.2">
      <c r="A316" s="19">
        <v>29</v>
      </c>
      <c r="B316" s="19" t="str">
        <f>Source!F228</f>
        <v>1.23-2103-41-1/1</v>
      </c>
      <c r="C316" s="19" t="str">
        <f>Source!G228</f>
        <v>Техническое обслуживание регулирующего клапана / Клапан балансировочный, Клапан ручной балансировочный</v>
      </c>
      <c r="D316" s="20" t="str">
        <f>Source!H228</f>
        <v>шт.</v>
      </c>
      <c r="E316" s="9">
        <f>Source!I228</f>
        <v>33</v>
      </c>
      <c r="F316" s="22"/>
      <c r="G316" s="21"/>
      <c r="H316" s="9"/>
      <c r="I316" s="9"/>
      <c r="J316" s="22"/>
      <c r="K316" s="22"/>
      <c r="Q316">
        <f>ROUND((Source!BZ228/100)*ROUND((Source!AF228*Source!AV228)*Source!I228, 2), 2)</f>
        <v>9609.6</v>
      </c>
      <c r="R316">
        <f>Source!X228</f>
        <v>9609.6</v>
      </c>
      <c r="S316">
        <f>ROUND((Source!CA228/100)*ROUND((Source!AF228*Source!AV228)*Source!I228, 2), 2)</f>
        <v>1372.8</v>
      </c>
      <c r="T316">
        <f>Source!Y228</f>
        <v>1372.8</v>
      </c>
      <c r="U316">
        <f>ROUND((175/100)*ROUND((Source!AE228*Source!AV228)*Source!I228, 2), 2)</f>
        <v>5725.34</v>
      </c>
      <c r="V316">
        <f>ROUND((108/100)*ROUND(Source!CS228*Source!I228, 2), 2)</f>
        <v>3533.35</v>
      </c>
    </row>
    <row r="317" spans="1:22" x14ac:dyDescent="0.2">
      <c r="C317" s="23" t="str">
        <f>"Объем: "&amp;Source!I228&amp;"=(1+"&amp;"5+"&amp;"2)*"&amp;"3+"&amp;"(1+"&amp;"6+"&amp;"2)"</f>
        <v>Объем: 33=(1+5+2)*3+(1+6+2)</v>
      </c>
    </row>
    <row r="318" spans="1:22" ht="14.25" x14ac:dyDescent="0.2">
      <c r="A318" s="19"/>
      <c r="B318" s="19"/>
      <c r="C318" s="19" t="s">
        <v>825</v>
      </c>
      <c r="D318" s="20"/>
      <c r="E318" s="9"/>
      <c r="F318" s="22">
        <f>Source!AO228</f>
        <v>208</v>
      </c>
      <c r="G318" s="21" t="str">
        <f>Source!DG228</f>
        <v>)*2</v>
      </c>
      <c r="H318" s="9">
        <f>Source!AV228</f>
        <v>1</v>
      </c>
      <c r="I318" s="9">
        <f>IF(Source!BA228&lt;&gt; 0, Source!BA228, 1)</f>
        <v>1</v>
      </c>
      <c r="J318" s="22">
        <f>Source!S228</f>
        <v>13728</v>
      </c>
      <c r="K318" s="22"/>
    </row>
    <row r="319" spans="1:22" ht="14.25" x14ac:dyDescent="0.2">
      <c r="A319" s="19"/>
      <c r="B319" s="19"/>
      <c r="C319" s="19" t="s">
        <v>826</v>
      </c>
      <c r="D319" s="20"/>
      <c r="E319" s="9"/>
      <c r="F319" s="22">
        <f>Source!AM228</f>
        <v>78.180000000000007</v>
      </c>
      <c r="G319" s="21" t="str">
        <f>Source!DE228</f>
        <v>)*2</v>
      </c>
      <c r="H319" s="9">
        <f>Source!AV228</f>
        <v>1</v>
      </c>
      <c r="I319" s="9">
        <f>IF(Source!BB228&lt;&gt; 0, Source!BB228, 1)</f>
        <v>1</v>
      </c>
      <c r="J319" s="22">
        <f>Source!Q228</f>
        <v>5159.88</v>
      </c>
      <c r="K319" s="22"/>
    </row>
    <row r="320" spans="1:22" ht="14.25" x14ac:dyDescent="0.2">
      <c r="A320" s="19"/>
      <c r="B320" s="19"/>
      <c r="C320" s="19" t="s">
        <v>827</v>
      </c>
      <c r="D320" s="20"/>
      <c r="E320" s="9"/>
      <c r="F320" s="22">
        <f>Source!AN228</f>
        <v>49.57</v>
      </c>
      <c r="G320" s="21" t="str">
        <f>Source!DF228</f>
        <v>)*2</v>
      </c>
      <c r="H320" s="9">
        <f>Source!AV228</f>
        <v>1</v>
      </c>
      <c r="I320" s="9">
        <f>IF(Source!BS228&lt;&gt; 0, Source!BS228, 1)</f>
        <v>1</v>
      </c>
      <c r="J320" s="24">
        <f>Source!R228</f>
        <v>3271.62</v>
      </c>
      <c r="K320" s="22"/>
    </row>
    <row r="321" spans="1:22" ht="14.25" x14ac:dyDescent="0.2">
      <c r="A321" s="19"/>
      <c r="B321" s="19"/>
      <c r="C321" s="19" t="s">
        <v>828</v>
      </c>
      <c r="D321" s="20" t="s">
        <v>829</v>
      </c>
      <c r="E321" s="9">
        <f>Source!AT228</f>
        <v>70</v>
      </c>
      <c r="F321" s="22"/>
      <c r="G321" s="21"/>
      <c r="H321" s="9"/>
      <c r="I321" s="9"/>
      <c r="J321" s="22">
        <f>SUM(R316:R320)</f>
        <v>9609.6</v>
      </c>
      <c r="K321" s="22"/>
    </row>
    <row r="322" spans="1:22" ht="14.25" x14ac:dyDescent="0.2">
      <c r="A322" s="19"/>
      <c r="B322" s="19"/>
      <c r="C322" s="19" t="s">
        <v>830</v>
      </c>
      <c r="D322" s="20" t="s">
        <v>829</v>
      </c>
      <c r="E322" s="9">
        <f>Source!AU228</f>
        <v>10</v>
      </c>
      <c r="F322" s="22"/>
      <c r="G322" s="21"/>
      <c r="H322" s="9"/>
      <c r="I322" s="9"/>
      <c r="J322" s="22">
        <f>SUM(T316:T321)</f>
        <v>1372.8</v>
      </c>
      <c r="K322" s="22"/>
    </row>
    <row r="323" spans="1:22" ht="14.25" x14ac:dyDescent="0.2">
      <c r="A323" s="19"/>
      <c r="B323" s="19"/>
      <c r="C323" s="19" t="s">
        <v>831</v>
      </c>
      <c r="D323" s="20" t="s">
        <v>829</v>
      </c>
      <c r="E323" s="9">
        <f>108</f>
        <v>108</v>
      </c>
      <c r="F323" s="22"/>
      <c r="G323" s="21"/>
      <c r="H323" s="9"/>
      <c r="I323" s="9"/>
      <c r="J323" s="22">
        <f>SUM(V316:V322)</f>
        <v>3533.35</v>
      </c>
      <c r="K323" s="22"/>
    </row>
    <row r="324" spans="1:22" ht="14.25" x14ac:dyDescent="0.2">
      <c r="A324" s="19"/>
      <c r="B324" s="19"/>
      <c r="C324" s="19" t="s">
        <v>832</v>
      </c>
      <c r="D324" s="20" t="s">
        <v>833</v>
      </c>
      <c r="E324" s="9">
        <f>Source!AQ228</f>
        <v>0.37</v>
      </c>
      <c r="F324" s="22"/>
      <c r="G324" s="21" t="str">
        <f>Source!DI228</f>
        <v>)*2</v>
      </c>
      <c r="H324" s="9">
        <f>Source!AV228</f>
        <v>1</v>
      </c>
      <c r="I324" s="9"/>
      <c r="J324" s="22"/>
      <c r="K324" s="22">
        <f>Source!U228</f>
        <v>24.419999999999998</v>
      </c>
    </row>
    <row r="325" spans="1:22" ht="15" x14ac:dyDescent="0.25">
      <c r="A325" s="27"/>
      <c r="B325" s="27"/>
      <c r="C325" s="27"/>
      <c r="D325" s="27"/>
      <c r="E325" s="27"/>
      <c r="F325" s="27"/>
      <c r="G325" s="27"/>
      <c r="H325" s="27"/>
      <c r="I325" s="60">
        <f>J318+J319+J321+J322+J323</f>
        <v>33403.630000000005</v>
      </c>
      <c r="J325" s="60"/>
      <c r="K325" s="28">
        <f>IF(Source!I228&lt;&gt;0, ROUND(I325/Source!I228, 2), 0)</f>
        <v>1012.23</v>
      </c>
      <c r="P325" s="25">
        <f>I325</f>
        <v>33403.630000000005</v>
      </c>
    </row>
    <row r="326" spans="1:22" ht="28.5" x14ac:dyDescent="0.2">
      <c r="A326" s="19">
        <v>30</v>
      </c>
      <c r="B326" s="19" t="str">
        <f>Source!F229</f>
        <v>1.23-2103-41-1/1</v>
      </c>
      <c r="C326" s="19" t="str">
        <f>Source!G229</f>
        <v>Техническое обслуживание регулирующего клапана</v>
      </c>
      <c r="D326" s="20" t="str">
        <f>Source!H229</f>
        <v>шт.</v>
      </c>
      <c r="E326" s="9">
        <f>Source!I229</f>
        <v>12</v>
      </c>
      <c r="F326" s="22"/>
      <c r="G326" s="21"/>
      <c r="H326" s="9"/>
      <c r="I326" s="9"/>
      <c r="J326" s="22"/>
      <c r="K326" s="22"/>
      <c r="Q326">
        <f>ROUND((Source!BZ229/100)*ROUND((Source!AF229*Source!AV229)*Source!I229, 2), 2)</f>
        <v>3494.4</v>
      </c>
      <c r="R326">
        <f>Source!X229</f>
        <v>3494.4</v>
      </c>
      <c r="S326">
        <f>ROUND((Source!CA229/100)*ROUND((Source!AF229*Source!AV229)*Source!I229, 2), 2)</f>
        <v>499.2</v>
      </c>
      <c r="T326">
        <f>Source!Y229</f>
        <v>499.2</v>
      </c>
      <c r="U326">
        <f>ROUND((175/100)*ROUND((Source!AE229*Source!AV229)*Source!I229, 2), 2)</f>
        <v>2081.94</v>
      </c>
      <c r="V326">
        <f>ROUND((108/100)*ROUND(Source!CS229*Source!I229, 2), 2)</f>
        <v>1284.8499999999999</v>
      </c>
    </row>
    <row r="327" spans="1:22" x14ac:dyDescent="0.2">
      <c r="C327" s="23" t="str">
        <f>"Объем: "&amp;Source!I229&amp;"=(1+"&amp;"1+"&amp;"1)*"&amp;"4"</f>
        <v>Объем: 12=(1+1+1)*4</v>
      </c>
    </row>
    <row r="328" spans="1:22" ht="14.25" x14ac:dyDescent="0.2">
      <c r="A328" s="19"/>
      <c r="B328" s="19"/>
      <c r="C328" s="19" t="s">
        <v>825</v>
      </c>
      <c r="D328" s="20"/>
      <c r="E328" s="9"/>
      <c r="F328" s="22">
        <f>Source!AO229</f>
        <v>208</v>
      </c>
      <c r="G328" s="21" t="str">
        <f>Source!DG229</f>
        <v>)*2</v>
      </c>
      <c r="H328" s="9">
        <f>Source!AV229</f>
        <v>1</v>
      </c>
      <c r="I328" s="9">
        <f>IF(Source!BA229&lt;&gt; 0, Source!BA229, 1)</f>
        <v>1</v>
      </c>
      <c r="J328" s="22">
        <f>Source!S229</f>
        <v>4992</v>
      </c>
      <c r="K328" s="22"/>
    </row>
    <row r="329" spans="1:22" ht="14.25" x14ac:dyDescent="0.2">
      <c r="A329" s="19"/>
      <c r="B329" s="19"/>
      <c r="C329" s="19" t="s">
        <v>826</v>
      </c>
      <c r="D329" s="20"/>
      <c r="E329" s="9"/>
      <c r="F329" s="22">
        <f>Source!AM229</f>
        <v>78.180000000000007</v>
      </c>
      <c r="G329" s="21" t="str">
        <f>Source!DE229</f>
        <v>)*2</v>
      </c>
      <c r="H329" s="9">
        <f>Source!AV229</f>
        <v>1</v>
      </c>
      <c r="I329" s="9">
        <f>IF(Source!BB229&lt;&gt; 0, Source!BB229, 1)</f>
        <v>1</v>
      </c>
      <c r="J329" s="22">
        <f>Source!Q229</f>
        <v>1876.32</v>
      </c>
      <c r="K329" s="22"/>
    </row>
    <row r="330" spans="1:22" ht="14.25" x14ac:dyDescent="0.2">
      <c r="A330" s="19"/>
      <c r="B330" s="19"/>
      <c r="C330" s="19" t="s">
        <v>827</v>
      </c>
      <c r="D330" s="20"/>
      <c r="E330" s="9"/>
      <c r="F330" s="22">
        <f>Source!AN229</f>
        <v>49.57</v>
      </c>
      <c r="G330" s="21" t="str">
        <f>Source!DF229</f>
        <v>)*2</v>
      </c>
      <c r="H330" s="9">
        <f>Source!AV229</f>
        <v>1</v>
      </c>
      <c r="I330" s="9">
        <f>IF(Source!BS229&lt;&gt; 0, Source!BS229, 1)</f>
        <v>1</v>
      </c>
      <c r="J330" s="24">
        <f>Source!R229</f>
        <v>1189.68</v>
      </c>
      <c r="K330" s="22"/>
    </row>
    <row r="331" spans="1:22" ht="14.25" x14ac:dyDescent="0.2">
      <c r="A331" s="19"/>
      <c r="B331" s="19"/>
      <c r="C331" s="19" t="s">
        <v>828</v>
      </c>
      <c r="D331" s="20" t="s">
        <v>829</v>
      </c>
      <c r="E331" s="9">
        <f>Source!AT229</f>
        <v>70</v>
      </c>
      <c r="F331" s="22"/>
      <c r="G331" s="21"/>
      <c r="H331" s="9"/>
      <c r="I331" s="9"/>
      <c r="J331" s="22">
        <f>SUM(R326:R330)</f>
        <v>3494.4</v>
      </c>
      <c r="K331" s="22"/>
    </row>
    <row r="332" spans="1:22" ht="14.25" x14ac:dyDescent="0.2">
      <c r="A332" s="19"/>
      <c r="B332" s="19"/>
      <c r="C332" s="19" t="s">
        <v>830</v>
      </c>
      <c r="D332" s="20" t="s">
        <v>829</v>
      </c>
      <c r="E332" s="9">
        <f>Source!AU229</f>
        <v>10</v>
      </c>
      <c r="F332" s="22"/>
      <c r="G332" s="21"/>
      <c r="H332" s="9"/>
      <c r="I332" s="9"/>
      <c r="J332" s="22">
        <f>SUM(T326:T331)</f>
        <v>499.2</v>
      </c>
      <c r="K332" s="22"/>
    </row>
    <row r="333" spans="1:22" ht="14.25" x14ac:dyDescent="0.2">
      <c r="A333" s="19"/>
      <c r="B333" s="19"/>
      <c r="C333" s="19" t="s">
        <v>831</v>
      </c>
      <c r="D333" s="20" t="s">
        <v>829</v>
      </c>
      <c r="E333" s="9">
        <f>108</f>
        <v>108</v>
      </c>
      <c r="F333" s="22"/>
      <c r="G333" s="21"/>
      <c r="H333" s="9"/>
      <c r="I333" s="9"/>
      <c r="J333" s="22">
        <f>SUM(V326:V332)</f>
        <v>1284.8499999999999</v>
      </c>
      <c r="K333" s="22"/>
    </row>
    <row r="334" spans="1:22" ht="14.25" x14ac:dyDescent="0.2">
      <c r="A334" s="19"/>
      <c r="B334" s="19"/>
      <c r="C334" s="19" t="s">
        <v>832</v>
      </c>
      <c r="D334" s="20" t="s">
        <v>833</v>
      </c>
      <c r="E334" s="9">
        <f>Source!AQ229</f>
        <v>0.37</v>
      </c>
      <c r="F334" s="22"/>
      <c r="G334" s="21" t="str">
        <f>Source!DI229</f>
        <v>)*2</v>
      </c>
      <c r="H334" s="9">
        <f>Source!AV229</f>
        <v>1</v>
      </c>
      <c r="I334" s="9"/>
      <c r="J334" s="22"/>
      <c r="K334" s="22">
        <f>Source!U229</f>
        <v>8.879999999999999</v>
      </c>
    </row>
    <row r="335" spans="1:22" ht="15" x14ac:dyDescent="0.25">
      <c r="A335" s="27"/>
      <c r="B335" s="27"/>
      <c r="C335" s="27"/>
      <c r="D335" s="27"/>
      <c r="E335" s="27"/>
      <c r="F335" s="27"/>
      <c r="G335" s="27"/>
      <c r="H335" s="27"/>
      <c r="I335" s="60">
        <f>J328+J329+J331+J332+J333</f>
        <v>12146.77</v>
      </c>
      <c r="J335" s="60"/>
      <c r="K335" s="28">
        <f>IF(Source!I229&lt;&gt;0, ROUND(I335/Source!I229, 2), 0)</f>
        <v>1012.23</v>
      </c>
      <c r="P335" s="25">
        <f>I335</f>
        <v>12146.77</v>
      </c>
    </row>
    <row r="336" spans="1:22" ht="42.75" x14ac:dyDescent="0.2">
      <c r="A336" s="19">
        <v>31</v>
      </c>
      <c r="B336" s="19" t="str">
        <f>Source!F232</f>
        <v>1.23-2103-18-1/1</v>
      </c>
      <c r="C336" s="19" t="str">
        <f>Source!G232</f>
        <v>Техническое обслуживание термометра биметаллического, дилатометрического</v>
      </c>
      <c r="D336" s="20" t="str">
        <f>Source!H232</f>
        <v>шт.</v>
      </c>
      <c r="E336" s="9">
        <f>Source!I232</f>
        <v>22</v>
      </c>
      <c r="F336" s="22"/>
      <c r="G336" s="21"/>
      <c r="H336" s="9"/>
      <c r="I336" s="9"/>
      <c r="J336" s="22"/>
      <c r="K336" s="22"/>
      <c r="Q336">
        <f>ROUND((Source!BZ232/100)*ROUND((Source!AF232*Source!AV232)*Source!I232, 2), 2)</f>
        <v>6775.69</v>
      </c>
      <c r="R336">
        <f>Source!X232</f>
        <v>6775.69</v>
      </c>
      <c r="S336">
        <f>ROUND((Source!CA232/100)*ROUND((Source!AF232*Source!AV232)*Source!I232, 2), 2)</f>
        <v>967.96</v>
      </c>
      <c r="T336">
        <f>Source!Y232</f>
        <v>967.96</v>
      </c>
      <c r="U336">
        <f>ROUND((175/100)*ROUND((Source!AE232*Source!AV232)*Source!I232, 2), 2)</f>
        <v>0</v>
      </c>
      <c r="V336">
        <f>ROUND((108/100)*ROUND(Source!CS232*Source!I232, 2), 2)</f>
        <v>0</v>
      </c>
    </row>
    <row r="337" spans="1:16" x14ac:dyDescent="0.2">
      <c r="C337" s="23" t="str">
        <f>"Объем: "&amp;Source!I232&amp;"=11*"&amp;"2"</f>
        <v>Объем: 22=11*2</v>
      </c>
    </row>
    <row r="338" spans="1:16" ht="14.25" x14ac:dyDescent="0.2">
      <c r="A338" s="19"/>
      <c r="B338" s="19"/>
      <c r="C338" s="19" t="s">
        <v>825</v>
      </c>
      <c r="D338" s="20"/>
      <c r="E338" s="9"/>
      <c r="F338" s="22">
        <f>Source!AO232</f>
        <v>219.99</v>
      </c>
      <c r="G338" s="21" t="str">
        <f>Source!DG232</f>
        <v>)*2</v>
      </c>
      <c r="H338" s="9">
        <f>Source!AV232</f>
        <v>1</v>
      </c>
      <c r="I338" s="9">
        <f>IF(Source!BA232&lt;&gt; 0, Source!BA232, 1)</f>
        <v>1</v>
      </c>
      <c r="J338" s="22">
        <f>Source!S232</f>
        <v>9679.56</v>
      </c>
      <c r="K338" s="22"/>
    </row>
    <row r="339" spans="1:16" ht="14.25" x14ac:dyDescent="0.2">
      <c r="A339" s="19"/>
      <c r="B339" s="19"/>
      <c r="C339" s="19" t="s">
        <v>834</v>
      </c>
      <c r="D339" s="20"/>
      <c r="E339" s="9"/>
      <c r="F339" s="22">
        <f>Source!AL232</f>
        <v>19.14</v>
      </c>
      <c r="G339" s="21" t="str">
        <f>Source!DD232</f>
        <v>)*2</v>
      </c>
      <c r="H339" s="9">
        <f>Source!AW232</f>
        <v>1</v>
      </c>
      <c r="I339" s="9">
        <f>IF(Source!BC232&lt;&gt; 0, Source!BC232, 1)</f>
        <v>1</v>
      </c>
      <c r="J339" s="22">
        <f>Source!P232</f>
        <v>842.16</v>
      </c>
      <c r="K339" s="22"/>
    </row>
    <row r="340" spans="1:16" ht="14.25" x14ac:dyDescent="0.2">
      <c r="A340" s="19"/>
      <c r="B340" s="19"/>
      <c r="C340" s="19" t="s">
        <v>828</v>
      </c>
      <c r="D340" s="20" t="s">
        <v>829</v>
      </c>
      <c r="E340" s="9">
        <f>Source!AT232</f>
        <v>70</v>
      </c>
      <c r="F340" s="22"/>
      <c r="G340" s="21"/>
      <c r="H340" s="9"/>
      <c r="I340" s="9"/>
      <c r="J340" s="22">
        <f>SUM(R336:R339)</f>
        <v>6775.69</v>
      </c>
      <c r="K340" s="22"/>
    </row>
    <row r="341" spans="1:16" ht="14.25" x14ac:dyDescent="0.2">
      <c r="A341" s="19"/>
      <c r="B341" s="19"/>
      <c r="C341" s="19" t="s">
        <v>830</v>
      </c>
      <c r="D341" s="20" t="s">
        <v>829</v>
      </c>
      <c r="E341" s="9">
        <f>Source!AU232</f>
        <v>10</v>
      </c>
      <c r="F341" s="22"/>
      <c r="G341" s="21"/>
      <c r="H341" s="9"/>
      <c r="I341" s="9"/>
      <c r="J341" s="22">
        <f>SUM(T336:T340)</f>
        <v>967.96</v>
      </c>
      <c r="K341" s="22"/>
    </row>
    <row r="342" spans="1:16" ht="14.25" x14ac:dyDescent="0.2">
      <c r="A342" s="19"/>
      <c r="B342" s="19"/>
      <c r="C342" s="19" t="s">
        <v>832</v>
      </c>
      <c r="D342" s="20" t="s">
        <v>833</v>
      </c>
      <c r="E342" s="9">
        <f>Source!AQ232</f>
        <v>0.31</v>
      </c>
      <c r="F342" s="22"/>
      <c r="G342" s="21" t="str">
        <f>Source!DI232</f>
        <v>)*2</v>
      </c>
      <c r="H342" s="9">
        <f>Source!AV232</f>
        <v>1</v>
      </c>
      <c r="I342" s="9"/>
      <c r="J342" s="22"/>
      <c r="K342" s="22">
        <f>Source!U232</f>
        <v>13.64</v>
      </c>
    </row>
    <row r="343" spans="1:16" ht="15" x14ac:dyDescent="0.25">
      <c r="A343" s="27"/>
      <c r="B343" s="27"/>
      <c r="C343" s="27"/>
      <c r="D343" s="27"/>
      <c r="E343" s="27"/>
      <c r="F343" s="27"/>
      <c r="G343" s="27"/>
      <c r="H343" s="27"/>
      <c r="I343" s="60">
        <f>J338+J339+J340+J341</f>
        <v>18265.37</v>
      </c>
      <c r="J343" s="60"/>
      <c r="K343" s="28">
        <f>IF(Source!I232&lt;&gt;0, ROUND(I343/Source!I232, 2), 0)</f>
        <v>830.24</v>
      </c>
      <c r="P343" s="25">
        <f>I343</f>
        <v>18265.37</v>
      </c>
    </row>
    <row r="345" spans="1:16" ht="15" hidden="1" x14ac:dyDescent="0.25">
      <c r="B345" s="56" t="str">
        <f>Source!G233</f>
        <v>Корпус 7.2.1</v>
      </c>
      <c r="C345" s="56"/>
      <c r="D345" s="56"/>
      <c r="E345" s="56"/>
      <c r="F345" s="56"/>
      <c r="G345" s="56"/>
      <c r="H345" s="56"/>
      <c r="I345" s="56"/>
      <c r="J345" s="56"/>
    </row>
    <row r="346" spans="1:16" hidden="1" x14ac:dyDescent="0.2"/>
    <row r="347" spans="1:16" ht="15" hidden="1" x14ac:dyDescent="0.25">
      <c r="B347" s="56" t="str">
        <f>Source!G238</f>
        <v>Корпус 7.2.2</v>
      </c>
      <c r="C347" s="56"/>
      <c r="D347" s="56"/>
      <c r="E347" s="56"/>
      <c r="F347" s="56"/>
      <c r="G347" s="56"/>
      <c r="H347" s="56"/>
      <c r="I347" s="56"/>
      <c r="J347" s="56"/>
    </row>
    <row r="348" spans="1:16" hidden="1" x14ac:dyDescent="0.2"/>
    <row r="349" spans="1:16" ht="15" hidden="1" x14ac:dyDescent="0.25">
      <c r="B349" s="56" t="str">
        <f>Source!G243</f>
        <v>Корпус 7.2.3</v>
      </c>
      <c r="C349" s="56"/>
      <c r="D349" s="56"/>
      <c r="E349" s="56"/>
      <c r="F349" s="56"/>
      <c r="G349" s="56"/>
      <c r="H349" s="56"/>
      <c r="I349" s="56"/>
      <c r="J349" s="56"/>
    </row>
    <row r="350" spans="1:16" hidden="1" x14ac:dyDescent="0.2"/>
    <row r="351" spans="1:16" ht="15" hidden="1" x14ac:dyDescent="0.25">
      <c r="B351" s="56" t="str">
        <f>Source!G248</f>
        <v>Корпус 7.2.4</v>
      </c>
      <c r="C351" s="56"/>
      <c r="D351" s="56"/>
      <c r="E351" s="56"/>
      <c r="F351" s="56"/>
      <c r="G351" s="56"/>
      <c r="H351" s="56"/>
      <c r="I351" s="56"/>
      <c r="J351" s="56"/>
    </row>
    <row r="353" spans="1:22" ht="15" x14ac:dyDescent="0.25">
      <c r="A353" s="59" t="str">
        <f>CONCATENATE("Итого по подразделу: ",IF(Source!G254&lt;&gt;"Новый подраздел", Source!G254, ""))</f>
        <v>Итого по подразделу: Индивидуальный тепловой пункт</v>
      </c>
      <c r="B353" s="59"/>
      <c r="C353" s="59"/>
      <c r="D353" s="59"/>
      <c r="E353" s="59"/>
      <c r="F353" s="59"/>
      <c r="G353" s="59"/>
      <c r="H353" s="59"/>
      <c r="I353" s="57">
        <f>SUM(P203:P352)</f>
        <v>187882.23999999996</v>
      </c>
      <c r="J353" s="58"/>
      <c r="K353" s="18"/>
    </row>
    <row r="356" spans="1:22" ht="16.5" x14ac:dyDescent="0.25">
      <c r="A356" s="55" t="str">
        <f>CONCATENATE("Подраздел: ",IF(Source!G284&lt;&gt;"Новый подраздел", Source!G284, ""))</f>
        <v>Подраздел: Система УУТЭ</v>
      </c>
      <c r="B356" s="55"/>
      <c r="C356" s="55"/>
      <c r="D356" s="55"/>
      <c r="E356" s="55"/>
      <c r="F356" s="55"/>
      <c r="G356" s="55"/>
      <c r="H356" s="55"/>
      <c r="I356" s="55"/>
      <c r="J356" s="55"/>
      <c r="K356" s="55"/>
    </row>
    <row r="358" spans="1:22" ht="15" x14ac:dyDescent="0.25">
      <c r="B358" s="56" t="str">
        <f>Source!G288</f>
        <v>Корпуса 7.2.1 - 7.2.4</v>
      </c>
      <c r="C358" s="56"/>
      <c r="D358" s="56"/>
      <c r="E358" s="56"/>
      <c r="F358" s="56"/>
      <c r="G358" s="56"/>
      <c r="H358" s="56"/>
      <c r="I358" s="56"/>
      <c r="J358" s="56"/>
    </row>
    <row r="359" spans="1:22" ht="42.75" x14ac:dyDescent="0.2">
      <c r="A359" s="19">
        <v>32</v>
      </c>
      <c r="B359" s="19" t="str">
        <f>Source!F289</f>
        <v>1.23-2103-22-3/1</v>
      </c>
      <c r="C359" s="19" t="str">
        <f>Source!G289</f>
        <v>Техническое обслуживание расходомера электромагнитного / ВТЭ-2П 140М Pt500 МПСВ USB</v>
      </c>
      <c r="D359" s="20" t="str">
        <f>Source!H289</f>
        <v>шт.</v>
      </c>
      <c r="E359" s="9">
        <f>Source!I289</f>
        <v>4</v>
      </c>
      <c r="F359" s="22"/>
      <c r="G359" s="21"/>
      <c r="H359" s="9"/>
      <c r="I359" s="9"/>
      <c r="J359" s="22"/>
      <c r="K359" s="22"/>
      <c r="Q359">
        <f>ROUND((Source!BZ289/100)*ROUND((Source!AF289*Source!AV289)*Source!I289, 2), 2)</f>
        <v>8361.08</v>
      </c>
      <c r="R359">
        <f>Source!X289</f>
        <v>8361.08</v>
      </c>
      <c r="S359">
        <f>ROUND((Source!CA289/100)*ROUND((Source!AF289*Source!AV289)*Source!I289, 2), 2)</f>
        <v>1194.44</v>
      </c>
      <c r="T359">
        <f>Source!Y289</f>
        <v>1194.44</v>
      </c>
      <c r="U359">
        <f>ROUND((175/100)*ROUND((Source!AE289*Source!AV289)*Source!I289, 2), 2)</f>
        <v>0</v>
      </c>
      <c r="V359">
        <f>ROUND((108/100)*ROUND(Source!CS289*Source!I289, 2), 2)</f>
        <v>0</v>
      </c>
    </row>
    <row r="360" spans="1:22" x14ac:dyDescent="0.2">
      <c r="C360" s="23" t="str">
        <f>"Объем: "&amp;Source!I289&amp;"=1*"&amp;"4"</f>
        <v>Объем: 4=1*4</v>
      </c>
    </row>
    <row r="361" spans="1:22" ht="14.25" x14ac:dyDescent="0.2">
      <c r="A361" s="19"/>
      <c r="B361" s="19"/>
      <c r="C361" s="19" t="s">
        <v>825</v>
      </c>
      <c r="D361" s="20"/>
      <c r="E361" s="9"/>
      <c r="F361" s="22">
        <f>Source!AO289</f>
        <v>1493.05</v>
      </c>
      <c r="G361" s="21" t="str">
        <f>Source!DG289</f>
        <v>)*2</v>
      </c>
      <c r="H361" s="9">
        <f>Source!AV289</f>
        <v>1</v>
      </c>
      <c r="I361" s="9">
        <f>IF(Source!BA289&lt;&gt; 0, Source!BA289, 1)</f>
        <v>1</v>
      </c>
      <c r="J361" s="22">
        <f>Source!S289</f>
        <v>11944.4</v>
      </c>
      <c r="K361" s="22"/>
    </row>
    <row r="362" spans="1:22" ht="14.25" x14ac:dyDescent="0.2">
      <c r="A362" s="19"/>
      <c r="B362" s="19"/>
      <c r="C362" s="19" t="s">
        <v>834</v>
      </c>
      <c r="D362" s="20"/>
      <c r="E362" s="9"/>
      <c r="F362" s="22">
        <f>Source!AL289</f>
        <v>19.14</v>
      </c>
      <c r="G362" s="21" t="str">
        <f>Source!DD289</f>
        <v>)*2</v>
      </c>
      <c r="H362" s="9">
        <f>Source!AW289</f>
        <v>1</v>
      </c>
      <c r="I362" s="9">
        <f>IF(Source!BC289&lt;&gt; 0, Source!BC289, 1)</f>
        <v>1</v>
      </c>
      <c r="J362" s="22">
        <f>Source!P289</f>
        <v>153.12</v>
      </c>
      <c r="K362" s="22"/>
    </row>
    <row r="363" spans="1:22" ht="14.25" x14ac:dyDescent="0.2">
      <c r="A363" s="19"/>
      <c r="B363" s="19"/>
      <c r="C363" s="19" t="s">
        <v>828</v>
      </c>
      <c r="D363" s="20" t="s">
        <v>829</v>
      </c>
      <c r="E363" s="9">
        <f>Source!AT289</f>
        <v>70</v>
      </c>
      <c r="F363" s="22"/>
      <c r="G363" s="21"/>
      <c r="H363" s="9"/>
      <c r="I363" s="9"/>
      <c r="J363" s="22">
        <f>SUM(R359:R362)</f>
        <v>8361.08</v>
      </c>
      <c r="K363" s="22"/>
    </row>
    <row r="364" spans="1:22" ht="14.25" x14ac:dyDescent="0.2">
      <c r="A364" s="19"/>
      <c r="B364" s="19"/>
      <c r="C364" s="19" t="s">
        <v>830</v>
      </c>
      <c r="D364" s="20" t="s">
        <v>829</v>
      </c>
      <c r="E364" s="9">
        <f>Source!AU289</f>
        <v>10</v>
      </c>
      <c r="F364" s="22"/>
      <c r="G364" s="21"/>
      <c r="H364" s="9"/>
      <c r="I364" s="9"/>
      <c r="J364" s="22">
        <f>SUM(T359:T363)</f>
        <v>1194.44</v>
      </c>
      <c r="K364" s="22"/>
    </row>
    <row r="365" spans="1:22" ht="14.25" x14ac:dyDescent="0.2">
      <c r="A365" s="19"/>
      <c r="B365" s="19"/>
      <c r="C365" s="19" t="s">
        <v>832</v>
      </c>
      <c r="D365" s="20" t="s">
        <v>833</v>
      </c>
      <c r="E365" s="9">
        <f>Source!AQ289</f>
        <v>1.8</v>
      </c>
      <c r="F365" s="22"/>
      <c r="G365" s="21" t="str">
        <f>Source!DI289</f>
        <v>)*2</v>
      </c>
      <c r="H365" s="9">
        <f>Source!AV289</f>
        <v>1</v>
      </c>
      <c r="I365" s="9"/>
      <c r="J365" s="22"/>
      <c r="K365" s="22">
        <f>Source!U289</f>
        <v>14.4</v>
      </c>
    </row>
    <row r="366" spans="1:22" ht="15" x14ac:dyDescent="0.25">
      <c r="A366" s="27"/>
      <c r="B366" s="27"/>
      <c r="C366" s="27"/>
      <c r="D366" s="27"/>
      <c r="E366" s="27"/>
      <c r="F366" s="27"/>
      <c r="G366" s="27"/>
      <c r="H366" s="27"/>
      <c r="I366" s="60">
        <f>J361+J362+J363+J364</f>
        <v>21653.039999999997</v>
      </c>
      <c r="J366" s="60"/>
      <c r="K366" s="28">
        <f>IF(Source!I289&lt;&gt;0, ROUND(I366/Source!I289, 2), 0)</f>
        <v>5413.26</v>
      </c>
      <c r="P366" s="25">
        <f>I366</f>
        <v>21653.039999999997</v>
      </c>
    </row>
    <row r="367" spans="1:22" ht="99.75" x14ac:dyDescent="0.2">
      <c r="A367" s="19">
        <v>33</v>
      </c>
      <c r="B367" s="19" t="str">
        <f>Source!F290</f>
        <v>1.23-2103-8-1/1</v>
      </c>
      <c r="C367" s="19" t="str">
        <f>Source!G290</f>
        <v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вычислитель тепловой энергии ВТЭ</v>
      </c>
      <c r="D367" s="20" t="str">
        <f>Source!H290</f>
        <v>шт.</v>
      </c>
      <c r="E367" s="9">
        <f>Source!I290</f>
        <v>4</v>
      </c>
      <c r="F367" s="22"/>
      <c r="G367" s="21"/>
      <c r="H367" s="9"/>
      <c r="I367" s="9"/>
      <c r="J367" s="22"/>
      <c r="K367" s="22"/>
      <c r="Q367">
        <f>ROUND((Source!BZ290/100)*ROUND((Source!AF290*Source!AV290)*Source!I290, 2), 2)</f>
        <v>4599.0600000000004</v>
      </c>
      <c r="R367">
        <f>Source!X290</f>
        <v>4599.0600000000004</v>
      </c>
      <c r="S367">
        <f>ROUND((Source!CA290/100)*ROUND((Source!AF290*Source!AV290)*Source!I290, 2), 2)</f>
        <v>657.01</v>
      </c>
      <c r="T367">
        <f>Source!Y290</f>
        <v>657.01</v>
      </c>
      <c r="U367">
        <f>ROUND((175/100)*ROUND((Source!AE290*Source!AV290)*Source!I290, 2), 2)</f>
        <v>0</v>
      </c>
      <c r="V367">
        <f>ROUND((108/100)*ROUND(Source!CS290*Source!I290, 2), 2)</f>
        <v>0</v>
      </c>
    </row>
    <row r="368" spans="1:22" x14ac:dyDescent="0.2">
      <c r="C368" s="23" t="str">
        <f>"Объем: "&amp;Source!I290&amp;"=1*"&amp;"4"</f>
        <v>Объем: 4=1*4</v>
      </c>
    </row>
    <row r="369" spans="1:22" ht="14.25" x14ac:dyDescent="0.2">
      <c r="A369" s="19"/>
      <c r="B369" s="19"/>
      <c r="C369" s="19" t="s">
        <v>825</v>
      </c>
      <c r="D369" s="20"/>
      <c r="E369" s="9"/>
      <c r="F369" s="22">
        <f>Source!AO290</f>
        <v>821.26</v>
      </c>
      <c r="G369" s="21" t="str">
        <f>Source!DG290</f>
        <v>)*2</v>
      </c>
      <c r="H369" s="9">
        <f>Source!AV290</f>
        <v>1</v>
      </c>
      <c r="I369" s="9">
        <f>IF(Source!BA290&lt;&gt; 0, Source!BA290, 1)</f>
        <v>1</v>
      </c>
      <c r="J369" s="22">
        <f>Source!S290</f>
        <v>6570.08</v>
      </c>
      <c r="K369" s="22"/>
    </row>
    <row r="370" spans="1:22" ht="14.25" x14ac:dyDescent="0.2">
      <c r="A370" s="19"/>
      <c r="B370" s="19"/>
      <c r="C370" s="19" t="s">
        <v>828</v>
      </c>
      <c r="D370" s="20" t="s">
        <v>829</v>
      </c>
      <c r="E370" s="9">
        <f>Source!AT290</f>
        <v>70</v>
      </c>
      <c r="F370" s="22"/>
      <c r="G370" s="21"/>
      <c r="H370" s="9"/>
      <c r="I370" s="9"/>
      <c r="J370" s="22">
        <f>SUM(R367:R369)</f>
        <v>4599.0600000000004</v>
      </c>
      <c r="K370" s="22"/>
    </row>
    <row r="371" spans="1:22" ht="14.25" x14ac:dyDescent="0.2">
      <c r="A371" s="19"/>
      <c r="B371" s="19"/>
      <c r="C371" s="19" t="s">
        <v>830</v>
      </c>
      <c r="D371" s="20" t="s">
        <v>829</v>
      </c>
      <c r="E371" s="9">
        <f>Source!AU290</f>
        <v>10</v>
      </c>
      <c r="F371" s="22"/>
      <c r="G371" s="21"/>
      <c r="H371" s="9"/>
      <c r="I371" s="9"/>
      <c r="J371" s="22">
        <f>SUM(T367:T370)</f>
        <v>657.01</v>
      </c>
      <c r="K371" s="22"/>
    </row>
    <row r="372" spans="1:22" ht="14.25" x14ac:dyDescent="0.2">
      <c r="A372" s="19"/>
      <c r="B372" s="19"/>
      <c r="C372" s="19" t="s">
        <v>832</v>
      </c>
      <c r="D372" s="20" t="s">
        <v>833</v>
      </c>
      <c r="E372" s="9">
        <f>Source!AQ290</f>
        <v>1.33</v>
      </c>
      <c r="F372" s="22"/>
      <c r="G372" s="21" t="str">
        <f>Source!DI290</f>
        <v>)*2</v>
      </c>
      <c r="H372" s="9">
        <f>Source!AV290</f>
        <v>1</v>
      </c>
      <c r="I372" s="9"/>
      <c r="J372" s="22"/>
      <c r="K372" s="22">
        <f>Source!U290</f>
        <v>10.64</v>
      </c>
    </row>
    <row r="373" spans="1:22" ht="15" x14ac:dyDescent="0.25">
      <c r="A373" s="27"/>
      <c r="B373" s="27"/>
      <c r="C373" s="27"/>
      <c r="D373" s="27"/>
      <c r="E373" s="27"/>
      <c r="F373" s="27"/>
      <c r="G373" s="27"/>
      <c r="H373" s="27"/>
      <c r="I373" s="60">
        <f>J369+J370+J371</f>
        <v>11826.15</v>
      </c>
      <c r="J373" s="60"/>
      <c r="K373" s="28">
        <f>IF(Source!I290&lt;&gt;0, ROUND(I373/Source!I290, 2), 0)</f>
        <v>2956.54</v>
      </c>
      <c r="P373" s="25">
        <f>I373</f>
        <v>11826.15</v>
      </c>
    </row>
    <row r="374" spans="1:22" ht="71.25" x14ac:dyDescent="0.2">
      <c r="A374" s="19">
        <v>34</v>
      </c>
      <c r="B374" s="19" t="str">
        <f>Source!F291</f>
        <v>1.23-2103-22-3/1</v>
      </c>
      <c r="C374" s="19" t="str">
        <f>Source!G291</f>
        <v>Техническое обслуживание расходомера электромагнитного / расходомер электромагнитный фланцевый ТПС Pt-500 L=70 (согл.пара) Теплоком</v>
      </c>
      <c r="D374" s="20" t="str">
        <f>Source!H291</f>
        <v>шт.</v>
      </c>
      <c r="E374" s="9">
        <f>Source!I291</f>
        <v>12</v>
      </c>
      <c r="F374" s="22"/>
      <c r="G374" s="21"/>
      <c r="H374" s="9"/>
      <c r="I374" s="9"/>
      <c r="J374" s="22"/>
      <c r="K374" s="22"/>
      <c r="Q374">
        <f>ROUND((Source!BZ291/100)*ROUND((Source!AF291*Source!AV291)*Source!I291, 2), 2)</f>
        <v>25083.24</v>
      </c>
      <c r="R374">
        <f>Source!X291</f>
        <v>25083.24</v>
      </c>
      <c r="S374">
        <f>ROUND((Source!CA291/100)*ROUND((Source!AF291*Source!AV291)*Source!I291, 2), 2)</f>
        <v>3583.32</v>
      </c>
      <c r="T374">
        <f>Source!Y291</f>
        <v>3583.32</v>
      </c>
      <c r="U374">
        <f>ROUND((175/100)*ROUND((Source!AE291*Source!AV291)*Source!I291, 2), 2)</f>
        <v>0</v>
      </c>
      <c r="V374">
        <f>ROUND((108/100)*ROUND(Source!CS291*Source!I291, 2), 2)</f>
        <v>0</v>
      </c>
    </row>
    <row r="375" spans="1:22" x14ac:dyDescent="0.2">
      <c r="C375" s="23" t="str">
        <f>"Объем: "&amp;Source!I291&amp;"=3*"&amp;"4"</f>
        <v>Объем: 12=3*4</v>
      </c>
    </row>
    <row r="376" spans="1:22" ht="14.25" x14ac:dyDescent="0.2">
      <c r="A376" s="19"/>
      <c r="B376" s="19"/>
      <c r="C376" s="19" t="s">
        <v>825</v>
      </c>
      <c r="D376" s="20"/>
      <c r="E376" s="9"/>
      <c r="F376" s="22">
        <f>Source!AO291</f>
        <v>1493.05</v>
      </c>
      <c r="G376" s="21" t="str">
        <f>Source!DG291</f>
        <v>)*2</v>
      </c>
      <c r="H376" s="9">
        <f>Source!AV291</f>
        <v>1</v>
      </c>
      <c r="I376" s="9">
        <f>IF(Source!BA291&lt;&gt; 0, Source!BA291, 1)</f>
        <v>1</v>
      </c>
      <c r="J376" s="22">
        <f>Source!S291</f>
        <v>35833.199999999997</v>
      </c>
      <c r="K376" s="22"/>
    </row>
    <row r="377" spans="1:22" ht="14.25" x14ac:dyDescent="0.2">
      <c r="A377" s="19"/>
      <c r="B377" s="19"/>
      <c r="C377" s="19" t="s">
        <v>834</v>
      </c>
      <c r="D377" s="20"/>
      <c r="E377" s="9"/>
      <c r="F377" s="22">
        <f>Source!AL291</f>
        <v>19.14</v>
      </c>
      <c r="G377" s="21" t="str">
        <f>Source!DD291</f>
        <v>)*2</v>
      </c>
      <c r="H377" s="9">
        <f>Source!AW291</f>
        <v>1</v>
      </c>
      <c r="I377" s="9">
        <f>IF(Source!BC291&lt;&gt; 0, Source!BC291, 1)</f>
        <v>1</v>
      </c>
      <c r="J377" s="22">
        <f>Source!P291</f>
        <v>459.36</v>
      </c>
      <c r="K377" s="22"/>
    </row>
    <row r="378" spans="1:22" ht="14.25" x14ac:dyDescent="0.2">
      <c r="A378" s="19"/>
      <c r="B378" s="19"/>
      <c r="C378" s="19" t="s">
        <v>828</v>
      </c>
      <c r="D378" s="20" t="s">
        <v>829</v>
      </c>
      <c r="E378" s="9">
        <f>Source!AT291</f>
        <v>70</v>
      </c>
      <c r="F378" s="22"/>
      <c r="G378" s="21"/>
      <c r="H378" s="9"/>
      <c r="I378" s="9"/>
      <c r="J378" s="22">
        <f>SUM(R374:R377)</f>
        <v>25083.24</v>
      </c>
      <c r="K378" s="22"/>
    </row>
    <row r="379" spans="1:22" ht="14.25" x14ac:dyDescent="0.2">
      <c r="A379" s="19"/>
      <c r="B379" s="19"/>
      <c r="C379" s="19" t="s">
        <v>830</v>
      </c>
      <c r="D379" s="20" t="s">
        <v>829</v>
      </c>
      <c r="E379" s="9">
        <f>Source!AU291</f>
        <v>10</v>
      </c>
      <c r="F379" s="22"/>
      <c r="G379" s="21"/>
      <c r="H379" s="9"/>
      <c r="I379" s="9"/>
      <c r="J379" s="22">
        <f>SUM(T374:T378)</f>
        <v>3583.32</v>
      </c>
      <c r="K379" s="22"/>
    </row>
    <row r="380" spans="1:22" ht="14.25" x14ac:dyDescent="0.2">
      <c r="A380" s="19"/>
      <c r="B380" s="19"/>
      <c r="C380" s="19" t="s">
        <v>832</v>
      </c>
      <c r="D380" s="20" t="s">
        <v>833</v>
      </c>
      <c r="E380" s="9">
        <f>Source!AQ291</f>
        <v>1.8</v>
      </c>
      <c r="F380" s="22"/>
      <c r="G380" s="21" t="str">
        <f>Source!DI291</f>
        <v>)*2</v>
      </c>
      <c r="H380" s="9">
        <f>Source!AV291</f>
        <v>1</v>
      </c>
      <c r="I380" s="9"/>
      <c r="J380" s="22"/>
      <c r="K380" s="22">
        <f>Source!U291</f>
        <v>43.2</v>
      </c>
    </row>
    <row r="381" spans="1:22" ht="15" x14ac:dyDescent="0.25">
      <c r="A381" s="27"/>
      <c r="B381" s="27"/>
      <c r="C381" s="27"/>
      <c r="D381" s="27"/>
      <c r="E381" s="27"/>
      <c r="F381" s="27"/>
      <c r="G381" s="27"/>
      <c r="H381" s="27"/>
      <c r="I381" s="60">
        <f>J376+J377+J378+J379</f>
        <v>64959.12</v>
      </c>
      <c r="J381" s="60"/>
      <c r="K381" s="28">
        <f>IF(Source!I291&lt;&gt;0, ROUND(I381/Source!I291, 2), 0)</f>
        <v>5413.26</v>
      </c>
      <c r="P381" s="25">
        <f>I381</f>
        <v>64959.12</v>
      </c>
    </row>
    <row r="382" spans="1:22" ht="57" x14ac:dyDescent="0.2">
      <c r="A382" s="19">
        <v>35</v>
      </c>
      <c r="B382" s="19" t="str">
        <f>Source!F292</f>
        <v>1.23-2303-6-1/1</v>
      </c>
      <c r="C382" s="19" t="str">
        <f>Source!G292</f>
        <v>Техническое обслуживание термопреобразователя сопротивления с унифицированным выходным сигналом</v>
      </c>
      <c r="D382" s="20" t="str">
        <f>Source!H292</f>
        <v>шт.</v>
      </c>
      <c r="E382" s="9">
        <f>Source!I292</f>
        <v>8</v>
      </c>
      <c r="F382" s="22"/>
      <c r="G382" s="21"/>
      <c r="H382" s="9"/>
      <c r="I382" s="9"/>
      <c r="J382" s="22"/>
      <c r="K382" s="22"/>
      <c r="Q382">
        <f>ROUND((Source!BZ292/100)*ROUND((Source!AF292*Source!AV292)*Source!I292, 2), 2)</f>
        <v>3735.65</v>
      </c>
      <c r="R382">
        <f>Source!X292</f>
        <v>3735.65</v>
      </c>
      <c r="S382">
        <f>ROUND((Source!CA292/100)*ROUND((Source!AF292*Source!AV292)*Source!I292, 2), 2)</f>
        <v>533.66</v>
      </c>
      <c r="T382">
        <f>Source!Y292</f>
        <v>533.66</v>
      </c>
      <c r="U382">
        <f>ROUND((175/100)*ROUND((Source!AE292*Source!AV292)*Source!I292, 2), 2)</f>
        <v>0</v>
      </c>
      <c r="V382">
        <f>ROUND((108/100)*ROUND(Source!CS292*Source!I292, 2), 2)</f>
        <v>0</v>
      </c>
    </row>
    <row r="383" spans="1:22" x14ac:dyDescent="0.2">
      <c r="C383" s="23" t="str">
        <f>"Объем: "&amp;Source!I292&amp;"=2*"&amp;"4"</f>
        <v>Объем: 8=2*4</v>
      </c>
    </row>
    <row r="384" spans="1:22" ht="14.25" x14ac:dyDescent="0.2">
      <c r="A384" s="19"/>
      <c r="B384" s="19"/>
      <c r="C384" s="19" t="s">
        <v>825</v>
      </c>
      <c r="D384" s="20"/>
      <c r="E384" s="9"/>
      <c r="F384" s="22">
        <f>Source!AO292</f>
        <v>333.54</v>
      </c>
      <c r="G384" s="21" t="str">
        <f>Source!DG292</f>
        <v>)*2</v>
      </c>
      <c r="H384" s="9">
        <f>Source!AV292</f>
        <v>1</v>
      </c>
      <c r="I384" s="9">
        <f>IF(Source!BA292&lt;&gt; 0, Source!BA292, 1)</f>
        <v>1</v>
      </c>
      <c r="J384" s="22">
        <f>Source!S292</f>
        <v>5336.64</v>
      </c>
      <c r="K384" s="22"/>
    </row>
    <row r="385" spans="1:22" ht="14.25" x14ac:dyDescent="0.2">
      <c r="A385" s="19"/>
      <c r="B385" s="19"/>
      <c r="C385" s="19" t="s">
        <v>834</v>
      </c>
      <c r="D385" s="20"/>
      <c r="E385" s="9"/>
      <c r="F385" s="22">
        <f>Source!AL292</f>
        <v>20.239999999999998</v>
      </c>
      <c r="G385" s="21" t="str">
        <f>Source!DD292</f>
        <v>)*2</v>
      </c>
      <c r="H385" s="9">
        <f>Source!AW292</f>
        <v>1</v>
      </c>
      <c r="I385" s="9">
        <f>IF(Source!BC292&lt;&gt; 0, Source!BC292, 1)</f>
        <v>1</v>
      </c>
      <c r="J385" s="22">
        <f>Source!P292</f>
        <v>323.83999999999997</v>
      </c>
      <c r="K385" s="22"/>
    </row>
    <row r="386" spans="1:22" ht="14.25" x14ac:dyDescent="0.2">
      <c r="A386" s="19"/>
      <c r="B386" s="19"/>
      <c r="C386" s="19" t="s">
        <v>828</v>
      </c>
      <c r="D386" s="20" t="s">
        <v>829</v>
      </c>
      <c r="E386" s="9">
        <f>Source!AT292</f>
        <v>70</v>
      </c>
      <c r="F386" s="22"/>
      <c r="G386" s="21"/>
      <c r="H386" s="9"/>
      <c r="I386" s="9"/>
      <c r="J386" s="22">
        <f>SUM(R382:R385)</f>
        <v>3735.65</v>
      </c>
      <c r="K386" s="22"/>
    </row>
    <row r="387" spans="1:22" ht="14.25" x14ac:dyDescent="0.2">
      <c r="A387" s="19"/>
      <c r="B387" s="19"/>
      <c r="C387" s="19" t="s">
        <v>830</v>
      </c>
      <c r="D387" s="20" t="s">
        <v>829</v>
      </c>
      <c r="E387" s="9">
        <f>Source!AU292</f>
        <v>10</v>
      </c>
      <c r="F387" s="22"/>
      <c r="G387" s="21"/>
      <c r="H387" s="9"/>
      <c r="I387" s="9"/>
      <c r="J387" s="22">
        <f>SUM(T382:T386)</f>
        <v>533.66</v>
      </c>
      <c r="K387" s="22"/>
    </row>
    <row r="388" spans="1:22" ht="14.25" x14ac:dyDescent="0.2">
      <c r="A388" s="19"/>
      <c r="B388" s="19"/>
      <c r="C388" s="19" t="s">
        <v>832</v>
      </c>
      <c r="D388" s="20" t="s">
        <v>833</v>
      </c>
      <c r="E388" s="9">
        <f>Source!AQ292</f>
        <v>0.47</v>
      </c>
      <c r="F388" s="22"/>
      <c r="G388" s="21" t="str">
        <f>Source!DI292</f>
        <v>)*2</v>
      </c>
      <c r="H388" s="9">
        <f>Source!AV292</f>
        <v>1</v>
      </c>
      <c r="I388" s="9"/>
      <c r="J388" s="22"/>
      <c r="K388" s="22">
        <f>Source!U292</f>
        <v>7.52</v>
      </c>
    </row>
    <row r="389" spans="1:22" ht="15" x14ac:dyDescent="0.25">
      <c r="A389" s="27"/>
      <c r="B389" s="27"/>
      <c r="C389" s="27"/>
      <c r="D389" s="27"/>
      <c r="E389" s="27"/>
      <c r="F389" s="27"/>
      <c r="G389" s="27"/>
      <c r="H389" s="27"/>
      <c r="I389" s="60">
        <f>J384+J385+J386+J387</f>
        <v>9929.7900000000009</v>
      </c>
      <c r="J389" s="60"/>
      <c r="K389" s="28">
        <f>IF(Source!I292&lt;&gt;0, ROUND(I389/Source!I292, 2), 0)</f>
        <v>1241.22</v>
      </c>
      <c r="P389" s="25">
        <f>I389</f>
        <v>9929.7900000000009</v>
      </c>
    </row>
    <row r="390" spans="1:22" ht="42.75" x14ac:dyDescent="0.2">
      <c r="A390" s="19">
        <v>36</v>
      </c>
      <c r="B390" s="19" t="str">
        <f>Source!F293</f>
        <v>1.23-2103-27-1/1</v>
      </c>
      <c r="C390" s="19" t="str">
        <f>Source!G293</f>
        <v>Техническое обслуживание преобразователя давления МТ100 и аналогов</v>
      </c>
      <c r="D390" s="20" t="str">
        <f>Source!H293</f>
        <v>10 шт.</v>
      </c>
      <c r="E390" s="9">
        <f>Source!I293</f>
        <v>0.8</v>
      </c>
      <c r="F390" s="22"/>
      <c r="G390" s="21"/>
      <c r="H390" s="9"/>
      <c r="I390" s="9"/>
      <c r="J390" s="22"/>
      <c r="K390" s="22"/>
      <c r="Q390">
        <f>ROUND((Source!BZ293/100)*ROUND((Source!AF293*Source!AV293)*Source!I293, 2), 2)</f>
        <v>9935.24</v>
      </c>
      <c r="R390">
        <f>Source!X293</f>
        <v>9935.24</v>
      </c>
      <c r="S390">
        <f>ROUND((Source!CA293/100)*ROUND((Source!AF293*Source!AV293)*Source!I293, 2), 2)</f>
        <v>1419.32</v>
      </c>
      <c r="T390">
        <f>Source!Y293</f>
        <v>1419.32</v>
      </c>
      <c r="U390">
        <f>ROUND((175/100)*ROUND((Source!AE293*Source!AV293)*Source!I293, 2), 2)</f>
        <v>0</v>
      </c>
      <c r="V390">
        <f>ROUND((108/100)*ROUND(Source!CS293*Source!I293, 2), 2)</f>
        <v>0</v>
      </c>
    </row>
    <row r="391" spans="1:22" x14ac:dyDescent="0.2">
      <c r="C391" s="23" t="str">
        <f>"Объем: "&amp;Source!I293&amp;"=2*"&amp;"4/"&amp;"10"</f>
        <v>Объем: 0,8=2*4/10</v>
      </c>
    </row>
    <row r="392" spans="1:22" ht="14.25" x14ac:dyDescent="0.2">
      <c r="A392" s="19"/>
      <c r="B392" s="19"/>
      <c r="C392" s="19" t="s">
        <v>825</v>
      </c>
      <c r="D392" s="20"/>
      <c r="E392" s="9"/>
      <c r="F392" s="22">
        <f>Source!AO293</f>
        <v>8870.75</v>
      </c>
      <c r="G392" s="21" t="str">
        <f>Source!DG293</f>
        <v>)*2</v>
      </c>
      <c r="H392" s="9">
        <f>Source!AV293</f>
        <v>1</v>
      </c>
      <c r="I392" s="9">
        <f>IF(Source!BA293&lt;&gt; 0, Source!BA293, 1)</f>
        <v>1</v>
      </c>
      <c r="J392" s="22">
        <f>Source!S293</f>
        <v>14193.2</v>
      </c>
      <c r="K392" s="22"/>
    </row>
    <row r="393" spans="1:22" ht="14.25" x14ac:dyDescent="0.2">
      <c r="A393" s="19"/>
      <c r="B393" s="19"/>
      <c r="C393" s="19" t="s">
        <v>834</v>
      </c>
      <c r="D393" s="20"/>
      <c r="E393" s="9"/>
      <c r="F393" s="22">
        <f>Source!AL293</f>
        <v>17.39</v>
      </c>
      <c r="G393" s="21" t="str">
        <f>Source!DD293</f>
        <v>)*2</v>
      </c>
      <c r="H393" s="9">
        <f>Source!AW293</f>
        <v>1</v>
      </c>
      <c r="I393" s="9">
        <f>IF(Source!BC293&lt;&gt; 0, Source!BC293, 1)</f>
        <v>1</v>
      </c>
      <c r="J393" s="22">
        <f>Source!P293</f>
        <v>27.82</v>
      </c>
      <c r="K393" s="22"/>
    </row>
    <row r="394" spans="1:22" ht="14.25" x14ac:dyDescent="0.2">
      <c r="A394" s="19"/>
      <c r="B394" s="19"/>
      <c r="C394" s="19" t="s">
        <v>828</v>
      </c>
      <c r="D394" s="20" t="s">
        <v>829</v>
      </c>
      <c r="E394" s="9">
        <f>Source!AT293</f>
        <v>70</v>
      </c>
      <c r="F394" s="22"/>
      <c r="G394" s="21"/>
      <c r="H394" s="9"/>
      <c r="I394" s="9"/>
      <c r="J394" s="22">
        <f>SUM(R390:R393)</f>
        <v>9935.24</v>
      </c>
      <c r="K394" s="22"/>
    </row>
    <row r="395" spans="1:22" ht="14.25" x14ac:dyDescent="0.2">
      <c r="A395" s="19"/>
      <c r="B395" s="19"/>
      <c r="C395" s="19" t="s">
        <v>830</v>
      </c>
      <c r="D395" s="20" t="s">
        <v>829</v>
      </c>
      <c r="E395" s="9">
        <f>Source!AU293</f>
        <v>10</v>
      </c>
      <c r="F395" s="22"/>
      <c r="G395" s="21"/>
      <c r="H395" s="9"/>
      <c r="I395" s="9"/>
      <c r="J395" s="22">
        <f>SUM(T390:T394)</f>
        <v>1419.32</v>
      </c>
      <c r="K395" s="22"/>
    </row>
    <row r="396" spans="1:22" ht="14.25" x14ac:dyDescent="0.2">
      <c r="A396" s="19"/>
      <c r="B396" s="19"/>
      <c r="C396" s="19" t="s">
        <v>832</v>
      </c>
      <c r="D396" s="20" t="s">
        <v>833</v>
      </c>
      <c r="E396" s="9">
        <f>Source!AQ293</f>
        <v>12.5</v>
      </c>
      <c r="F396" s="22"/>
      <c r="G396" s="21" t="str">
        <f>Source!DI293</f>
        <v>)*2</v>
      </c>
      <c r="H396" s="9">
        <f>Source!AV293</f>
        <v>1</v>
      </c>
      <c r="I396" s="9"/>
      <c r="J396" s="22"/>
      <c r="K396" s="22">
        <f>Source!U293</f>
        <v>20</v>
      </c>
    </row>
    <row r="397" spans="1:22" ht="15" x14ac:dyDescent="0.25">
      <c r="A397" s="27"/>
      <c r="B397" s="27"/>
      <c r="C397" s="27"/>
      <c r="D397" s="27"/>
      <c r="E397" s="27"/>
      <c r="F397" s="27"/>
      <c r="G397" s="27"/>
      <c r="H397" s="27"/>
      <c r="I397" s="60">
        <f>J392+J393+J394+J395</f>
        <v>25575.58</v>
      </c>
      <c r="J397" s="60"/>
      <c r="K397" s="28">
        <f>IF(Source!I293&lt;&gt;0, ROUND(I397/Source!I293, 2), 0)</f>
        <v>31969.48</v>
      </c>
      <c r="P397" s="25">
        <f>I397</f>
        <v>25575.58</v>
      </c>
    </row>
    <row r="399" spans="1:22" ht="15" x14ac:dyDescent="0.25">
      <c r="A399" s="59" t="str">
        <f>CONCATENATE("Итого по подразделу: ",IF(Source!G297&lt;&gt;"Новый подраздел", Source!G297, ""))</f>
        <v>Итого по подразделу: Система УУТЭ</v>
      </c>
      <c r="B399" s="59"/>
      <c r="C399" s="59"/>
      <c r="D399" s="59"/>
      <c r="E399" s="59"/>
      <c r="F399" s="59"/>
      <c r="G399" s="59"/>
      <c r="H399" s="59"/>
      <c r="I399" s="57">
        <f>SUM(P356:P398)</f>
        <v>133943.67999999999</v>
      </c>
      <c r="J399" s="58"/>
      <c r="K399" s="18"/>
    </row>
    <row r="402" spans="1:22" ht="16.5" x14ac:dyDescent="0.25">
      <c r="A402" s="55" t="str">
        <f>CONCATENATE("Подраздел: ",IF(Source!G327&lt;&gt;"Новый подраздел", Source!G327, ""))</f>
        <v>Подраздел: Отопление</v>
      </c>
      <c r="B402" s="55"/>
      <c r="C402" s="55"/>
      <c r="D402" s="55"/>
      <c r="E402" s="55"/>
      <c r="F402" s="55"/>
      <c r="G402" s="55"/>
      <c r="H402" s="55"/>
      <c r="I402" s="55"/>
      <c r="J402" s="55"/>
      <c r="K402" s="55"/>
    </row>
    <row r="404" spans="1:22" ht="15" x14ac:dyDescent="0.25">
      <c r="B404" s="56" t="str">
        <f>Source!G331</f>
        <v>Корпуса 7.2.1 - 7.2.3</v>
      </c>
      <c r="C404" s="56"/>
      <c r="D404" s="56"/>
      <c r="E404" s="56"/>
      <c r="F404" s="56"/>
      <c r="G404" s="56"/>
      <c r="H404" s="56"/>
      <c r="I404" s="56"/>
      <c r="J404" s="56"/>
    </row>
    <row r="405" spans="1:22" ht="42.75" x14ac:dyDescent="0.2">
      <c r="A405" s="19">
        <v>37</v>
      </c>
      <c r="B405" s="19" t="str">
        <f>Source!F332</f>
        <v>1.17-2103-13-27/1</v>
      </c>
      <c r="C405" s="19" t="str">
        <f>Source!G332</f>
        <v>Техническое обслуживание стальных панельных радиаторов типа 33 высотой 500 мм длиной до 1500 мм</v>
      </c>
      <c r="D405" s="20" t="str">
        <f>Source!H332</f>
        <v>шт.</v>
      </c>
      <c r="E405" s="9">
        <f>Source!I332</f>
        <v>30</v>
      </c>
      <c r="F405" s="22"/>
      <c r="G405" s="21"/>
      <c r="H405" s="9"/>
      <c r="I405" s="9"/>
      <c r="J405" s="22"/>
      <c r="K405" s="22"/>
      <c r="Q405">
        <f>ROUND((Source!BZ332/100)*ROUND((Source!AF332*Source!AV332)*Source!I332, 2), 2)</f>
        <v>6847.26</v>
      </c>
      <c r="R405">
        <f>Source!X332</f>
        <v>6847.26</v>
      </c>
      <c r="S405">
        <f>ROUND((Source!CA332/100)*ROUND((Source!AF332*Source!AV332)*Source!I332, 2), 2)</f>
        <v>978.18</v>
      </c>
      <c r="T405">
        <f>Source!Y332</f>
        <v>978.18</v>
      </c>
      <c r="U405">
        <f>ROUND((175/100)*ROUND((Source!AE332*Source!AV332)*Source!I332, 2), 2)</f>
        <v>1.58</v>
      </c>
      <c r="V405">
        <f>ROUND((108/100)*ROUND(Source!CS332*Source!I332, 2), 2)</f>
        <v>0.97</v>
      </c>
    </row>
    <row r="406" spans="1:22" x14ac:dyDescent="0.2">
      <c r="C406" s="23" t="str">
        <f>"Объем: "&amp;Source!I332&amp;"=(4+"&amp;"6)*"&amp;"3"</f>
        <v>Объем: 30=(4+6)*3</v>
      </c>
    </row>
    <row r="407" spans="1:22" ht="14.25" x14ac:dyDescent="0.2">
      <c r="A407" s="19"/>
      <c r="B407" s="19"/>
      <c r="C407" s="19" t="s">
        <v>825</v>
      </c>
      <c r="D407" s="20"/>
      <c r="E407" s="9"/>
      <c r="F407" s="22">
        <f>Source!AO332</f>
        <v>326.06</v>
      </c>
      <c r="G407" s="21" t="str">
        <f>Source!DG332</f>
        <v/>
      </c>
      <c r="H407" s="9">
        <f>Source!AV332</f>
        <v>1</v>
      </c>
      <c r="I407" s="9">
        <f>IF(Source!BA332&lt;&gt; 0, Source!BA332, 1)</f>
        <v>1</v>
      </c>
      <c r="J407" s="22">
        <f>Source!S332</f>
        <v>9781.7999999999993</v>
      </c>
      <c r="K407" s="22"/>
    </row>
    <row r="408" spans="1:22" ht="14.25" x14ac:dyDescent="0.2">
      <c r="A408" s="19"/>
      <c r="B408" s="19"/>
      <c r="C408" s="19" t="s">
        <v>826</v>
      </c>
      <c r="D408" s="20"/>
      <c r="E408" s="9"/>
      <c r="F408" s="22">
        <f>Source!AM332</f>
        <v>2.5299999999999998</v>
      </c>
      <c r="G408" s="21" t="str">
        <f>Source!DE332</f>
        <v/>
      </c>
      <c r="H408" s="9">
        <f>Source!AV332</f>
        <v>1</v>
      </c>
      <c r="I408" s="9">
        <f>IF(Source!BB332&lt;&gt; 0, Source!BB332, 1)</f>
        <v>1</v>
      </c>
      <c r="J408" s="22">
        <f>Source!Q332</f>
        <v>75.900000000000006</v>
      </c>
      <c r="K408" s="22"/>
    </row>
    <row r="409" spans="1:22" ht="14.25" x14ac:dyDescent="0.2">
      <c r="A409" s="19"/>
      <c r="B409" s="19"/>
      <c r="C409" s="19" t="s">
        <v>827</v>
      </c>
      <c r="D409" s="20"/>
      <c r="E409" s="9"/>
      <c r="F409" s="22">
        <f>Source!AN332</f>
        <v>0.03</v>
      </c>
      <c r="G409" s="21" t="str">
        <f>Source!DF332</f>
        <v/>
      </c>
      <c r="H409" s="9">
        <f>Source!AV332</f>
        <v>1</v>
      </c>
      <c r="I409" s="9">
        <f>IF(Source!BS332&lt;&gt; 0, Source!BS332, 1)</f>
        <v>1</v>
      </c>
      <c r="J409" s="24">
        <f>Source!R332</f>
        <v>0.9</v>
      </c>
      <c r="K409" s="22"/>
    </row>
    <row r="410" spans="1:22" ht="14.25" x14ac:dyDescent="0.2">
      <c r="A410" s="19"/>
      <c r="B410" s="19"/>
      <c r="C410" s="19" t="s">
        <v>834</v>
      </c>
      <c r="D410" s="20"/>
      <c r="E410" s="9"/>
      <c r="F410" s="22">
        <f>Source!AL332</f>
        <v>0.47</v>
      </c>
      <c r="G410" s="21" t="str">
        <f>Source!DD332</f>
        <v/>
      </c>
      <c r="H410" s="9">
        <f>Source!AW332</f>
        <v>1</v>
      </c>
      <c r="I410" s="9">
        <f>IF(Source!BC332&lt;&gt; 0, Source!BC332, 1)</f>
        <v>1</v>
      </c>
      <c r="J410" s="22">
        <f>Source!P332</f>
        <v>14.1</v>
      </c>
      <c r="K410" s="22"/>
    </row>
    <row r="411" spans="1:22" ht="14.25" x14ac:dyDescent="0.2">
      <c r="A411" s="19"/>
      <c r="B411" s="19"/>
      <c r="C411" s="19" t="s">
        <v>828</v>
      </c>
      <c r="D411" s="20" t="s">
        <v>829</v>
      </c>
      <c r="E411" s="9">
        <f>Source!AT332</f>
        <v>70</v>
      </c>
      <c r="F411" s="22"/>
      <c r="G411" s="21"/>
      <c r="H411" s="9"/>
      <c r="I411" s="9"/>
      <c r="J411" s="22">
        <f>SUM(R405:R410)</f>
        <v>6847.26</v>
      </c>
      <c r="K411" s="22"/>
    </row>
    <row r="412" spans="1:22" ht="14.25" x14ac:dyDescent="0.2">
      <c r="A412" s="19"/>
      <c r="B412" s="19"/>
      <c r="C412" s="19" t="s">
        <v>830</v>
      </c>
      <c r="D412" s="20" t="s">
        <v>829</v>
      </c>
      <c r="E412" s="9">
        <f>Source!AU332</f>
        <v>10</v>
      </c>
      <c r="F412" s="22"/>
      <c r="G412" s="21"/>
      <c r="H412" s="9"/>
      <c r="I412" s="9"/>
      <c r="J412" s="22">
        <f>SUM(T405:T411)</f>
        <v>978.18</v>
      </c>
      <c r="K412" s="22"/>
    </row>
    <row r="413" spans="1:22" ht="14.25" x14ac:dyDescent="0.2">
      <c r="A413" s="19"/>
      <c r="B413" s="19"/>
      <c r="C413" s="19" t="s">
        <v>831</v>
      </c>
      <c r="D413" s="20" t="s">
        <v>829</v>
      </c>
      <c r="E413" s="9">
        <f>108</f>
        <v>108</v>
      </c>
      <c r="F413" s="22"/>
      <c r="G413" s="21"/>
      <c r="H413" s="9"/>
      <c r="I413" s="9"/>
      <c r="J413" s="22">
        <f>SUM(V405:V412)</f>
        <v>0.97</v>
      </c>
      <c r="K413" s="22"/>
    </row>
    <row r="414" spans="1:22" ht="14.25" x14ac:dyDescent="0.2">
      <c r="A414" s="19"/>
      <c r="B414" s="19"/>
      <c r="C414" s="19" t="s">
        <v>832</v>
      </c>
      <c r="D414" s="20" t="s">
        <v>833</v>
      </c>
      <c r="E414" s="9">
        <f>Source!AQ332</f>
        <v>0.57999999999999996</v>
      </c>
      <c r="F414" s="22"/>
      <c r="G414" s="21" t="str">
        <f>Source!DI332</f>
        <v/>
      </c>
      <c r="H414" s="9">
        <f>Source!AV332</f>
        <v>1</v>
      </c>
      <c r="I414" s="9"/>
      <c r="J414" s="22"/>
      <c r="K414" s="22">
        <f>Source!U332</f>
        <v>17.399999999999999</v>
      </c>
    </row>
    <row r="415" spans="1:22" ht="15" x14ac:dyDescent="0.25">
      <c r="A415" s="27"/>
      <c r="B415" s="27"/>
      <c r="C415" s="27"/>
      <c r="D415" s="27"/>
      <c r="E415" s="27"/>
      <c r="F415" s="27"/>
      <c r="G415" s="27"/>
      <c r="H415" s="27"/>
      <c r="I415" s="60">
        <f>J407+J408+J410+J411+J412+J413</f>
        <v>17698.21</v>
      </c>
      <c r="J415" s="60"/>
      <c r="K415" s="28">
        <f>IF(Source!I332&lt;&gt;0, ROUND(I415/Source!I332, 2), 0)</f>
        <v>589.94000000000005</v>
      </c>
      <c r="P415" s="25">
        <f>I415</f>
        <v>17698.21</v>
      </c>
    </row>
    <row r="416" spans="1:22" ht="42.75" x14ac:dyDescent="0.2">
      <c r="A416" s="19">
        <v>38</v>
      </c>
      <c r="B416" s="19" t="str">
        <f>Source!F333</f>
        <v>1.17-2103-13-28/1</v>
      </c>
      <c r="C416" s="19" t="str">
        <f>Source!G333</f>
        <v>Техническое обслуживание стальных панельных радиаторов типа 33 высотой 500 мм длиной до 3000 мм</v>
      </c>
      <c r="D416" s="20" t="str">
        <f>Source!H333</f>
        <v>шт.</v>
      </c>
      <c r="E416" s="9">
        <f>Source!I333</f>
        <v>9</v>
      </c>
      <c r="F416" s="22"/>
      <c r="G416" s="21"/>
      <c r="H416" s="9"/>
      <c r="I416" s="9"/>
      <c r="J416" s="22"/>
      <c r="K416" s="22"/>
      <c r="Q416">
        <f>ROUND((Source!BZ333/100)*ROUND((Source!AF333*Source!AV333)*Source!I333, 2), 2)</f>
        <v>3187.49</v>
      </c>
      <c r="R416">
        <f>Source!X333</f>
        <v>3187.49</v>
      </c>
      <c r="S416">
        <f>ROUND((Source!CA333/100)*ROUND((Source!AF333*Source!AV333)*Source!I333, 2), 2)</f>
        <v>455.36</v>
      </c>
      <c r="T416">
        <f>Source!Y333</f>
        <v>455.36</v>
      </c>
      <c r="U416">
        <f>ROUND((175/100)*ROUND((Source!AE333*Source!AV333)*Source!I333, 2), 2)</f>
        <v>1.1000000000000001</v>
      </c>
      <c r="V416">
        <f>ROUND((108/100)*ROUND(Source!CS333*Source!I333, 2), 2)</f>
        <v>0.68</v>
      </c>
    </row>
    <row r="417" spans="1:22" x14ac:dyDescent="0.2">
      <c r="C417" s="23" t="str">
        <f>"Объем: "&amp;Source!I333&amp;"=(1+"&amp;"2)*"&amp;"3"</f>
        <v>Объем: 9=(1+2)*3</v>
      </c>
    </row>
    <row r="418" spans="1:22" ht="14.25" x14ac:dyDescent="0.2">
      <c r="A418" s="19"/>
      <c r="B418" s="19"/>
      <c r="C418" s="19" t="s">
        <v>825</v>
      </c>
      <c r="D418" s="20"/>
      <c r="E418" s="9"/>
      <c r="F418" s="22">
        <f>Source!AO333</f>
        <v>505.95</v>
      </c>
      <c r="G418" s="21" t="str">
        <f>Source!DG333</f>
        <v/>
      </c>
      <c r="H418" s="9">
        <f>Source!AV333</f>
        <v>1</v>
      </c>
      <c r="I418" s="9">
        <f>IF(Source!BA333&lt;&gt; 0, Source!BA333, 1)</f>
        <v>1</v>
      </c>
      <c r="J418" s="22">
        <f>Source!S333</f>
        <v>4553.55</v>
      </c>
      <c r="K418" s="22"/>
    </row>
    <row r="419" spans="1:22" ht="14.25" x14ac:dyDescent="0.2">
      <c r="A419" s="19"/>
      <c r="B419" s="19"/>
      <c r="C419" s="19" t="s">
        <v>826</v>
      </c>
      <c r="D419" s="20"/>
      <c r="E419" s="9"/>
      <c r="F419" s="22">
        <f>Source!AM333</f>
        <v>5.0599999999999996</v>
      </c>
      <c r="G419" s="21" t="str">
        <f>Source!DE333</f>
        <v/>
      </c>
      <c r="H419" s="9">
        <f>Source!AV333</f>
        <v>1</v>
      </c>
      <c r="I419" s="9">
        <f>IF(Source!BB333&lt;&gt; 0, Source!BB333, 1)</f>
        <v>1</v>
      </c>
      <c r="J419" s="22">
        <f>Source!Q333</f>
        <v>45.54</v>
      </c>
      <c r="K419" s="22"/>
    </row>
    <row r="420" spans="1:22" ht="14.25" x14ac:dyDescent="0.2">
      <c r="A420" s="19"/>
      <c r="B420" s="19"/>
      <c r="C420" s="19" t="s">
        <v>827</v>
      </c>
      <c r="D420" s="20"/>
      <c r="E420" s="9"/>
      <c r="F420" s="22">
        <f>Source!AN333</f>
        <v>7.0000000000000007E-2</v>
      </c>
      <c r="G420" s="21" t="str">
        <f>Source!DF333</f>
        <v/>
      </c>
      <c r="H420" s="9">
        <f>Source!AV333</f>
        <v>1</v>
      </c>
      <c r="I420" s="9">
        <f>IF(Source!BS333&lt;&gt; 0, Source!BS333, 1)</f>
        <v>1</v>
      </c>
      <c r="J420" s="24">
        <f>Source!R333</f>
        <v>0.63</v>
      </c>
      <c r="K420" s="22"/>
    </row>
    <row r="421" spans="1:22" ht="14.25" x14ac:dyDescent="0.2">
      <c r="A421" s="19"/>
      <c r="B421" s="19"/>
      <c r="C421" s="19" t="s">
        <v>834</v>
      </c>
      <c r="D421" s="20"/>
      <c r="E421" s="9"/>
      <c r="F421" s="22">
        <f>Source!AL333</f>
        <v>0.94</v>
      </c>
      <c r="G421" s="21" t="str">
        <f>Source!DD333</f>
        <v/>
      </c>
      <c r="H421" s="9">
        <f>Source!AW333</f>
        <v>1</v>
      </c>
      <c r="I421" s="9">
        <f>IF(Source!BC333&lt;&gt; 0, Source!BC333, 1)</f>
        <v>1</v>
      </c>
      <c r="J421" s="22">
        <f>Source!P333</f>
        <v>8.4600000000000009</v>
      </c>
      <c r="K421" s="22"/>
    </row>
    <row r="422" spans="1:22" ht="14.25" x14ac:dyDescent="0.2">
      <c r="A422" s="19"/>
      <c r="B422" s="19"/>
      <c r="C422" s="19" t="s">
        <v>828</v>
      </c>
      <c r="D422" s="20" t="s">
        <v>829</v>
      </c>
      <c r="E422" s="9">
        <f>Source!AT333</f>
        <v>70</v>
      </c>
      <c r="F422" s="22"/>
      <c r="G422" s="21"/>
      <c r="H422" s="9"/>
      <c r="I422" s="9"/>
      <c r="J422" s="22">
        <f>SUM(R416:R421)</f>
        <v>3187.49</v>
      </c>
      <c r="K422" s="22"/>
    </row>
    <row r="423" spans="1:22" ht="14.25" x14ac:dyDescent="0.2">
      <c r="A423" s="19"/>
      <c r="B423" s="19"/>
      <c r="C423" s="19" t="s">
        <v>830</v>
      </c>
      <c r="D423" s="20" t="s">
        <v>829</v>
      </c>
      <c r="E423" s="9">
        <f>Source!AU333</f>
        <v>10</v>
      </c>
      <c r="F423" s="22"/>
      <c r="G423" s="21"/>
      <c r="H423" s="9"/>
      <c r="I423" s="9"/>
      <c r="J423" s="22">
        <f>SUM(T416:T422)</f>
        <v>455.36</v>
      </c>
      <c r="K423" s="22"/>
    </row>
    <row r="424" spans="1:22" ht="14.25" x14ac:dyDescent="0.2">
      <c r="A424" s="19"/>
      <c r="B424" s="19"/>
      <c r="C424" s="19" t="s">
        <v>831</v>
      </c>
      <c r="D424" s="20" t="s">
        <v>829</v>
      </c>
      <c r="E424" s="9">
        <f>108</f>
        <v>108</v>
      </c>
      <c r="F424" s="22"/>
      <c r="G424" s="21"/>
      <c r="H424" s="9"/>
      <c r="I424" s="9"/>
      <c r="J424" s="22">
        <f>SUM(V416:V423)</f>
        <v>0.68</v>
      </c>
      <c r="K424" s="22"/>
    </row>
    <row r="425" spans="1:22" ht="14.25" x14ac:dyDescent="0.2">
      <c r="A425" s="19"/>
      <c r="B425" s="19"/>
      <c r="C425" s="19" t="s">
        <v>832</v>
      </c>
      <c r="D425" s="20" t="s">
        <v>833</v>
      </c>
      <c r="E425" s="9">
        <f>Source!AQ333</f>
        <v>0.9</v>
      </c>
      <c r="F425" s="22"/>
      <c r="G425" s="21" t="str">
        <f>Source!DI333</f>
        <v/>
      </c>
      <c r="H425" s="9">
        <f>Source!AV333</f>
        <v>1</v>
      </c>
      <c r="I425" s="9"/>
      <c r="J425" s="22"/>
      <c r="K425" s="22">
        <f>Source!U333</f>
        <v>8.1</v>
      </c>
    </row>
    <row r="426" spans="1:22" ht="15" x14ac:dyDescent="0.25">
      <c r="A426" s="27"/>
      <c r="B426" s="27"/>
      <c r="C426" s="27"/>
      <c r="D426" s="27"/>
      <c r="E426" s="27"/>
      <c r="F426" s="27"/>
      <c r="G426" s="27"/>
      <c r="H426" s="27"/>
      <c r="I426" s="60">
        <f>J418+J419+J421+J422+J423+J424</f>
        <v>8251.08</v>
      </c>
      <c r="J426" s="60"/>
      <c r="K426" s="28">
        <f>IF(Source!I333&lt;&gt;0, ROUND(I426/Source!I333, 2), 0)</f>
        <v>916.79</v>
      </c>
      <c r="P426" s="25">
        <f>I426</f>
        <v>8251.08</v>
      </c>
    </row>
    <row r="427" spans="1:22" ht="57" x14ac:dyDescent="0.2">
      <c r="A427" s="19">
        <v>39</v>
      </c>
      <c r="B427" s="19" t="str">
        <f>Source!F334</f>
        <v>1.17-2103-15-3/1</v>
      </c>
      <c r="C427" s="19" t="str">
        <f>Source!G334</f>
        <v>Техническое обслуживание конвекторов, встраиваемых в пол, длиной короба 1100 мм, шириной короба до 260 мм</v>
      </c>
      <c r="D427" s="20" t="str">
        <f>Source!H334</f>
        <v>10 шт.</v>
      </c>
      <c r="E427" s="9">
        <f>Source!I334</f>
        <v>3.6</v>
      </c>
      <c r="F427" s="22"/>
      <c r="G427" s="21"/>
      <c r="H427" s="9"/>
      <c r="I427" s="9"/>
      <c r="J427" s="22"/>
      <c r="K427" s="22"/>
      <c r="Q427">
        <f>ROUND((Source!BZ334/100)*ROUND((Source!AF334*Source!AV334)*Source!I334, 2), 2)</f>
        <v>2634.56</v>
      </c>
      <c r="R427">
        <f>Source!X334</f>
        <v>2634.56</v>
      </c>
      <c r="S427">
        <f>ROUND((Source!CA334/100)*ROUND((Source!AF334*Source!AV334)*Source!I334, 2), 2)</f>
        <v>376.37</v>
      </c>
      <c r="T427">
        <f>Source!Y334</f>
        <v>376.37</v>
      </c>
      <c r="U427">
        <f>ROUND((175/100)*ROUND((Source!AE334*Source!AV334)*Source!I334, 2), 2)</f>
        <v>0.39</v>
      </c>
      <c r="V427">
        <f>ROUND((108/100)*ROUND(Source!CS334*Source!I334, 2), 2)</f>
        <v>0.24</v>
      </c>
    </row>
    <row r="428" spans="1:22" x14ac:dyDescent="0.2">
      <c r="C428" s="23" t="str">
        <f>"Объем: "&amp;Source!I334&amp;"=12*"&amp;"3/"&amp;"10"</f>
        <v>Объем: 3,6=12*3/10</v>
      </c>
    </row>
    <row r="429" spans="1:22" ht="14.25" x14ac:dyDescent="0.2">
      <c r="A429" s="19"/>
      <c r="B429" s="19"/>
      <c r="C429" s="19" t="s">
        <v>825</v>
      </c>
      <c r="D429" s="20"/>
      <c r="E429" s="9"/>
      <c r="F429" s="22">
        <f>Source!AO334</f>
        <v>1045.46</v>
      </c>
      <c r="G429" s="21" t="str">
        <f>Source!DG334</f>
        <v/>
      </c>
      <c r="H429" s="9">
        <f>Source!AV334</f>
        <v>1</v>
      </c>
      <c r="I429" s="9">
        <f>IF(Source!BA334&lt;&gt; 0, Source!BA334, 1)</f>
        <v>1</v>
      </c>
      <c r="J429" s="22">
        <f>Source!S334</f>
        <v>3763.66</v>
      </c>
      <c r="K429" s="22"/>
    </row>
    <row r="430" spans="1:22" ht="14.25" x14ac:dyDescent="0.2">
      <c r="A430" s="19"/>
      <c r="B430" s="19"/>
      <c r="C430" s="19" t="s">
        <v>826</v>
      </c>
      <c r="D430" s="20"/>
      <c r="E430" s="9"/>
      <c r="F430" s="22">
        <f>Source!AM334</f>
        <v>4.09</v>
      </c>
      <c r="G430" s="21" t="str">
        <f>Source!DE334</f>
        <v/>
      </c>
      <c r="H430" s="9">
        <f>Source!AV334</f>
        <v>1</v>
      </c>
      <c r="I430" s="9">
        <f>IF(Source!BB334&lt;&gt; 0, Source!BB334, 1)</f>
        <v>1</v>
      </c>
      <c r="J430" s="22">
        <f>Source!Q334</f>
        <v>14.72</v>
      </c>
      <c r="K430" s="22"/>
    </row>
    <row r="431" spans="1:22" ht="14.25" x14ac:dyDescent="0.2">
      <c r="A431" s="19"/>
      <c r="B431" s="19"/>
      <c r="C431" s="19" t="s">
        <v>827</v>
      </c>
      <c r="D431" s="20"/>
      <c r="E431" s="9"/>
      <c r="F431" s="22">
        <f>Source!AN334</f>
        <v>0.06</v>
      </c>
      <c r="G431" s="21" t="str">
        <f>Source!DF334</f>
        <v/>
      </c>
      <c r="H431" s="9">
        <f>Source!AV334</f>
        <v>1</v>
      </c>
      <c r="I431" s="9">
        <f>IF(Source!BS334&lt;&gt; 0, Source!BS334, 1)</f>
        <v>1</v>
      </c>
      <c r="J431" s="24">
        <f>Source!R334</f>
        <v>0.22</v>
      </c>
      <c r="K431" s="22"/>
    </row>
    <row r="432" spans="1:22" ht="14.25" x14ac:dyDescent="0.2">
      <c r="A432" s="19"/>
      <c r="B432" s="19"/>
      <c r="C432" s="19" t="s">
        <v>834</v>
      </c>
      <c r="D432" s="20"/>
      <c r="E432" s="9"/>
      <c r="F432" s="22">
        <f>Source!AL334</f>
        <v>1.67</v>
      </c>
      <c r="G432" s="21" t="str">
        <f>Source!DD334</f>
        <v/>
      </c>
      <c r="H432" s="9">
        <f>Source!AW334</f>
        <v>1</v>
      </c>
      <c r="I432" s="9">
        <f>IF(Source!BC334&lt;&gt; 0, Source!BC334, 1)</f>
        <v>1</v>
      </c>
      <c r="J432" s="22">
        <f>Source!P334</f>
        <v>6.01</v>
      </c>
      <c r="K432" s="22"/>
    </row>
    <row r="433" spans="1:22" ht="14.25" x14ac:dyDescent="0.2">
      <c r="A433" s="19"/>
      <c r="B433" s="19"/>
      <c r="C433" s="19" t="s">
        <v>828</v>
      </c>
      <c r="D433" s="20" t="s">
        <v>829</v>
      </c>
      <c r="E433" s="9">
        <f>Source!AT334</f>
        <v>70</v>
      </c>
      <c r="F433" s="22"/>
      <c r="G433" s="21"/>
      <c r="H433" s="9"/>
      <c r="I433" s="9"/>
      <c r="J433" s="22">
        <f>SUM(R427:R432)</f>
        <v>2634.56</v>
      </c>
      <c r="K433" s="22"/>
    </row>
    <row r="434" spans="1:22" ht="14.25" x14ac:dyDescent="0.2">
      <c r="A434" s="19"/>
      <c r="B434" s="19"/>
      <c r="C434" s="19" t="s">
        <v>830</v>
      </c>
      <c r="D434" s="20" t="s">
        <v>829</v>
      </c>
      <c r="E434" s="9">
        <f>Source!AU334</f>
        <v>10</v>
      </c>
      <c r="F434" s="22"/>
      <c r="G434" s="21"/>
      <c r="H434" s="9"/>
      <c r="I434" s="9"/>
      <c r="J434" s="22">
        <f>SUM(T427:T433)</f>
        <v>376.37</v>
      </c>
      <c r="K434" s="22"/>
    </row>
    <row r="435" spans="1:22" ht="14.25" x14ac:dyDescent="0.2">
      <c r="A435" s="19"/>
      <c r="B435" s="19"/>
      <c r="C435" s="19" t="s">
        <v>831</v>
      </c>
      <c r="D435" s="20" t="s">
        <v>829</v>
      </c>
      <c r="E435" s="9">
        <f>108</f>
        <v>108</v>
      </c>
      <c r="F435" s="22"/>
      <c r="G435" s="21"/>
      <c r="H435" s="9"/>
      <c r="I435" s="9"/>
      <c r="J435" s="22">
        <f>SUM(V427:V434)</f>
        <v>0.24</v>
      </c>
      <c r="K435" s="22"/>
    </row>
    <row r="436" spans="1:22" ht="14.25" x14ac:dyDescent="0.2">
      <c r="A436" s="19"/>
      <c r="B436" s="19"/>
      <c r="C436" s="19" t="s">
        <v>832</v>
      </c>
      <c r="D436" s="20" t="s">
        <v>833</v>
      </c>
      <c r="E436" s="9">
        <f>Source!AQ334</f>
        <v>1.84</v>
      </c>
      <c r="F436" s="22"/>
      <c r="G436" s="21" t="str">
        <f>Source!DI334</f>
        <v/>
      </c>
      <c r="H436" s="9">
        <f>Source!AV334</f>
        <v>1</v>
      </c>
      <c r="I436" s="9"/>
      <c r="J436" s="22"/>
      <c r="K436" s="22">
        <f>Source!U334</f>
        <v>6.6240000000000006</v>
      </c>
    </row>
    <row r="437" spans="1:22" ht="15" x14ac:dyDescent="0.25">
      <c r="A437" s="27"/>
      <c r="B437" s="27"/>
      <c r="C437" s="27"/>
      <c r="D437" s="27"/>
      <c r="E437" s="27"/>
      <c r="F437" s="27"/>
      <c r="G437" s="27"/>
      <c r="H437" s="27"/>
      <c r="I437" s="60">
        <f>J429+J430+J432+J433+J434+J435</f>
        <v>6795.5599999999995</v>
      </c>
      <c r="J437" s="60"/>
      <c r="K437" s="28">
        <f>IF(Source!I334&lt;&gt;0, ROUND(I437/Source!I334, 2), 0)</f>
        <v>1887.66</v>
      </c>
      <c r="P437" s="25">
        <f>I437</f>
        <v>6795.5599999999995</v>
      </c>
    </row>
    <row r="438" spans="1:22" ht="57" x14ac:dyDescent="0.2">
      <c r="A438" s="19">
        <v>40</v>
      </c>
      <c r="B438" s="19" t="str">
        <f>Source!F335</f>
        <v>1.17-2103-15-3/1</v>
      </c>
      <c r="C438" s="19" t="str">
        <f>Source!G335</f>
        <v>Техническое обслуживание конвекторов, встраиваемых в пол, длиной короба 1100 мм, шириной короба до 260 мм</v>
      </c>
      <c r="D438" s="20" t="str">
        <f>Source!H335</f>
        <v>10 шт.</v>
      </c>
      <c r="E438" s="9">
        <f>Source!I335</f>
        <v>4.5</v>
      </c>
      <c r="F438" s="22"/>
      <c r="G438" s="21"/>
      <c r="H438" s="9"/>
      <c r="I438" s="9"/>
      <c r="J438" s="22"/>
      <c r="K438" s="22"/>
      <c r="Q438">
        <f>ROUND((Source!BZ335/100)*ROUND((Source!AF335*Source!AV335)*Source!I335, 2), 2)</f>
        <v>3293.2</v>
      </c>
      <c r="R438">
        <f>Source!X335</f>
        <v>3293.2</v>
      </c>
      <c r="S438">
        <f>ROUND((Source!CA335/100)*ROUND((Source!AF335*Source!AV335)*Source!I335, 2), 2)</f>
        <v>470.46</v>
      </c>
      <c r="T438">
        <f>Source!Y335</f>
        <v>470.46</v>
      </c>
      <c r="U438">
        <f>ROUND((175/100)*ROUND((Source!AE335*Source!AV335)*Source!I335, 2), 2)</f>
        <v>0.47</v>
      </c>
      <c r="V438">
        <f>ROUND((108/100)*ROUND(Source!CS335*Source!I335, 2), 2)</f>
        <v>0.28999999999999998</v>
      </c>
    </row>
    <row r="439" spans="1:22" x14ac:dyDescent="0.2">
      <c r="C439" s="23" t="str">
        <f>"Объем: "&amp;Source!I335&amp;"=15*"&amp;"3/"&amp;"10"</f>
        <v>Объем: 4,5=15*3/10</v>
      </c>
    </row>
    <row r="440" spans="1:22" ht="14.25" x14ac:dyDescent="0.2">
      <c r="A440" s="19"/>
      <c r="B440" s="19"/>
      <c r="C440" s="19" t="s">
        <v>825</v>
      </c>
      <c r="D440" s="20"/>
      <c r="E440" s="9"/>
      <c r="F440" s="22">
        <f>Source!AO335</f>
        <v>1045.46</v>
      </c>
      <c r="G440" s="21" t="str">
        <f>Source!DG335</f>
        <v/>
      </c>
      <c r="H440" s="9">
        <f>Source!AV335</f>
        <v>1</v>
      </c>
      <c r="I440" s="9">
        <f>IF(Source!BA335&lt;&gt; 0, Source!BA335, 1)</f>
        <v>1</v>
      </c>
      <c r="J440" s="22">
        <f>Source!S335</f>
        <v>4704.57</v>
      </c>
      <c r="K440" s="22"/>
    </row>
    <row r="441" spans="1:22" ht="14.25" x14ac:dyDescent="0.2">
      <c r="A441" s="19"/>
      <c r="B441" s="19"/>
      <c r="C441" s="19" t="s">
        <v>826</v>
      </c>
      <c r="D441" s="20"/>
      <c r="E441" s="9"/>
      <c r="F441" s="22">
        <f>Source!AM335</f>
        <v>4.09</v>
      </c>
      <c r="G441" s="21" t="str">
        <f>Source!DE335</f>
        <v/>
      </c>
      <c r="H441" s="9">
        <f>Source!AV335</f>
        <v>1</v>
      </c>
      <c r="I441" s="9">
        <f>IF(Source!BB335&lt;&gt; 0, Source!BB335, 1)</f>
        <v>1</v>
      </c>
      <c r="J441" s="22">
        <f>Source!Q335</f>
        <v>18.41</v>
      </c>
      <c r="K441" s="22"/>
    </row>
    <row r="442" spans="1:22" ht="14.25" x14ac:dyDescent="0.2">
      <c r="A442" s="19"/>
      <c r="B442" s="19"/>
      <c r="C442" s="19" t="s">
        <v>827</v>
      </c>
      <c r="D442" s="20"/>
      <c r="E442" s="9"/>
      <c r="F442" s="22">
        <f>Source!AN335</f>
        <v>0.06</v>
      </c>
      <c r="G442" s="21" t="str">
        <f>Source!DF335</f>
        <v/>
      </c>
      <c r="H442" s="9">
        <f>Source!AV335</f>
        <v>1</v>
      </c>
      <c r="I442" s="9">
        <f>IF(Source!BS335&lt;&gt; 0, Source!BS335, 1)</f>
        <v>1</v>
      </c>
      <c r="J442" s="24">
        <f>Source!R335</f>
        <v>0.27</v>
      </c>
      <c r="K442" s="22"/>
    </row>
    <row r="443" spans="1:22" ht="14.25" x14ac:dyDescent="0.2">
      <c r="A443" s="19"/>
      <c r="B443" s="19"/>
      <c r="C443" s="19" t="s">
        <v>834</v>
      </c>
      <c r="D443" s="20"/>
      <c r="E443" s="9"/>
      <c r="F443" s="22">
        <f>Source!AL335</f>
        <v>1.67</v>
      </c>
      <c r="G443" s="21" t="str">
        <f>Source!DD335</f>
        <v/>
      </c>
      <c r="H443" s="9">
        <f>Source!AW335</f>
        <v>1</v>
      </c>
      <c r="I443" s="9">
        <f>IF(Source!BC335&lt;&gt; 0, Source!BC335, 1)</f>
        <v>1</v>
      </c>
      <c r="J443" s="22">
        <f>Source!P335</f>
        <v>7.52</v>
      </c>
      <c r="K443" s="22"/>
    </row>
    <row r="444" spans="1:22" ht="14.25" x14ac:dyDescent="0.2">
      <c r="A444" s="19"/>
      <c r="B444" s="19"/>
      <c r="C444" s="19" t="s">
        <v>828</v>
      </c>
      <c r="D444" s="20" t="s">
        <v>829</v>
      </c>
      <c r="E444" s="9">
        <f>Source!AT335</f>
        <v>70</v>
      </c>
      <c r="F444" s="22"/>
      <c r="G444" s="21"/>
      <c r="H444" s="9"/>
      <c r="I444" s="9"/>
      <c r="J444" s="22">
        <f>SUM(R438:R443)</f>
        <v>3293.2</v>
      </c>
      <c r="K444" s="22"/>
    </row>
    <row r="445" spans="1:22" ht="14.25" x14ac:dyDescent="0.2">
      <c r="A445" s="19"/>
      <c r="B445" s="19"/>
      <c r="C445" s="19" t="s">
        <v>830</v>
      </c>
      <c r="D445" s="20" t="s">
        <v>829</v>
      </c>
      <c r="E445" s="9">
        <f>Source!AU335</f>
        <v>10</v>
      </c>
      <c r="F445" s="22"/>
      <c r="G445" s="21"/>
      <c r="H445" s="9"/>
      <c r="I445" s="9"/>
      <c r="J445" s="22">
        <f>SUM(T438:T444)</f>
        <v>470.46</v>
      </c>
      <c r="K445" s="22"/>
    </row>
    <row r="446" spans="1:22" ht="14.25" x14ac:dyDescent="0.2">
      <c r="A446" s="19"/>
      <c r="B446" s="19"/>
      <c r="C446" s="19" t="s">
        <v>831</v>
      </c>
      <c r="D446" s="20" t="s">
        <v>829</v>
      </c>
      <c r="E446" s="9">
        <f>108</f>
        <v>108</v>
      </c>
      <c r="F446" s="22"/>
      <c r="G446" s="21"/>
      <c r="H446" s="9"/>
      <c r="I446" s="9"/>
      <c r="J446" s="22">
        <f>SUM(V438:V445)</f>
        <v>0.28999999999999998</v>
      </c>
      <c r="K446" s="22"/>
    </row>
    <row r="447" spans="1:22" ht="14.25" x14ac:dyDescent="0.2">
      <c r="A447" s="19"/>
      <c r="B447" s="19"/>
      <c r="C447" s="19" t="s">
        <v>832</v>
      </c>
      <c r="D447" s="20" t="s">
        <v>833</v>
      </c>
      <c r="E447" s="9">
        <f>Source!AQ335</f>
        <v>1.84</v>
      </c>
      <c r="F447" s="22"/>
      <c r="G447" s="21" t="str">
        <f>Source!DI335</f>
        <v/>
      </c>
      <c r="H447" s="9">
        <f>Source!AV335</f>
        <v>1</v>
      </c>
      <c r="I447" s="9"/>
      <c r="J447" s="22"/>
      <c r="K447" s="22">
        <f>Source!U335</f>
        <v>8.2800000000000011</v>
      </c>
    </row>
    <row r="448" spans="1:22" ht="15" x14ac:dyDescent="0.25">
      <c r="A448" s="27"/>
      <c r="B448" s="27"/>
      <c r="C448" s="27"/>
      <c r="D448" s="27"/>
      <c r="E448" s="27"/>
      <c r="F448" s="27"/>
      <c r="G448" s="27"/>
      <c r="H448" s="27"/>
      <c r="I448" s="60">
        <f>J440+J441+J443+J444+J445+J446</f>
        <v>8494.4500000000007</v>
      </c>
      <c r="J448" s="60"/>
      <c r="K448" s="28">
        <f>IF(Source!I335&lt;&gt;0, ROUND(I448/Source!I335, 2), 0)</f>
        <v>1887.66</v>
      </c>
      <c r="P448" s="25">
        <f>I448</f>
        <v>8494.4500000000007</v>
      </c>
    </row>
    <row r="449" spans="1:22" ht="71.25" x14ac:dyDescent="0.2">
      <c r="A449" s="19">
        <v>41</v>
      </c>
      <c r="B449" s="19" t="str">
        <f>Source!F336</f>
        <v>1.17-2103-15-4/1</v>
      </c>
      <c r="C449" s="19" t="str">
        <f>Source!G336</f>
        <v>Техническое обслуживание конвекторов, встраиваемых в пол, шириной короба до 260 мм, добавлять к 1.17-2103-15-3 на каждые 200 мм увеличения длины короба</v>
      </c>
      <c r="D449" s="20" t="str">
        <f>Source!H336</f>
        <v>10 шт.</v>
      </c>
      <c r="E449" s="9">
        <f>Source!I336</f>
        <v>4.5</v>
      </c>
      <c r="F449" s="22"/>
      <c r="G449" s="21"/>
      <c r="H449" s="9"/>
      <c r="I449" s="9"/>
      <c r="J449" s="22"/>
      <c r="K449" s="22"/>
      <c r="Q449">
        <f>ROUND((Source!BZ336/100)*ROUND((Source!AF336*Source!AV336)*Source!I336, 2), 2)</f>
        <v>1805.74</v>
      </c>
      <c r="R449">
        <f>Source!X336</f>
        <v>1805.74</v>
      </c>
      <c r="S449">
        <f>ROUND((Source!CA336/100)*ROUND((Source!AF336*Source!AV336)*Source!I336, 2), 2)</f>
        <v>257.95999999999998</v>
      </c>
      <c r="T449">
        <f>Source!Y336</f>
        <v>257.95999999999998</v>
      </c>
      <c r="U449">
        <f>ROUND((175/100)*ROUND((Source!AE336*Source!AV336)*Source!I336, 2), 2)</f>
        <v>0.4</v>
      </c>
      <c r="V449">
        <f>ROUND((108/100)*ROUND(Source!CS336*Source!I336, 2), 2)</f>
        <v>0.25</v>
      </c>
    </row>
    <row r="450" spans="1:22" x14ac:dyDescent="0.2">
      <c r="C450" s="23" t="str">
        <f>"Объем: "&amp;Source!I336&amp;"=15*"&amp;"3/"&amp;"10"</f>
        <v>Объем: 4,5=15*3/10</v>
      </c>
    </row>
    <row r="451" spans="1:22" ht="14.25" x14ac:dyDescent="0.2">
      <c r="A451" s="19"/>
      <c r="B451" s="19"/>
      <c r="C451" s="19" t="s">
        <v>825</v>
      </c>
      <c r="D451" s="20"/>
      <c r="E451" s="9"/>
      <c r="F451" s="22">
        <f>Source!AO336</f>
        <v>114.65</v>
      </c>
      <c r="G451" s="21" t="str">
        <f>Source!DG336</f>
        <v>)*5</v>
      </c>
      <c r="H451" s="9">
        <f>Source!AV336</f>
        <v>1</v>
      </c>
      <c r="I451" s="9">
        <f>IF(Source!BA336&lt;&gt; 0, Source!BA336, 1)</f>
        <v>1</v>
      </c>
      <c r="J451" s="22">
        <f>Source!S336</f>
        <v>2579.63</v>
      </c>
      <c r="K451" s="22"/>
    </row>
    <row r="452" spans="1:22" ht="14.25" x14ac:dyDescent="0.2">
      <c r="A452" s="19"/>
      <c r="B452" s="19"/>
      <c r="C452" s="19" t="s">
        <v>826</v>
      </c>
      <c r="D452" s="20"/>
      <c r="E452" s="9"/>
      <c r="F452" s="22">
        <f>Source!AM336</f>
        <v>0.74</v>
      </c>
      <c r="G452" s="21" t="str">
        <f>Source!DE336</f>
        <v>)*5</v>
      </c>
      <c r="H452" s="9">
        <f>Source!AV336</f>
        <v>1</v>
      </c>
      <c r="I452" s="9">
        <f>IF(Source!BB336&lt;&gt; 0, Source!BB336, 1)</f>
        <v>1</v>
      </c>
      <c r="J452" s="22">
        <f>Source!Q336</f>
        <v>16.649999999999999</v>
      </c>
      <c r="K452" s="22"/>
    </row>
    <row r="453" spans="1:22" ht="14.25" x14ac:dyDescent="0.2">
      <c r="A453" s="19"/>
      <c r="B453" s="19"/>
      <c r="C453" s="19" t="s">
        <v>827</v>
      </c>
      <c r="D453" s="20"/>
      <c r="E453" s="9"/>
      <c r="F453" s="22">
        <f>Source!AN336</f>
        <v>0.01</v>
      </c>
      <c r="G453" s="21" t="str">
        <f>Source!DF336</f>
        <v>)*5</v>
      </c>
      <c r="H453" s="9">
        <f>Source!AV336</f>
        <v>1</v>
      </c>
      <c r="I453" s="9">
        <f>IF(Source!BS336&lt;&gt; 0, Source!BS336, 1)</f>
        <v>1</v>
      </c>
      <c r="J453" s="24">
        <f>Source!R336</f>
        <v>0.23</v>
      </c>
      <c r="K453" s="22"/>
    </row>
    <row r="454" spans="1:22" ht="14.25" x14ac:dyDescent="0.2">
      <c r="A454" s="19"/>
      <c r="B454" s="19"/>
      <c r="C454" s="19" t="s">
        <v>834</v>
      </c>
      <c r="D454" s="20"/>
      <c r="E454" s="9"/>
      <c r="F454" s="22">
        <f>Source!AL336</f>
        <v>0.31</v>
      </c>
      <c r="G454" s="21" t="str">
        <f>Source!DD336</f>
        <v>)*5</v>
      </c>
      <c r="H454" s="9">
        <f>Source!AW336</f>
        <v>1</v>
      </c>
      <c r="I454" s="9">
        <f>IF(Source!BC336&lt;&gt; 0, Source!BC336, 1)</f>
        <v>1</v>
      </c>
      <c r="J454" s="22">
        <f>Source!P336</f>
        <v>6.98</v>
      </c>
      <c r="K454" s="22"/>
    </row>
    <row r="455" spans="1:22" ht="14.25" x14ac:dyDescent="0.2">
      <c r="A455" s="19"/>
      <c r="B455" s="19"/>
      <c r="C455" s="19" t="s">
        <v>828</v>
      </c>
      <c r="D455" s="20" t="s">
        <v>829</v>
      </c>
      <c r="E455" s="9">
        <f>Source!AT336</f>
        <v>70</v>
      </c>
      <c r="F455" s="22"/>
      <c r="G455" s="21"/>
      <c r="H455" s="9"/>
      <c r="I455" s="9"/>
      <c r="J455" s="22">
        <f>SUM(R449:R454)</f>
        <v>1805.74</v>
      </c>
      <c r="K455" s="22"/>
    </row>
    <row r="456" spans="1:22" ht="14.25" x14ac:dyDescent="0.2">
      <c r="A456" s="19"/>
      <c r="B456" s="19"/>
      <c r="C456" s="19" t="s">
        <v>830</v>
      </c>
      <c r="D456" s="20" t="s">
        <v>829</v>
      </c>
      <c r="E456" s="9">
        <f>Source!AU336</f>
        <v>10</v>
      </c>
      <c r="F456" s="22"/>
      <c r="G456" s="21"/>
      <c r="H456" s="9"/>
      <c r="I456" s="9"/>
      <c r="J456" s="22">
        <f>SUM(T449:T455)</f>
        <v>257.95999999999998</v>
      </c>
      <c r="K456" s="22"/>
    </row>
    <row r="457" spans="1:22" ht="14.25" x14ac:dyDescent="0.2">
      <c r="A457" s="19"/>
      <c r="B457" s="19"/>
      <c r="C457" s="19" t="s">
        <v>831</v>
      </c>
      <c r="D457" s="20" t="s">
        <v>829</v>
      </c>
      <c r="E457" s="9">
        <f>108</f>
        <v>108</v>
      </c>
      <c r="F457" s="22"/>
      <c r="G457" s="21"/>
      <c r="H457" s="9"/>
      <c r="I457" s="9"/>
      <c r="J457" s="22">
        <f>SUM(V449:V456)</f>
        <v>0.25</v>
      </c>
      <c r="K457" s="22"/>
    </row>
    <row r="458" spans="1:22" ht="14.25" x14ac:dyDescent="0.2">
      <c r="A458" s="19"/>
      <c r="B458" s="19"/>
      <c r="C458" s="19" t="s">
        <v>832</v>
      </c>
      <c r="D458" s="20" t="s">
        <v>833</v>
      </c>
      <c r="E458" s="9">
        <f>Source!AQ336</f>
        <v>0.2</v>
      </c>
      <c r="F458" s="22"/>
      <c r="G458" s="21" t="str">
        <f>Source!DI336</f>
        <v>)*5</v>
      </c>
      <c r="H458" s="9">
        <f>Source!AV336</f>
        <v>1</v>
      </c>
      <c r="I458" s="9"/>
      <c r="J458" s="22"/>
      <c r="K458" s="22">
        <f>Source!U336</f>
        <v>4.5</v>
      </c>
    </row>
    <row r="459" spans="1:22" ht="15" x14ac:dyDescent="0.25">
      <c r="A459" s="27"/>
      <c r="B459" s="27"/>
      <c r="C459" s="27"/>
      <c r="D459" s="27"/>
      <c r="E459" s="27"/>
      <c r="F459" s="27"/>
      <c r="G459" s="27"/>
      <c r="H459" s="27"/>
      <c r="I459" s="60">
        <f>J451+J452+J454+J455+J456+J457</f>
        <v>4667.21</v>
      </c>
      <c r="J459" s="60"/>
      <c r="K459" s="28">
        <f>IF(Source!I336&lt;&gt;0, ROUND(I459/Source!I336, 2), 0)</f>
        <v>1037.1600000000001</v>
      </c>
      <c r="P459" s="25">
        <f>I459</f>
        <v>4667.21</v>
      </c>
    </row>
    <row r="460" spans="1:22" ht="57" x14ac:dyDescent="0.2">
      <c r="A460" s="19">
        <v>42</v>
      </c>
      <c r="B460" s="19" t="str">
        <f>Source!F338</f>
        <v>1.21-2303-50-1/1</v>
      </c>
      <c r="C460" s="19" t="str">
        <f>Source!G338</f>
        <v>Техническое обслуживание  конвектора электрического настенного крепления, с механическим термостатом, мощность до 2,0 кВт</v>
      </c>
      <c r="D460" s="20" t="str">
        <f>Source!H338</f>
        <v>шт.</v>
      </c>
      <c r="E460" s="9">
        <f>Source!I338</f>
        <v>6</v>
      </c>
      <c r="F460" s="22"/>
      <c r="G460" s="21"/>
      <c r="H460" s="9"/>
      <c r="I460" s="9"/>
      <c r="J460" s="22"/>
      <c r="K460" s="22"/>
      <c r="Q460">
        <f>ROUND((Source!BZ338/100)*ROUND((Source!AF338*Source!AV338)*Source!I338, 2), 2)</f>
        <v>363.09</v>
      </c>
      <c r="R460">
        <f>Source!X338</f>
        <v>363.09</v>
      </c>
      <c r="S460">
        <f>ROUND((Source!CA338/100)*ROUND((Source!AF338*Source!AV338)*Source!I338, 2), 2)</f>
        <v>51.87</v>
      </c>
      <c r="T460">
        <f>Source!Y338</f>
        <v>51.87</v>
      </c>
      <c r="U460">
        <f>ROUND((175/100)*ROUND((Source!AE338*Source!AV338)*Source!I338, 2), 2)</f>
        <v>0</v>
      </c>
      <c r="V460">
        <f>ROUND((108/100)*ROUND(Source!CS338*Source!I338, 2), 2)</f>
        <v>0</v>
      </c>
    </row>
    <row r="461" spans="1:22" x14ac:dyDescent="0.2">
      <c r="C461" s="23" t="str">
        <f>"Объем: "&amp;Source!I338&amp;"=2*"&amp;"3"</f>
        <v>Объем: 6=2*3</v>
      </c>
    </row>
    <row r="462" spans="1:22" ht="14.25" x14ac:dyDescent="0.2">
      <c r="A462" s="19"/>
      <c r="B462" s="19"/>
      <c r="C462" s="19" t="s">
        <v>825</v>
      </c>
      <c r="D462" s="20"/>
      <c r="E462" s="9"/>
      <c r="F462" s="22">
        <f>Source!AO338</f>
        <v>86.45</v>
      </c>
      <c r="G462" s="21" t="str">
        <f>Source!DG338</f>
        <v/>
      </c>
      <c r="H462" s="9">
        <f>Source!AV338</f>
        <v>1</v>
      </c>
      <c r="I462" s="9">
        <f>IF(Source!BA338&lt;&gt; 0, Source!BA338, 1)</f>
        <v>1</v>
      </c>
      <c r="J462" s="22">
        <f>Source!S338</f>
        <v>518.70000000000005</v>
      </c>
      <c r="K462" s="22"/>
    </row>
    <row r="463" spans="1:22" ht="14.25" x14ac:dyDescent="0.2">
      <c r="A463" s="19"/>
      <c r="B463" s="19"/>
      <c r="C463" s="19" t="s">
        <v>826</v>
      </c>
      <c r="D463" s="20"/>
      <c r="E463" s="9"/>
      <c r="F463" s="22">
        <f>Source!AM338</f>
        <v>0.23</v>
      </c>
      <c r="G463" s="21" t="str">
        <f>Source!DE338</f>
        <v/>
      </c>
      <c r="H463" s="9">
        <f>Source!AV338</f>
        <v>1</v>
      </c>
      <c r="I463" s="9">
        <f>IF(Source!BB338&lt;&gt; 0, Source!BB338, 1)</f>
        <v>1</v>
      </c>
      <c r="J463" s="22">
        <f>Source!Q338</f>
        <v>1.38</v>
      </c>
      <c r="K463" s="22"/>
    </row>
    <row r="464" spans="1:22" ht="14.25" x14ac:dyDescent="0.2">
      <c r="A464" s="19"/>
      <c r="B464" s="19"/>
      <c r="C464" s="19" t="s">
        <v>834</v>
      </c>
      <c r="D464" s="20"/>
      <c r="E464" s="9"/>
      <c r="F464" s="22">
        <f>Source!AL338</f>
        <v>2.2000000000000002</v>
      </c>
      <c r="G464" s="21" t="str">
        <f>Source!DD338</f>
        <v/>
      </c>
      <c r="H464" s="9">
        <f>Source!AW338</f>
        <v>1</v>
      </c>
      <c r="I464" s="9">
        <f>IF(Source!BC338&lt;&gt; 0, Source!BC338, 1)</f>
        <v>1</v>
      </c>
      <c r="J464" s="22">
        <f>Source!P338</f>
        <v>13.2</v>
      </c>
      <c r="K464" s="22"/>
    </row>
    <row r="465" spans="1:22" ht="14.25" x14ac:dyDescent="0.2">
      <c r="A465" s="19"/>
      <c r="B465" s="19"/>
      <c r="C465" s="19" t="s">
        <v>828</v>
      </c>
      <c r="D465" s="20" t="s">
        <v>829</v>
      </c>
      <c r="E465" s="9">
        <f>Source!AT338</f>
        <v>70</v>
      </c>
      <c r="F465" s="22"/>
      <c r="G465" s="21"/>
      <c r="H465" s="9"/>
      <c r="I465" s="9"/>
      <c r="J465" s="22">
        <f>SUM(R460:R464)</f>
        <v>363.09</v>
      </c>
      <c r="K465" s="22"/>
    </row>
    <row r="466" spans="1:22" ht="14.25" x14ac:dyDescent="0.2">
      <c r="A466" s="19"/>
      <c r="B466" s="19"/>
      <c r="C466" s="19" t="s">
        <v>830</v>
      </c>
      <c r="D466" s="20" t="s">
        <v>829</v>
      </c>
      <c r="E466" s="9">
        <f>Source!AU338</f>
        <v>10</v>
      </c>
      <c r="F466" s="22"/>
      <c r="G466" s="21"/>
      <c r="H466" s="9"/>
      <c r="I466" s="9"/>
      <c r="J466" s="22">
        <f>SUM(T460:T465)</f>
        <v>51.87</v>
      </c>
      <c r="K466" s="22"/>
    </row>
    <row r="467" spans="1:22" ht="14.25" x14ac:dyDescent="0.2">
      <c r="A467" s="19"/>
      <c r="B467" s="19"/>
      <c r="C467" s="19" t="s">
        <v>832</v>
      </c>
      <c r="D467" s="20" t="s">
        <v>833</v>
      </c>
      <c r="E467" s="9">
        <f>Source!AQ338</f>
        <v>0.14000000000000001</v>
      </c>
      <c r="F467" s="22"/>
      <c r="G467" s="21" t="str">
        <f>Source!DI338</f>
        <v/>
      </c>
      <c r="H467" s="9">
        <f>Source!AV338</f>
        <v>1</v>
      </c>
      <c r="I467" s="9"/>
      <c r="J467" s="22"/>
      <c r="K467" s="22">
        <f>Source!U338</f>
        <v>0.84000000000000008</v>
      </c>
    </row>
    <row r="468" spans="1:22" ht="15" x14ac:dyDescent="0.25">
      <c r="A468" s="27"/>
      <c r="B468" s="27"/>
      <c r="C468" s="27"/>
      <c r="D468" s="27"/>
      <c r="E468" s="27"/>
      <c r="F468" s="27"/>
      <c r="G468" s="27"/>
      <c r="H468" s="27"/>
      <c r="I468" s="60">
        <f>J462+J463+J464+J465+J466</f>
        <v>948.24000000000012</v>
      </c>
      <c r="J468" s="60"/>
      <c r="K468" s="28">
        <f>IF(Source!I338&lt;&gt;0, ROUND(I468/Source!I338, 2), 0)</f>
        <v>158.04</v>
      </c>
      <c r="P468" s="25">
        <f>I468</f>
        <v>948.24000000000012</v>
      </c>
    </row>
    <row r="469" spans="1:22" ht="42.75" x14ac:dyDescent="0.2">
      <c r="A469" s="19">
        <v>43</v>
      </c>
      <c r="B469" s="19" t="str">
        <f>Source!F340</f>
        <v>1.15-2203-7-1/1</v>
      </c>
      <c r="C469" s="19" t="str">
        <f>Source!G340</f>
        <v>Техническое обслуживание крана шарового латунного никелированного диаметром до 25 мм</v>
      </c>
      <c r="D469" s="20" t="str">
        <f>Source!H340</f>
        <v>10 шт.</v>
      </c>
      <c r="E469" s="9">
        <f>Source!I340</f>
        <v>24</v>
      </c>
      <c r="F469" s="22"/>
      <c r="G469" s="21"/>
      <c r="H469" s="9"/>
      <c r="I469" s="9"/>
      <c r="J469" s="22"/>
      <c r="K469" s="22"/>
      <c r="Q469">
        <f>ROUND((Source!BZ340/100)*ROUND((Source!AF340*Source!AV340)*Source!I340, 2), 2)</f>
        <v>4668.22</v>
      </c>
      <c r="R469">
        <f>Source!X340</f>
        <v>4668.22</v>
      </c>
      <c r="S469">
        <f>ROUND((Source!CA340/100)*ROUND((Source!AF340*Source!AV340)*Source!I340, 2), 2)</f>
        <v>666.89</v>
      </c>
      <c r="T469">
        <f>Source!Y340</f>
        <v>666.89</v>
      </c>
      <c r="U469">
        <f>ROUND((175/100)*ROUND((Source!AE340*Source!AV340)*Source!I340, 2), 2)</f>
        <v>0</v>
      </c>
      <c r="V469">
        <f>ROUND((108/100)*ROUND(Source!CS340*Source!I340, 2), 2)</f>
        <v>0</v>
      </c>
    </row>
    <row r="470" spans="1:22" x14ac:dyDescent="0.2">
      <c r="C470" s="23" t="str">
        <f>"Объем: "&amp;Source!I340&amp;"=(80)*"&amp;"3/"&amp;"10"</f>
        <v>Объем: 24=(80)*3/10</v>
      </c>
    </row>
    <row r="471" spans="1:22" ht="14.25" x14ac:dyDescent="0.2">
      <c r="A471" s="19"/>
      <c r="B471" s="19"/>
      <c r="C471" s="19" t="s">
        <v>825</v>
      </c>
      <c r="D471" s="20"/>
      <c r="E471" s="9"/>
      <c r="F471" s="22">
        <f>Source!AO340</f>
        <v>277.87</v>
      </c>
      <c r="G471" s="21" t="str">
        <f>Source!DG340</f>
        <v/>
      </c>
      <c r="H471" s="9">
        <f>Source!AV340</f>
        <v>1</v>
      </c>
      <c r="I471" s="9">
        <f>IF(Source!BA340&lt;&gt; 0, Source!BA340, 1)</f>
        <v>1</v>
      </c>
      <c r="J471" s="22">
        <f>Source!S340</f>
        <v>6668.88</v>
      </c>
      <c r="K471" s="22"/>
    </row>
    <row r="472" spans="1:22" ht="14.25" x14ac:dyDescent="0.2">
      <c r="A472" s="19"/>
      <c r="B472" s="19"/>
      <c r="C472" s="19" t="s">
        <v>828</v>
      </c>
      <c r="D472" s="20" t="s">
        <v>829</v>
      </c>
      <c r="E472" s="9">
        <f>Source!AT340</f>
        <v>70</v>
      </c>
      <c r="F472" s="22"/>
      <c r="G472" s="21"/>
      <c r="H472" s="9"/>
      <c r="I472" s="9"/>
      <c r="J472" s="22">
        <f>SUM(R469:R471)</f>
        <v>4668.22</v>
      </c>
      <c r="K472" s="22"/>
    </row>
    <row r="473" spans="1:22" ht="14.25" x14ac:dyDescent="0.2">
      <c r="A473" s="19"/>
      <c r="B473" s="19"/>
      <c r="C473" s="19" t="s">
        <v>830</v>
      </c>
      <c r="D473" s="20" t="s">
        <v>829</v>
      </c>
      <c r="E473" s="9">
        <f>Source!AU340</f>
        <v>10</v>
      </c>
      <c r="F473" s="22"/>
      <c r="G473" s="21"/>
      <c r="H473" s="9"/>
      <c r="I473" s="9"/>
      <c r="J473" s="22">
        <f>SUM(T469:T472)</f>
        <v>666.89</v>
      </c>
      <c r="K473" s="22"/>
    </row>
    <row r="474" spans="1:22" ht="14.25" x14ac:dyDescent="0.2">
      <c r="A474" s="19"/>
      <c r="B474" s="19"/>
      <c r="C474" s="19" t="s">
        <v>832</v>
      </c>
      <c r="D474" s="20" t="s">
        <v>833</v>
      </c>
      <c r="E474" s="9">
        <f>Source!AQ340</f>
        <v>0.45</v>
      </c>
      <c r="F474" s="22"/>
      <c r="G474" s="21" t="str">
        <f>Source!DI340</f>
        <v/>
      </c>
      <c r="H474" s="9">
        <f>Source!AV340</f>
        <v>1</v>
      </c>
      <c r="I474" s="9"/>
      <c r="J474" s="22"/>
      <c r="K474" s="22">
        <f>Source!U340</f>
        <v>10.8</v>
      </c>
    </row>
    <row r="475" spans="1:22" ht="15" x14ac:dyDescent="0.25">
      <c r="A475" s="27"/>
      <c r="B475" s="27"/>
      <c r="C475" s="27"/>
      <c r="D475" s="27"/>
      <c r="E475" s="27"/>
      <c r="F475" s="27"/>
      <c r="G475" s="27"/>
      <c r="H475" s="27"/>
      <c r="I475" s="60">
        <f>J471+J472+J473</f>
        <v>12003.99</v>
      </c>
      <c r="J475" s="60"/>
      <c r="K475" s="28">
        <f>IF(Source!I340&lt;&gt;0, ROUND(I475/Source!I340, 2), 0)</f>
        <v>500.17</v>
      </c>
      <c r="P475" s="25">
        <f>I475</f>
        <v>12003.99</v>
      </c>
    </row>
    <row r="476" spans="1:22" ht="28.5" x14ac:dyDescent="0.2">
      <c r="A476" s="19">
        <v>44</v>
      </c>
      <c r="B476" s="19" t="str">
        <f>Source!F341</f>
        <v>1.17-2103-17-1/1</v>
      </c>
      <c r="C476" s="19" t="str">
        <f>Source!G341</f>
        <v>Техническое обслуживание автоматического воздухоотводчика</v>
      </c>
      <c r="D476" s="20" t="str">
        <f>Source!H341</f>
        <v>10 шт.</v>
      </c>
      <c r="E476" s="9">
        <f>Source!I341</f>
        <v>3</v>
      </c>
      <c r="F476" s="22"/>
      <c r="G476" s="21"/>
      <c r="H476" s="9"/>
      <c r="I476" s="9"/>
      <c r="J476" s="22"/>
      <c r="K476" s="22"/>
      <c r="Q476">
        <f>ROUND((Source!BZ341/100)*ROUND((Source!AF341*Source!AV341)*Source!I341, 2), 2)</f>
        <v>1971.02</v>
      </c>
      <c r="R476">
        <f>Source!X341</f>
        <v>1971.02</v>
      </c>
      <c r="S476">
        <f>ROUND((Source!CA341/100)*ROUND((Source!AF341*Source!AV341)*Source!I341, 2), 2)</f>
        <v>281.57</v>
      </c>
      <c r="T476">
        <f>Source!Y341</f>
        <v>281.57</v>
      </c>
      <c r="U476">
        <f>ROUND((175/100)*ROUND((Source!AE341*Source!AV341)*Source!I341, 2), 2)</f>
        <v>0</v>
      </c>
      <c r="V476">
        <f>ROUND((108/100)*ROUND(Source!CS341*Source!I341, 2), 2)</f>
        <v>0</v>
      </c>
    </row>
    <row r="477" spans="1:22" x14ac:dyDescent="0.2">
      <c r="C477" s="23" t="str">
        <f>"Объем: "&amp;Source!I341&amp;"=(10)*"&amp;"3/"&amp;"10"</f>
        <v>Объем: 3=(10)*3/10</v>
      </c>
    </row>
    <row r="478" spans="1:22" ht="14.25" x14ac:dyDescent="0.2">
      <c r="A478" s="19"/>
      <c r="B478" s="19"/>
      <c r="C478" s="19" t="s">
        <v>825</v>
      </c>
      <c r="D478" s="20"/>
      <c r="E478" s="9"/>
      <c r="F478" s="22">
        <f>Source!AO341</f>
        <v>938.58</v>
      </c>
      <c r="G478" s="21" t="str">
        <f>Source!DG341</f>
        <v/>
      </c>
      <c r="H478" s="9">
        <f>Source!AV341</f>
        <v>1</v>
      </c>
      <c r="I478" s="9">
        <f>IF(Source!BA341&lt;&gt; 0, Source!BA341, 1)</f>
        <v>1</v>
      </c>
      <c r="J478" s="22">
        <f>Source!S341</f>
        <v>2815.74</v>
      </c>
      <c r="K478" s="22"/>
    </row>
    <row r="479" spans="1:22" ht="14.25" x14ac:dyDescent="0.2">
      <c r="A479" s="19"/>
      <c r="B479" s="19"/>
      <c r="C479" s="19" t="s">
        <v>834</v>
      </c>
      <c r="D479" s="20"/>
      <c r="E479" s="9"/>
      <c r="F479" s="22">
        <f>Source!AL341</f>
        <v>0.63</v>
      </c>
      <c r="G479" s="21" t="str">
        <f>Source!DD341</f>
        <v/>
      </c>
      <c r="H479" s="9">
        <f>Source!AW341</f>
        <v>1</v>
      </c>
      <c r="I479" s="9">
        <f>IF(Source!BC341&lt;&gt; 0, Source!BC341, 1)</f>
        <v>1</v>
      </c>
      <c r="J479" s="22">
        <f>Source!P341</f>
        <v>1.89</v>
      </c>
      <c r="K479" s="22"/>
    </row>
    <row r="480" spans="1:22" ht="14.25" x14ac:dyDescent="0.2">
      <c r="A480" s="19"/>
      <c r="B480" s="19"/>
      <c r="C480" s="19" t="s">
        <v>828</v>
      </c>
      <c r="D480" s="20" t="s">
        <v>829</v>
      </c>
      <c r="E480" s="9">
        <f>Source!AT341</f>
        <v>70</v>
      </c>
      <c r="F480" s="22"/>
      <c r="G480" s="21"/>
      <c r="H480" s="9"/>
      <c r="I480" s="9"/>
      <c r="J480" s="22">
        <f>SUM(R476:R479)</f>
        <v>1971.02</v>
      </c>
      <c r="K480" s="22"/>
    </row>
    <row r="481" spans="1:22" ht="14.25" x14ac:dyDescent="0.2">
      <c r="A481" s="19"/>
      <c r="B481" s="19"/>
      <c r="C481" s="19" t="s">
        <v>830</v>
      </c>
      <c r="D481" s="20" t="s">
        <v>829</v>
      </c>
      <c r="E481" s="9">
        <f>Source!AU341</f>
        <v>10</v>
      </c>
      <c r="F481" s="22"/>
      <c r="G481" s="21"/>
      <c r="H481" s="9"/>
      <c r="I481" s="9"/>
      <c r="J481" s="22">
        <f>SUM(T476:T480)</f>
        <v>281.57</v>
      </c>
      <c r="K481" s="22"/>
    </row>
    <row r="482" spans="1:22" ht="14.25" x14ac:dyDescent="0.2">
      <c r="A482" s="19"/>
      <c r="B482" s="19"/>
      <c r="C482" s="19" t="s">
        <v>832</v>
      </c>
      <c r="D482" s="20" t="s">
        <v>833</v>
      </c>
      <c r="E482" s="9">
        <f>Source!AQ341</f>
        <v>1.52</v>
      </c>
      <c r="F482" s="22"/>
      <c r="G482" s="21" t="str">
        <f>Source!DI341</f>
        <v/>
      </c>
      <c r="H482" s="9">
        <f>Source!AV341</f>
        <v>1</v>
      </c>
      <c r="I482" s="9"/>
      <c r="J482" s="22"/>
      <c r="K482" s="22">
        <f>Source!U341</f>
        <v>4.5600000000000005</v>
      </c>
    </row>
    <row r="483" spans="1:22" ht="15" x14ac:dyDescent="0.25">
      <c r="A483" s="27"/>
      <c r="B483" s="27"/>
      <c r="C483" s="27"/>
      <c r="D483" s="27"/>
      <c r="E483" s="27"/>
      <c r="F483" s="27"/>
      <c r="G483" s="27"/>
      <c r="H483" s="27"/>
      <c r="I483" s="60">
        <f>J478+J479+J480+J481</f>
        <v>5070.2199999999993</v>
      </c>
      <c r="J483" s="60"/>
      <c r="K483" s="28">
        <f>IF(Source!I341&lt;&gt;0, ROUND(I483/Source!I341, 2), 0)</f>
        <v>1690.07</v>
      </c>
      <c r="P483" s="25">
        <f>I483</f>
        <v>5070.2199999999993</v>
      </c>
    </row>
    <row r="485" spans="1:22" ht="15" x14ac:dyDescent="0.25">
      <c r="B485" s="56" t="str">
        <f>Source!G346</f>
        <v>Корпус 7.2.4</v>
      </c>
      <c r="C485" s="56"/>
      <c r="D485" s="56"/>
      <c r="E485" s="56"/>
      <c r="F485" s="56"/>
      <c r="G485" s="56"/>
      <c r="H485" s="56"/>
      <c r="I485" s="56"/>
      <c r="J485" s="56"/>
    </row>
    <row r="486" spans="1:22" ht="42.75" x14ac:dyDescent="0.2">
      <c r="A486" s="19">
        <v>45</v>
      </c>
      <c r="B486" s="19" t="str">
        <f>Source!F347</f>
        <v>1.17-2103-13-27/1</v>
      </c>
      <c r="C486" s="19" t="str">
        <f>Source!G347</f>
        <v>Техническое обслуживание стальных панельных радиаторов типа 33 высотой 500 мм длиной до 1500 мм</v>
      </c>
      <c r="D486" s="20" t="str">
        <f>Source!H347</f>
        <v>шт.</v>
      </c>
      <c r="E486" s="9">
        <f>Source!I347</f>
        <v>7</v>
      </c>
      <c r="F486" s="22"/>
      <c r="G486" s="21"/>
      <c r="H486" s="9"/>
      <c r="I486" s="9"/>
      <c r="J486" s="22"/>
      <c r="K486" s="22"/>
      <c r="Q486">
        <f>ROUND((Source!BZ347/100)*ROUND((Source!AF347*Source!AV347)*Source!I347, 2), 2)</f>
        <v>1597.69</v>
      </c>
      <c r="R486">
        <f>Source!X347</f>
        <v>1597.69</v>
      </c>
      <c r="S486">
        <f>ROUND((Source!CA347/100)*ROUND((Source!AF347*Source!AV347)*Source!I347, 2), 2)</f>
        <v>228.24</v>
      </c>
      <c r="T486">
        <f>Source!Y347</f>
        <v>228.24</v>
      </c>
      <c r="U486">
        <f>ROUND((175/100)*ROUND((Source!AE347*Source!AV347)*Source!I347, 2), 2)</f>
        <v>0.37</v>
      </c>
      <c r="V486">
        <f>ROUND((108/100)*ROUND(Source!CS347*Source!I347, 2), 2)</f>
        <v>0.23</v>
      </c>
    </row>
    <row r="487" spans="1:22" x14ac:dyDescent="0.2">
      <c r="C487" s="23" t="str">
        <f>"Объем: "&amp;Source!I347&amp;"=5+"&amp;"2"</f>
        <v>Объем: 7=5+2</v>
      </c>
    </row>
    <row r="488" spans="1:22" ht="14.25" x14ac:dyDescent="0.2">
      <c r="A488" s="19"/>
      <c r="B488" s="19"/>
      <c r="C488" s="19" t="s">
        <v>825</v>
      </c>
      <c r="D488" s="20"/>
      <c r="E488" s="9"/>
      <c r="F488" s="22">
        <f>Source!AO347</f>
        <v>326.06</v>
      </c>
      <c r="G488" s="21" t="str">
        <f>Source!DG347</f>
        <v/>
      </c>
      <c r="H488" s="9">
        <f>Source!AV347</f>
        <v>1</v>
      </c>
      <c r="I488" s="9">
        <f>IF(Source!BA347&lt;&gt; 0, Source!BA347, 1)</f>
        <v>1</v>
      </c>
      <c r="J488" s="22">
        <f>Source!S347</f>
        <v>2282.42</v>
      </c>
      <c r="K488" s="22"/>
    </row>
    <row r="489" spans="1:22" ht="14.25" x14ac:dyDescent="0.2">
      <c r="A489" s="19"/>
      <c r="B489" s="19"/>
      <c r="C489" s="19" t="s">
        <v>826</v>
      </c>
      <c r="D489" s="20"/>
      <c r="E489" s="9"/>
      <c r="F489" s="22">
        <f>Source!AM347</f>
        <v>2.5299999999999998</v>
      </c>
      <c r="G489" s="21" t="str">
        <f>Source!DE347</f>
        <v/>
      </c>
      <c r="H489" s="9">
        <f>Source!AV347</f>
        <v>1</v>
      </c>
      <c r="I489" s="9">
        <f>IF(Source!BB347&lt;&gt; 0, Source!BB347, 1)</f>
        <v>1</v>
      </c>
      <c r="J489" s="22">
        <f>Source!Q347</f>
        <v>17.71</v>
      </c>
      <c r="K489" s="22"/>
    </row>
    <row r="490" spans="1:22" ht="14.25" x14ac:dyDescent="0.2">
      <c r="A490" s="19"/>
      <c r="B490" s="19"/>
      <c r="C490" s="19" t="s">
        <v>827</v>
      </c>
      <c r="D490" s="20"/>
      <c r="E490" s="9"/>
      <c r="F490" s="22">
        <f>Source!AN347</f>
        <v>0.03</v>
      </c>
      <c r="G490" s="21" t="str">
        <f>Source!DF347</f>
        <v/>
      </c>
      <c r="H490" s="9">
        <f>Source!AV347</f>
        <v>1</v>
      </c>
      <c r="I490" s="9">
        <f>IF(Source!BS347&lt;&gt; 0, Source!BS347, 1)</f>
        <v>1</v>
      </c>
      <c r="J490" s="24">
        <f>Source!R347</f>
        <v>0.21</v>
      </c>
      <c r="K490" s="22"/>
    </row>
    <row r="491" spans="1:22" ht="14.25" x14ac:dyDescent="0.2">
      <c r="A491" s="19"/>
      <c r="B491" s="19"/>
      <c r="C491" s="19" t="s">
        <v>834</v>
      </c>
      <c r="D491" s="20"/>
      <c r="E491" s="9"/>
      <c r="F491" s="22">
        <f>Source!AL347</f>
        <v>0.47</v>
      </c>
      <c r="G491" s="21" t="str">
        <f>Source!DD347</f>
        <v/>
      </c>
      <c r="H491" s="9">
        <f>Source!AW347</f>
        <v>1</v>
      </c>
      <c r="I491" s="9">
        <f>IF(Source!BC347&lt;&gt; 0, Source!BC347, 1)</f>
        <v>1</v>
      </c>
      <c r="J491" s="22">
        <f>Source!P347</f>
        <v>3.29</v>
      </c>
      <c r="K491" s="22"/>
    </row>
    <row r="492" spans="1:22" ht="14.25" x14ac:dyDescent="0.2">
      <c r="A492" s="19"/>
      <c r="B492" s="19"/>
      <c r="C492" s="19" t="s">
        <v>828</v>
      </c>
      <c r="D492" s="20" t="s">
        <v>829</v>
      </c>
      <c r="E492" s="9">
        <f>Source!AT347</f>
        <v>70</v>
      </c>
      <c r="F492" s="22"/>
      <c r="G492" s="21"/>
      <c r="H492" s="9"/>
      <c r="I492" s="9"/>
      <c r="J492" s="22">
        <f>SUM(R486:R491)</f>
        <v>1597.69</v>
      </c>
      <c r="K492" s="22"/>
    </row>
    <row r="493" spans="1:22" ht="14.25" x14ac:dyDescent="0.2">
      <c r="A493" s="19"/>
      <c r="B493" s="19"/>
      <c r="C493" s="19" t="s">
        <v>830</v>
      </c>
      <c r="D493" s="20" t="s">
        <v>829</v>
      </c>
      <c r="E493" s="9">
        <f>Source!AU347</f>
        <v>10</v>
      </c>
      <c r="F493" s="22"/>
      <c r="G493" s="21"/>
      <c r="H493" s="9"/>
      <c r="I493" s="9"/>
      <c r="J493" s="22">
        <f>SUM(T486:T492)</f>
        <v>228.24</v>
      </c>
      <c r="K493" s="22"/>
    </row>
    <row r="494" spans="1:22" ht="14.25" x14ac:dyDescent="0.2">
      <c r="A494" s="19"/>
      <c r="B494" s="19"/>
      <c r="C494" s="19" t="s">
        <v>831</v>
      </c>
      <c r="D494" s="20" t="s">
        <v>829</v>
      </c>
      <c r="E494" s="9">
        <f>108</f>
        <v>108</v>
      </c>
      <c r="F494" s="22"/>
      <c r="G494" s="21"/>
      <c r="H494" s="9"/>
      <c r="I494" s="9"/>
      <c r="J494" s="22">
        <f>SUM(V486:V493)</f>
        <v>0.23</v>
      </c>
      <c r="K494" s="22"/>
    </row>
    <row r="495" spans="1:22" ht="14.25" x14ac:dyDescent="0.2">
      <c r="A495" s="19"/>
      <c r="B495" s="19"/>
      <c r="C495" s="19" t="s">
        <v>832</v>
      </c>
      <c r="D495" s="20" t="s">
        <v>833</v>
      </c>
      <c r="E495" s="9">
        <f>Source!AQ347</f>
        <v>0.57999999999999996</v>
      </c>
      <c r="F495" s="22"/>
      <c r="G495" s="21" t="str">
        <f>Source!DI347</f>
        <v/>
      </c>
      <c r="H495" s="9">
        <f>Source!AV347</f>
        <v>1</v>
      </c>
      <c r="I495" s="9"/>
      <c r="J495" s="22"/>
      <c r="K495" s="22">
        <f>Source!U347</f>
        <v>4.0599999999999996</v>
      </c>
    </row>
    <row r="496" spans="1:22" ht="15" x14ac:dyDescent="0.25">
      <c r="A496" s="27"/>
      <c r="B496" s="27"/>
      <c r="C496" s="27"/>
      <c r="D496" s="27"/>
      <c r="E496" s="27"/>
      <c r="F496" s="27"/>
      <c r="G496" s="27"/>
      <c r="H496" s="27"/>
      <c r="I496" s="60">
        <f>J488+J489+J491+J492+J493+J494</f>
        <v>4129.58</v>
      </c>
      <c r="J496" s="60"/>
      <c r="K496" s="28">
        <f>IF(Source!I347&lt;&gt;0, ROUND(I496/Source!I347, 2), 0)</f>
        <v>589.94000000000005</v>
      </c>
      <c r="P496" s="25">
        <f>I496</f>
        <v>4129.58</v>
      </c>
    </row>
    <row r="497" spans="1:22" ht="42.75" x14ac:dyDescent="0.2">
      <c r="A497" s="19">
        <v>46</v>
      </c>
      <c r="B497" s="19" t="str">
        <f>Source!F348</f>
        <v>1.17-2103-13-28/1</v>
      </c>
      <c r="C497" s="19" t="str">
        <f>Source!G348</f>
        <v>Техническое обслуживание стальных панельных радиаторов типа 33 высотой 500 мм длиной до 3000 мм</v>
      </c>
      <c r="D497" s="20" t="str">
        <f>Source!H348</f>
        <v>шт.</v>
      </c>
      <c r="E497" s="9">
        <f>Source!I348</f>
        <v>2</v>
      </c>
      <c r="F497" s="22"/>
      <c r="G497" s="21"/>
      <c r="H497" s="9"/>
      <c r="I497" s="9"/>
      <c r="J497" s="22"/>
      <c r="K497" s="22"/>
      <c r="Q497">
        <f>ROUND((Source!BZ348/100)*ROUND((Source!AF348*Source!AV348)*Source!I348, 2), 2)</f>
        <v>708.33</v>
      </c>
      <c r="R497">
        <f>Source!X348</f>
        <v>708.33</v>
      </c>
      <c r="S497">
        <f>ROUND((Source!CA348/100)*ROUND((Source!AF348*Source!AV348)*Source!I348, 2), 2)</f>
        <v>101.19</v>
      </c>
      <c r="T497">
        <f>Source!Y348</f>
        <v>101.19</v>
      </c>
      <c r="U497">
        <f>ROUND((175/100)*ROUND((Source!AE348*Source!AV348)*Source!I348, 2), 2)</f>
        <v>0.25</v>
      </c>
      <c r="V497">
        <f>ROUND((108/100)*ROUND(Source!CS348*Source!I348, 2), 2)</f>
        <v>0.15</v>
      </c>
    </row>
    <row r="498" spans="1:22" ht="14.25" x14ac:dyDescent="0.2">
      <c r="A498" s="19"/>
      <c r="B498" s="19"/>
      <c r="C498" s="19" t="s">
        <v>825</v>
      </c>
      <c r="D498" s="20"/>
      <c r="E498" s="9"/>
      <c r="F498" s="22">
        <f>Source!AO348</f>
        <v>505.95</v>
      </c>
      <c r="G498" s="21" t="str">
        <f>Source!DG348</f>
        <v/>
      </c>
      <c r="H498" s="9">
        <f>Source!AV348</f>
        <v>1</v>
      </c>
      <c r="I498" s="9">
        <f>IF(Source!BA348&lt;&gt; 0, Source!BA348, 1)</f>
        <v>1</v>
      </c>
      <c r="J498" s="22">
        <f>Source!S348</f>
        <v>1011.9</v>
      </c>
      <c r="K498" s="22"/>
    </row>
    <row r="499" spans="1:22" ht="14.25" x14ac:dyDescent="0.2">
      <c r="A499" s="19"/>
      <c r="B499" s="19"/>
      <c r="C499" s="19" t="s">
        <v>826</v>
      </c>
      <c r="D499" s="20"/>
      <c r="E499" s="9"/>
      <c r="F499" s="22">
        <f>Source!AM348</f>
        <v>5.0599999999999996</v>
      </c>
      <c r="G499" s="21" t="str">
        <f>Source!DE348</f>
        <v/>
      </c>
      <c r="H499" s="9">
        <f>Source!AV348</f>
        <v>1</v>
      </c>
      <c r="I499" s="9">
        <f>IF(Source!BB348&lt;&gt; 0, Source!BB348, 1)</f>
        <v>1</v>
      </c>
      <c r="J499" s="22">
        <f>Source!Q348</f>
        <v>10.119999999999999</v>
      </c>
      <c r="K499" s="22"/>
    </row>
    <row r="500" spans="1:22" ht="14.25" x14ac:dyDescent="0.2">
      <c r="A500" s="19"/>
      <c r="B500" s="19"/>
      <c r="C500" s="19" t="s">
        <v>827</v>
      </c>
      <c r="D500" s="20"/>
      <c r="E500" s="9"/>
      <c r="F500" s="22">
        <f>Source!AN348</f>
        <v>7.0000000000000007E-2</v>
      </c>
      <c r="G500" s="21" t="str">
        <f>Source!DF348</f>
        <v/>
      </c>
      <c r="H500" s="9">
        <f>Source!AV348</f>
        <v>1</v>
      </c>
      <c r="I500" s="9">
        <f>IF(Source!BS348&lt;&gt; 0, Source!BS348, 1)</f>
        <v>1</v>
      </c>
      <c r="J500" s="24">
        <f>Source!R348</f>
        <v>0.14000000000000001</v>
      </c>
      <c r="K500" s="22"/>
    </row>
    <row r="501" spans="1:22" ht="14.25" x14ac:dyDescent="0.2">
      <c r="A501" s="19"/>
      <c r="B501" s="19"/>
      <c r="C501" s="19" t="s">
        <v>834</v>
      </c>
      <c r="D501" s="20"/>
      <c r="E501" s="9"/>
      <c r="F501" s="22">
        <f>Source!AL348</f>
        <v>0.94</v>
      </c>
      <c r="G501" s="21" t="str">
        <f>Source!DD348</f>
        <v/>
      </c>
      <c r="H501" s="9">
        <f>Source!AW348</f>
        <v>1</v>
      </c>
      <c r="I501" s="9">
        <f>IF(Source!BC348&lt;&gt; 0, Source!BC348, 1)</f>
        <v>1</v>
      </c>
      <c r="J501" s="22">
        <f>Source!P348</f>
        <v>1.88</v>
      </c>
      <c r="K501" s="22"/>
    </row>
    <row r="502" spans="1:22" ht="14.25" x14ac:dyDescent="0.2">
      <c r="A502" s="19"/>
      <c r="B502" s="19"/>
      <c r="C502" s="19" t="s">
        <v>828</v>
      </c>
      <c r="D502" s="20" t="s">
        <v>829</v>
      </c>
      <c r="E502" s="9">
        <f>Source!AT348</f>
        <v>70</v>
      </c>
      <c r="F502" s="22"/>
      <c r="G502" s="21"/>
      <c r="H502" s="9"/>
      <c r="I502" s="9"/>
      <c r="J502" s="22">
        <f>SUM(R497:R501)</f>
        <v>708.33</v>
      </c>
      <c r="K502" s="22"/>
    </row>
    <row r="503" spans="1:22" ht="14.25" x14ac:dyDescent="0.2">
      <c r="A503" s="19"/>
      <c r="B503" s="19"/>
      <c r="C503" s="19" t="s">
        <v>830</v>
      </c>
      <c r="D503" s="20" t="s">
        <v>829</v>
      </c>
      <c r="E503" s="9">
        <f>Source!AU348</f>
        <v>10</v>
      </c>
      <c r="F503" s="22"/>
      <c r="G503" s="21"/>
      <c r="H503" s="9"/>
      <c r="I503" s="9"/>
      <c r="J503" s="22">
        <f>SUM(T497:T502)</f>
        <v>101.19</v>
      </c>
      <c r="K503" s="22"/>
    </row>
    <row r="504" spans="1:22" ht="14.25" x14ac:dyDescent="0.2">
      <c r="A504" s="19"/>
      <c r="B504" s="19"/>
      <c r="C504" s="19" t="s">
        <v>831</v>
      </c>
      <c r="D504" s="20" t="s">
        <v>829</v>
      </c>
      <c r="E504" s="9">
        <f>108</f>
        <v>108</v>
      </c>
      <c r="F504" s="22"/>
      <c r="G504" s="21"/>
      <c r="H504" s="9"/>
      <c r="I504" s="9"/>
      <c r="J504" s="22">
        <f>SUM(V497:V503)</f>
        <v>0.15</v>
      </c>
      <c r="K504" s="22"/>
    </row>
    <row r="505" spans="1:22" ht="14.25" x14ac:dyDescent="0.2">
      <c r="A505" s="19"/>
      <c r="B505" s="19"/>
      <c r="C505" s="19" t="s">
        <v>832</v>
      </c>
      <c r="D505" s="20" t="s">
        <v>833</v>
      </c>
      <c r="E505" s="9">
        <f>Source!AQ348</f>
        <v>0.9</v>
      </c>
      <c r="F505" s="22"/>
      <c r="G505" s="21" t="str">
        <f>Source!DI348</f>
        <v/>
      </c>
      <c r="H505" s="9">
        <f>Source!AV348</f>
        <v>1</v>
      </c>
      <c r="I505" s="9"/>
      <c r="J505" s="22"/>
      <c r="K505" s="22">
        <f>Source!U348</f>
        <v>1.8</v>
      </c>
    </row>
    <row r="506" spans="1:22" ht="15" x14ac:dyDescent="0.25">
      <c r="A506" s="27"/>
      <c r="B506" s="27"/>
      <c r="C506" s="27"/>
      <c r="D506" s="27"/>
      <c r="E506" s="27"/>
      <c r="F506" s="27"/>
      <c r="G506" s="27"/>
      <c r="H506" s="27"/>
      <c r="I506" s="60">
        <f>J498+J499+J501+J502+J503+J504</f>
        <v>1833.5700000000002</v>
      </c>
      <c r="J506" s="60"/>
      <c r="K506" s="28">
        <f>IF(Source!I348&lt;&gt;0, ROUND(I506/Source!I348, 2), 0)</f>
        <v>916.79</v>
      </c>
      <c r="P506" s="25">
        <f>I506</f>
        <v>1833.5700000000002</v>
      </c>
    </row>
    <row r="507" spans="1:22" ht="57" x14ac:dyDescent="0.2">
      <c r="A507" s="19">
        <v>47</v>
      </c>
      <c r="B507" s="19" t="str">
        <f>Source!F349</f>
        <v>1.17-2103-15-3/1</v>
      </c>
      <c r="C507" s="19" t="str">
        <f>Source!G349</f>
        <v>Техническое обслуживание конвекторов, встраиваемых в пол, длиной короба 1100 мм, шириной короба до 260 мм</v>
      </c>
      <c r="D507" s="20" t="str">
        <f>Source!H349</f>
        <v>10 шт.</v>
      </c>
      <c r="E507" s="9">
        <f>Source!I349</f>
        <v>1.8</v>
      </c>
      <c r="F507" s="22"/>
      <c r="G507" s="21"/>
      <c r="H507" s="9"/>
      <c r="I507" s="9"/>
      <c r="J507" s="22"/>
      <c r="K507" s="22"/>
      <c r="Q507">
        <f>ROUND((Source!BZ349/100)*ROUND((Source!AF349*Source!AV349)*Source!I349, 2), 2)</f>
        <v>1317.28</v>
      </c>
      <c r="R507">
        <f>Source!X349</f>
        <v>1317.28</v>
      </c>
      <c r="S507">
        <f>ROUND((Source!CA349/100)*ROUND((Source!AF349*Source!AV349)*Source!I349, 2), 2)</f>
        <v>188.18</v>
      </c>
      <c r="T507">
        <f>Source!Y349</f>
        <v>188.18</v>
      </c>
      <c r="U507">
        <f>ROUND((175/100)*ROUND((Source!AE349*Source!AV349)*Source!I349, 2), 2)</f>
        <v>0.19</v>
      </c>
      <c r="V507">
        <f>ROUND((108/100)*ROUND(Source!CS349*Source!I349, 2), 2)</f>
        <v>0.12</v>
      </c>
    </row>
    <row r="508" spans="1:22" x14ac:dyDescent="0.2">
      <c r="C508" s="23" t="str">
        <f>"Объем: "&amp;Source!I349&amp;"=18/"&amp;"10"</f>
        <v>Объем: 1,8=18/10</v>
      </c>
    </row>
    <row r="509" spans="1:22" ht="14.25" x14ac:dyDescent="0.2">
      <c r="A509" s="19"/>
      <c r="B509" s="19"/>
      <c r="C509" s="19" t="s">
        <v>825</v>
      </c>
      <c r="D509" s="20"/>
      <c r="E509" s="9"/>
      <c r="F509" s="22">
        <f>Source!AO349</f>
        <v>1045.46</v>
      </c>
      <c r="G509" s="21" t="str">
        <f>Source!DG349</f>
        <v/>
      </c>
      <c r="H509" s="9">
        <f>Source!AV349</f>
        <v>1</v>
      </c>
      <c r="I509" s="9">
        <f>IF(Source!BA349&lt;&gt; 0, Source!BA349, 1)</f>
        <v>1</v>
      </c>
      <c r="J509" s="22">
        <f>Source!S349</f>
        <v>1881.83</v>
      </c>
      <c r="K509" s="22"/>
    </row>
    <row r="510" spans="1:22" ht="14.25" x14ac:dyDescent="0.2">
      <c r="A510" s="19"/>
      <c r="B510" s="19"/>
      <c r="C510" s="19" t="s">
        <v>826</v>
      </c>
      <c r="D510" s="20"/>
      <c r="E510" s="9"/>
      <c r="F510" s="22">
        <f>Source!AM349</f>
        <v>4.09</v>
      </c>
      <c r="G510" s="21" t="str">
        <f>Source!DE349</f>
        <v/>
      </c>
      <c r="H510" s="9">
        <f>Source!AV349</f>
        <v>1</v>
      </c>
      <c r="I510" s="9">
        <f>IF(Source!BB349&lt;&gt; 0, Source!BB349, 1)</f>
        <v>1</v>
      </c>
      <c r="J510" s="22">
        <f>Source!Q349</f>
        <v>7.36</v>
      </c>
      <c r="K510" s="22"/>
    </row>
    <row r="511" spans="1:22" ht="14.25" x14ac:dyDescent="0.2">
      <c r="A511" s="19"/>
      <c r="B511" s="19"/>
      <c r="C511" s="19" t="s">
        <v>827</v>
      </c>
      <c r="D511" s="20"/>
      <c r="E511" s="9"/>
      <c r="F511" s="22">
        <f>Source!AN349</f>
        <v>0.06</v>
      </c>
      <c r="G511" s="21" t="str">
        <f>Source!DF349</f>
        <v/>
      </c>
      <c r="H511" s="9">
        <f>Source!AV349</f>
        <v>1</v>
      </c>
      <c r="I511" s="9">
        <f>IF(Source!BS349&lt;&gt; 0, Source!BS349, 1)</f>
        <v>1</v>
      </c>
      <c r="J511" s="24">
        <f>Source!R349</f>
        <v>0.11</v>
      </c>
      <c r="K511" s="22"/>
    </row>
    <row r="512" spans="1:22" ht="14.25" x14ac:dyDescent="0.2">
      <c r="A512" s="19"/>
      <c r="B512" s="19"/>
      <c r="C512" s="19" t="s">
        <v>834</v>
      </c>
      <c r="D512" s="20"/>
      <c r="E512" s="9"/>
      <c r="F512" s="22">
        <f>Source!AL349</f>
        <v>1.67</v>
      </c>
      <c r="G512" s="21" t="str">
        <f>Source!DD349</f>
        <v/>
      </c>
      <c r="H512" s="9">
        <f>Source!AW349</f>
        <v>1</v>
      </c>
      <c r="I512" s="9">
        <f>IF(Source!BC349&lt;&gt; 0, Source!BC349, 1)</f>
        <v>1</v>
      </c>
      <c r="J512" s="22">
        <f>Source!P349</f>
        <v>3.01</v>
      </c>
      <c r="K512" s="22"/>
    </row>
    <row r="513" spans="1:22" ht="14.25" x14ac:dyDescent="0.2">
      <c r="A513" s="19"/>
      <c r="B513" s="19"/>
      <c r="C513" s="19" t="s">
        <v>828</v>
      </c>
      <c r="D513" s="20" t="s">
        <v>829</v>
      </c>
      <c r="E513" s="9">
        <f>Source!AT349</f>
        <v>70</v>
      </c>
      <c r="F513" s="22"/>
      <c r="G513" s="21"/>
      <c r="H513" s="9"/>
      <c r="I513" s="9"/>
      <c r="J513" s="22">
        <f>SUM(R507:R512)</f>
        <v>1317.28</v>
      </c>
      <c r="K513" s="22"/>
    </row>
    <row r="514" spans="1:22" ht="14.25" x14ac:dyDescent="0.2">
      <c r="A514" s="19"/>
      <c r="B514" s="19"/>
      <c r="C514" s="19" t="s">
        <v>830</v>
      </c>
      <c r="D514" s="20" t="s">
        <v>829</v>
      </c>
      <c r="E514" s="9">
        <f>Source!AU349</f>
        <v>10</v>
      </c>
      <c r="F514" s="22"/>
      <c r="G514" s="21"/>
      <c r="H514" s="9"/>
      <c r="I514" s="9"/>
      <c r="J514" s="22">
        <f>SUM(T507:T513)</f>
        <v>188.18</v>
      </c>
      <c r="K514" s="22"/>
    </row>
    <row r="515" spans="1:22" ht="14.25" x14ac:dyDescent="0.2">
      <c r="A515" s="19"/>
      <c r="B515" s="19"/>
      <c r="C515" s="19" t="s">
        <v>831</v>
      </c>
      <c r="D515" s="20" t="s">
        <v>829</v>
      </c>
      <c r="E515" s="9">
        <f>108</f>
        <v>108</v>
      </c>
      <c r="F515" s="22"/>
      <c r="G515" s="21"/>
      <c r="H515" s="9"/>
      <c r="I515" s="9"/>
      <c r="J515" s="22">
        <f>SUM(V507:V514)</f>
        <v>0.12</v>
      </c>
      <c r="K515" s="22"/>
    </row>
    <row r="516" spans="1:22" ht="14.25" x14ac:dyDescent="0.2">
      <c r="A516" s="19"/>
      <c r="B516" s="19"/>
      <c r="C516" s="19" t="s">
        <v>832</v>
      </c>
      <c r="D516" s="20" t="s">
        <v>833</v>
      </c>
      <c r="E516" s="9">
        <f>Source!AQ349</f>
        <v>1.84</v>
      </c>
      <c r="F516" s="22"/>
      <c r="G516" s="21" t="str">
        <f>Source!DI349</f>
        <v/>
      </c>
      <c r="H516" s="9">
        <f>Source!AV349</f>
        <v>1</v>
      </c>
      <c r="I516" s="9"/>
      <c r="J516" s="22"/>
      <c r="K516" s="22">
        <f>Source!U349</f>
        <v>3.3120000000000003</v>
      </c>
    </row>
    <row r="517" spans="1:22" ht="15" x14ac:dyDescent="0.25">
      <c r="A517" s="27"/>
      <c r="B517" s="27"/>
      <c r="C517" s="27"/>
      <c r="D517" s="27"/>
      <c r="E517" s="27"/>
      <c r="F517" s="27"/>
      <c r="G517" s="27"/>
      <c r="H517" s="27"/>
      <c r="I517" s="60">
        <f>J509+J510+J512+J513+J514+J515</f>
        <v>3397.7799999999993</v>
      </c>
      <c r="J517" s="60"/>
      <c r="K517" s="28">
        <f>IF(Source!I349&lt;&gt;0, ROUND(I517/Source!I349, 2), 0)</f>
        <v>1887.66</v>
      </c>
      <c r="P517" s="25">
        <f>I517</f>
        <v>3397.7799999999993</v>
      </c>
    </row>
    <row r="518" spans="1:22" ht="57" x14ac:dyDescent="0.2">
      <c r="A518" s="19">
        <v>48</v>
      </c>
      <c r="B518" s="19" t="str">
        <f>Source!F350</f>
        <v>1.17-2103-15-3/1</v>
      </c>
      <c r="C518" s="19" t="str">
        <f>Source!G350</f>
        <v>Техническое обслуживание конвекторов, встраиваемых в пол, длиной короба 1100 мм, шириной короба до 260 мм</v>
      </c>
      <c r="D518" s="20" t="str">
        <f>Source!H350</f>
        <v>10 шт.</v>
      </c>
      <c r="E518" s="9">
        <f>Source!I350</f>
        <v>0.2</v>
      </c>
      <c r="F518" s="22"/>
      <c r="G518" s="21"/>
      <c r="H518" s="9"/>
      <c r="I518" s="9"/>
      <c r="J518" s="22"/>
      <c r="K518" s="22"/>
      <c r="Q518">
        <f>ROUND((Source!BZ350/100)*ROUND((Source!AF350*Source!AV350)*Source!I350, 2), 2)</f>
        <v>146.36000000000001</v>
      </c>
      <c r="R518">
        <f>Source!X350</f>
        <v>146.36000000000001</v>
      </c>
      <c r="S518">
        <f>ROUND((Source!CA350/100)*ROUND((Source!AF350*Source!AV350)*Source!I350, 2), 2)</f>
        <v>20.91</v>
      </c>
      <c r="T518">
        <f>Source!Y350</f>
        <v>20.91</v>
      </c>
      <c r="U518">
        <f>ROUND((175/100)*ROUND((Source!AE350*Source!AV350)*Source!I350, 2), 2)</f>
        <v>0.02</v>
      </c>
      <c r="V518">
        <f>ROUND((108/100)*ROUND(Source!CS350*Source!I350, 2), 2)</f>
        <v>0.01</v>
      </c>
    </row>
    <row r="519" spans="1:22" x14ac:dyDescent="0.2">
      <c r="C519" s="23" t="str">
        <f>"Объем: "&amp;Source!I350&amp;"=2/"&amp;"10"</f>
        <v>Объем: 0,2=2/10</v>
      </c>
    </row>
    <row r="520" spans="1:22" ht="14.25" x14ac:dyDescent="0.2">
      <c r="A520" s="19"/>
      <c r="B520" s="19"/>
      <c r="C520" s="19" t="s">
        <v>825</v>
      </c>
      <c r="D520" s="20"/>
      <c r="E520" s="9"/>
      <c r="F520" s="22">
        <f>Source!AO350</f>
        <v>1045.46</v>
      </c>
      <c r="G520" s="21" t="str">
        <f>Source!DG350</f>
        <v/>
      </c>
      <c r="H520" s="9">
        <f>Source!AV350</f>
        <v>1</v>
      </c>
      <c r="I520" s="9">
        <f>IF(Source!BA350&lt;&gt; 0, Source!BA350, 1)</f>
        <v>1</v>
      </c>
      <c r="J520" s="22">
        <f>Source!S350</f>
        <v>209.09</v>
      </c>
      <c r="K520" s="22"/>
    </row>
    <row r="521" spans="1:22" ht="14.25" x14ac:dyDescent="0.2">
      <c r="A521" s="19"/>
      <c r="B521" s="19"/>
      <c r="C521" s="19" t="s">
        <v>826</v>
      </c>
      <c r="D521" s="20"/>
      <c r="E521" s="9"/>
      <c r="F521" s="22">
        <f>Source!AM350</f>
        <v>4.09</v>
      </c>
      <c r="G521" s="21" t="str">
        <f>Source!DE350</f>
        <v/>
      </c>
      <c r="H521" s="9">
        <f>Source!AV350</f>
        <v>1</v>
      </c>
      <c r="I521" s="9">
        <f>IF(Source!BB350&lt;&gt; 0, Source!BB350, 1)</f>
        <v>1</v>
      </c>
      <c r="J521" s="22">
        <f>Source!Q350</f>
        <v>0.82</v>
      </c>
      <c r="K521" s="22"/>
    </row>
    <row r="522" spans="1:22" ht="14.25" x14ac:dyDescent="0.2">
      <c r="A522" s="19"/>
      <c r="B522" s="19"/>
      <c r="C522" s="19" t="s">
        <v>827</v>
      </c>
      <c r="D522" s="20"/>
      <c r="E522" s="9"/>
      <c r="F522" s="22">
        <f>Source!AN350</f>
        <v>0.06</v>
      </c>
      <c r="G522" s="21" t="str">
        <f>Source!DF350</f>
        <v/>
      </c>
      <c r="H522" s="9">
        <f>Source!AV350</f>
        <v>1</v>
      </c>
      <c r="I522" s="9">
        <f>IF(Source!BS350&lt;&gt; 0, Source!BS350, 1)</f>
        <v>1</v>
      </c>
      <c r="J522" s="24">
        <f>Source!R350</f>
        <v>0.01</v>
      </c>
      <c r="K522" s="22"/>
    </row>
    <row r="523" spans="1:22" ht="14.25" x14ac:dyDescent="0.2">
      <c r="A523" s="19"/>
      <c r="B523" s="19"/>
      <c r="C523" s="19" t="s">
        <v>834</v>
      </c>
      <c r="D523" s="20"/>
      <c r="E523" s="9"/>
      <c r="F523" s="22">
        <f>Source!AL350</f>
        <v>1.67</v>
      </c>
      <c r="G523" s="21" t="str">
        <f>Source!DD350</f>
        <v/>
      </c>
      <c r="H523" s="9">
        <f>Source!AW350</f>
        <v>1</v>
      </c>
      <c r="I523" s="9">
        <f>IF(Source!BC350&lt;&gt; 0, Source!BC350, 1)</f>
        <v>1</v>
      </c>
      <c r="J523" s="22">
        <f>Source!P350</f>
        <v>0.33</v>
      </c>
      <c r="K523" s="22"/>
    </row>
    <row r="524" spans="1:22" ht="14.25" x14ac:dyDescent="0.2">
      <c r="A524" s="19"/>
      <c r="B524" s="19"/>
      <c r="C524" s="19" t="s">
        <v>828</v>
      </c>
      <c r="D524" s="20" t="s">
        <v>829</v>
      </c>
      <c r="E524" s="9">
        <f>Source!AT350</f>
        <v>70</v>
      </c>
      <c r="F524" s="22"/>
      <c r="G524" s="21"/>
      <c r="H524" s="9"/>
      <c r="I524" s="9"/>
      <c r="J524" s="22">
        <f>SUM(R518:R523)</f>
        <v>146.36000000000001</v>
      </c>
      <c r="K524" s="22"/>
    </row>
    <row r="525" spans="1:22" ht="14.25" x14ac:dyDescent="0.2">
      <c r="A525" s="19"/>
      <c r="B525" s="19"/>
      <c r="C525" s="19" t="s">
        <v>830</v>
      </c>
      <c r="D525" s="20" t="s">
        <v>829</v>
      </c>
      <c r="E525" s="9">
        <f>Source!AU350</f>
        <v>10</v>
      </c>
      <c r="F525" s="22"/>
      <c r="G525" s="21"/>
      <c r="H525" s="9"/>
      <c r="I525" s="9"/>
      <c r="J525" s="22">
        <f>SUM(T518:T524)</f>
        <v>20.91</v>
      </c>
      <c r="K525" s="22"/>
    </row>
    <row r="526" spans="1:22" ht="14.25" x14ac:dyDescent="0.2">
      <c r="A526" s="19"/>
      <c r="B526" s="19"/>
      <c r="C526" s="19" t="s">
        <v>831</v>
      </c>
      <c r="D526" s="20" t="s">
        <v>829</v>
      </c>
      <c r="E526" s="9">
        <f>108</f>
        <v>108</v>
      </c>
      <c r="F526" s="22"/>
      <c r="G526" s="21"/>
      <c r="H526" s="9"/>
      <c r="I526" s="9"/>
      <c r="J526" s="22">
        <f>SUM(V518:V525)</f>
        <v>0.01</v>
      </c>
      <c r="K526" s="22"/>
    </row>
    <row r="527" spans="1:22" ht="14.25" x14ac:dyDescent="0.2">
      <c r="A527" s="19"/>
      <c r="B527" s="19"/>
      <c r="C527" s="19" t="s">
        <v>832</v>
      </c>
      <c r="D527" s="20" t="s">
        <v>833</v>
      </c>
      <c r="E527" s="9">
        <f>Source!AQ350</f>
        <v>1.84</v>
      </c>
      <c r="F527" s="22"/>
      <c r="G527" s="21" t="str">
        <f>Source!DI350</f>
        <v/>
      </c>
      <c r="H527" s="9">
        <f>Source!AV350</f>
        <v>1</v>
      </c>
      <c r="I527" s="9"/>
      <c r="J527" s="22"/>
      <c r="K527" s="22">
        <f>Source!U350</f>
        <v>0.36800000000000005</v>
      </c>
    </row>
    <row r="528" spans="1:22" ht="15" x14ac:dyDescent="0.25">
      <c r="A528" s="27"/>
      <c r="B528" s="27"/>
      <c r="C528" s="27"/>
      <c r="D528" s="27"/>
      <c r="E528" s="27"/>
      <c r="F528" s="27"/>
      <c r="G528" s="27"/>
      <c r="H528" s="27"/>
      <c r="I528" s="60">
        <f>J520+J521+J523+J524+J525+J526</f>
        <v>377.52000000000004</v>
      </c>
      <c r="J528" s="60"/>
      <c r="K528" s="28">
        <f>IF(Source!I350&lt;&gt;0, ROUND(I528/Source!I350, 2), 0)</f>
        <v>1887.6</v>
      </c>
      <c r="P528" s="25">
        <f>I528</f>
        <v>377.52000000000004</v>
      </c>
    </row>
    <row r="529" spans="1:22" ht="71.25" x14ac:dyDescent="0.2">
      <c r="A529" s="19">
        <v>49</v>
      </c>
      <c r="B529" s="19" t="str">
        <f>Source!F351</f>
        <v>1.17-2103-15-4/1</v>
      </c>
      <c r="C529" s="19" t="str">
        <f>Source!G351</f>
        <v>Техническое обслуживание конвекторов, встраиваемых в пол, шириной короба до 260 мм, добавлять к 1.17-2103-15-3 на каждые 200 мм увеличения длины короба</v>
      </c>
      <c r="D529" s="20" t="str">
        <f>Source!H351</f>
        <v>10 шт.</v>
      </c>
      <c r="E529" s="9">
        <f>Source!I351</f>
        <v>0.2</v>
      </c>
      <c r="F529" s="22"/>
      <c r="G529" s="21"/>
      <c r="H529" s="9"/>
      <c r="I529" s="9"/>
      <c r="J529" s="22"/>
      <c r="K529" s="22"/>
      <c r="Q529">
        <f>ROUND((Source!BZ351/100)*ROUND((Source!AF351*Source!AV351)*Source!I351, 2), 2)</f>
        <v>32.1</v>
      </c>
      <c r="R529">
        <f>Source!X351</f>
        <v>32.1</v>
      </c>
      <c r="S529">
        <f>ROUND((Source!CA351/100)*ROUND((Source!AF351*Source!AV351)*Source!I351, 2), 2)</f>
        <v>4.59</v>
      </c>
      <c r="T529">
        <f>Source!Y351</f>
        <v>4.59</v>
      </c>
      <c r="U529">
        <f>ROUND((175/100)*ROUND((Source!AE351*Source!AV351)*Source!I351, 2), 2)</f>
        <v>0</v>
      </c>
      <c r="V529">
        <f>ROUND((108/100)*ROUND(Source!CS351*Source!I351, 2), 2)</f>
        <v>0</v>
      </c>
    </row>
    <row r="530" spans="1:22" x14ac:dyDescent="0.2">
      <c r="C530" s="23" t="str">
        <f>"Объем: "&amp;Source!I351&amp;"=2/"&amp;"10"</f>
        <v>Объем: 0,2=2/10</v>
      </c>
    </row>
    <row r="531" spans="1:22" ht="14.25" x14ac:dyDescent="0.2">
      <c r="A531" s="19"/>
      <c r="B531" s="19"/>
      <c r="C531" s="19" t="s">
        <v>825</v>
      </c>
      <c r="D531" s="20"/>
      <c r="E531" s="9"/>
      <c r="F531" s="22">
        <f>Source!AO351</f>
        <v>114.65</v>
      </c>
      <c r="G531" s="21" t="str">
        <f>Source!DG351</f>
        <v>)*2</v>
      </c>
      <c r="H531" s="9">
        <f>Source!AV351</f>
        <v>1</v>
      </c>
      <c r="I531" s="9">
        <f>IF(Source!BA351&lt;&gt; 0, Source!BA351, 1)</f>
        <v>1</v>
      </c>
      <c r="J531" s="22">
        <f>Source!S351</f>
        <v>45.86</v>
      </c>
      <c r="K531" s="22"/>
    </row>
    <row r="532" spans="1:22" ht="14.25" x14ac:dyDescent="0.2">
      <c r="A532" s="19"/>
      <c r="B532" s="19"/>
      <c r="C532" s="19" t="s">
        <v>826</v>
      </c>
      <c r="D532" s="20"/>
      <c r="E532" s="9"/>
      <c r="F532" s="22">
        <f>Source!AM351</f>
        <v>0.74</v>
      </c>
      <c r="G532" s="21" t="str">
        <f>Source!DE351</f>
        <v>)*2</v>
      </c>
      <c r="H532" s="9">
        <f>Source!AV351</f>
        <v>1</v>
      </c>
      <c r="I532" s="9">
        <f>IF(Source!BB351&lt;&gt; 0, Source!BB351, 1)</f>
        <v>1</v>
      </c>
      <c r="J532" s="22">
        <f>Source!Q351</f>
        <v>0.3</v>
      </c>
      <c r="K532" s="22"/>
    </row>
    <row r="533" spans="1:22" ht="14.25" x14ac:dyDescent="0.2">
      <c r="A533" s="19"/>
      <c r="B533" s="19"/>
      <c r="C533" s="19" t="s">
        <v>834</v>
      </c>
      <c r="D533" s="20"/>
      <c r="E533" s="9"/>
      <c r="F533" s="22">
        <f>Source!AL351</f>
        <v>0.31</v>
      </c>
      <c r="G533" s="21" t="str">
        <f>Source!DD351</f>
        <v>)*2</v>
      </c>
      <c r="H533" s="9">
        <f>Source!AW351</f>
        <v>1</v>
      </c>
      <c r="I533" s="9">
        <f>IF(Source!BC351&lt;&gt; 0, Source!BC351, 1)</f>
        <v>1</v>
      </c>
      <c r="J533" s="22">
        <f>Source!P351</f>
        <v>0.12</v>
      </c>
      <c r="K533" s="22"/>
    </row>
    <row r="534" spans="1:22" ht="14.25" x14ac:dyDescent="0.2">
      <c r="A534" s="19"/>
      <c r="B534" s="19"/>
      <c r="C534" s="19" t="s">
        <v>828</v>
      </c>
      <c r="D534" s="20" t="s">
        <v>829</v>
      </c>
      <c r="E534" s="9">
        <f>Source!AT351</f>
        <v>70</v>
      </c>
      <c r="F534" s="22"/>
      <c r="G534" s="21"/>
      <c r="H534" s="9"/>
      <c r="I534" s="9"/>
      <c r="J534" s="22">
        <f>SUM(R529:R533)</f>
        <v>32.1</v>
      </c>
      <c r="K534" s="22"/>
    </row>
    <row r="535" spans="1:22" ht="14.25" x14ac:dyDescent="0.2">
      <c r="A535" s="19"/>
      <c r="B535" s="19"/>
      <c r="C535" s="19" t="s">
        <v>830</v>
      </c>
      <c r="D535" s="20" t="s">
        <v>829</v>
      </c>
      <c r="E535" s="9">
        <f>Source!AU351</f>
        <v>10</v>
      </c>
      <c r="F535" s="22"/>
      <c r="G535" s="21"/>
      <c r="H535" s="9"/>
      <c r="I535" s="9"/>
      <c r="J535" s="22">
        <f>SUM(T529:T534)</f>
        <v>4.59</v>
      </c>
      <c r="K535" s="22"/>
    </row>
    <row r="536" spans="1:22" ht="14.25" x14ac:dyDescent="0.2">
      <c r="A536" s="19"/>
      <c r="B536" s="19"/>
      <c r="C536" s="19" t="s">
        <v>832</v>
      </c>
      <c r="D536" s="20" t="s">
        <v>833</v>
      </c>
      <c r="E536" s="9">
        <f>Source!AQ351</f>
        <v>0.2</v>
      </c>
      <c r="F536" s="22"/>
      <c r="G536" s="21" t="str">
        <f>Source!DI351</f>
        <v>)*2</v>
      </c>
      <c r="H536" s="9">
        <f>Source!AV351</f>
        <v>1</v>
      </c>
      <c r="I536" s="9"/>
      <c r="J536" s="22"/>
      <c r="K536" s="22">
        <f>Source!U351</f>
        <v>8.0000000000000016E-2</v>
      </c>
    </row>
    <row r="537" spans="1:22" ht="15" x14ac:dyDescent="0.25">
      <c r="A537" s="27"/>
      <c r="B537" s="27"/>
      <c r="C537" s="27"/>
      <c r="D537" s="27"/>
      <c r="E537" s="27"/>
      <c r="F537" s="27"/>
      <c r="G537" s="27"/>
      <c r="H537" s="27"/>
      <c r="I537" s="60">
        <f>J531+J532+J533+J534+J535</f>
        <v>82.97</v>
      </c>
      <c r="J537" s="60"/>
      <c r="K537" s="28">
        <f>IF(Source!I351&lt;&gt;0, ROUND(I537/Source!I351, 2), 0)</f>
        <v>414.85</v>
      </c>
      <c r="P537" s="25">
        <f>I537</f>
        <v>82.97</v>
      </c>
    </row>
    <row r="538" spans="1:22" ht="57" x14ac:dyDescent="0.2">
      <c r="A538" s="19">
        <v>50</v>
      </c>
      <c r="B538" s="19" t="str">
        <f>Source!F352</f>
        <v>1.17-2103-15-3/1</v>
      </c>
      <c r="C538" s="19" t="str">
        <f>Source!G352</f>
        <v>Техническое обслуживание конвекторов, встраиваемых в пол, длиной короба 1100 мм, шириной короба до 260 мм</v>
      </c>
      <c r="D538" s="20" t="str">
        <f>Source!H352</f>
        <v>10 шт.</v>
      </c>
      <c r="E538" s="9">
        <f>Source!I352</f>
        <v>1.2</v>
      </c>
      <c r="F538" s="22"/>
      <c r="G538" s="21"/>
      <c r="H538" s="9"/>
      <c r="I538" s="9"/>
      <c r="J538" s="22"/>
      <c r="K538" s="22"/>
      <c r="Q538">
        <f>ROUND((Source!BZ352/100)*ROUND((Source!AF352*Source!AV352)*Source!I352, 2), 2)</f>
        <v>878.19</v>
      </c>
      <c r="R538">
        <f>Source!X352</f>
        <v>878.19</v>
      </c>
      <c r="S538">
        <f>ROUND((Source!CA352/100)*ROUND((Source!AF352*Source!AV352)*Source!I352, 2), 2)</f>
        <v>125.46</v>
      </c>
      <c r="T538">
        <f>Source!Y352</f>
        <v>125.46</v>
      </c>
      <c r="U538">
        <f>ROUND((175/100)*ROUND((Source!AE352*Source!AV352)*Source!I352, 2), 2)</f>
        <v>0.12</v>
      </c>
      <c r="V538">
        <f>ROUND((108/100)*ROUND(Source!CS352*Source!I352, 2), 2)</f>
        <v>0.08</v>
      </c>
    </row>
    <row r="539" spans="1:22" x14ac:dyDescent="0.2">
      <c r="C539" s="23" t="str">
        <f>"Объем: "&amp;Source!I352&amp;"=12/"&amp;"10"</f>
        <v>Объем: 1,2=12/10</v>
      </c>
    </row>
    <row r="540" spans="1:22" ht="14.25" x14ac:dyDescent="0.2">
      <c r="A540" s="19"/>
      <c r="B540" s="19"/>
      <c r="C540" s="19" t="s">
        <v>825</v>
      </c>
      <c r="D540" s="20"/>
      <c r="E540" s="9"/>
      <c r="F540" s="22">
        <f>Source!AO352</f>
        <v>1045.46</v>
      </c>
      <c r="G540" s="21" t="str">
        <f>Source!DG352</f>
        <v/>
      </c>
      <c r="H540" s="9">
        <f>Source!AV352</f>
        <v>1</v>
      </c>
      <c r="I540" s="9">
        <f>IF(Source!BA352&lt;&gt; 0, Source!BA352, 1)</f>
        <v>1</v>
      </c>
      <c r="J540" s="22">
        <f>Source!S352</f>
        <v>1254.55</v>
      </c>
      <c r="K540" s="22"/>
    </row>
    <row r="541" spans="1:22" ht="14.25" x14ac:dyDescent="0.2">
      <c r="A541" s="19"/>
      <c r="B541" s="19"/>
      <c r="C541" s="19" t="s">
        <v>826</v>
      </c>
      <c r="D541" s="20"/>
      <c r="E541" s="9"/>
      <c r="F541" s="22">
        <f>Source!AM352</f>
        <v>4.09</v>
      </c>
      <c r="G541" s="21" t="str">
        <f>Source!DE352</f>
        <v/>
      </c>
      <c r="H541" s="9">
        <f>Source!AV352</f>
        <v>1</v>
      </c>
      <c r="I541" s="9">
        <f>IF(Source!BB352&lt;&gt; 0, Source!BB352, 1)</f>
        <v>1</v>
      </c>
      <c r="J541" s="22">
        <f>Source!Q352</f>
        <v>4.91</v>
      </c>
      <c r="K541" s="22"/>
    </row>
    <row r="542" spans="1:22" ht="14.25" x14ac:dyDescent="0.2">
      <c r="A542" s="19"/>
      <c r="B542" s="19"/>
      <c r="C542" s="19" t="s">
        <v>827</v>
      </c>
      <c r="D542" s="20"/>
      <c r="E542" s="9"/>
      <c r="F542" s="22">
        <f>Source!AN352</f>
        <v>0.06</v>
      </c>
      <c r="G542" s="21" t="str">
        <f>Source!DF352</f>
        <v/>
      </c>
      <c r="H542" s="9">
        <f>Source!AV352</f>
        <v>1</v>
      </c>
      <c r="I542" s="9">
        <f>IF(Source!BS352&lt;&gt; 0, Source!BS352, 1)</f>
        <v>1</v>
      </c>
      <c r="J542" s="24">
        <f>Source!R352</f>
        <v>7.0000000000000007E-2</v>
      </c>
      <c r="K542" s="22"/>
    </row>
    <row r="543" spans="1:22" ht="14.25" x14ac:dyDescent="0.2">
      <c r="A543" s="19"/>
      <c r="B543" s="19"/>
      <c r="C543" s="19" t="s">
        <v>834</v>
      </c>
      <c r="D543" s="20"/>
      <c r="E543" s="9"/>
      <c r="F543" s="22">
        <f>Source!AL352</f>
        <v>1.67</v>
      </c>
      <c r="G543" s="21" t="str">
        <f>Source!DD352</f>
        <v/>
      </c>
      <c r="H543" s="9">
        <f>Source!AW352</f>
        <v>1</v>
      </c>
      <c r="I543" s="9">
        <f>IF(Source!BC352&lt;&gt; 0, Source!BC352, 1)</f>
        <v>1</v>
      </c>
      <c r="J543" s="22">
        <f>Source!P352</f>
        <v>2</v>
      </c>
      <c r="K543" s="22"/>
    </row>
    <row r="544" spans="1:22" ht="14.25" x14ac:dyDescent="0.2">
      <c r="A544" s="19"/>
      <c r="B544" s="19"/>
      <c r="C544" s="19" t="s">
        <v>828</v>
      </c>
      <c r="D544" s="20" t="s">
        <v>829</v>
      </c>
      <c r="E544" s="9">
        <f>Source!AT352</f>
        <v>70</v>
      </c>
      <c r="F544" s="22"/>
      <c r="G544" s="21"/>
      <c r="H544" s="9"/>
      <c r="I544" s="9"/>
      <c r="J544" s="22">
        <f>SUM(R538:R543)</f>
        <v>878.19</v>
      </c>
      <c r="K544" s="22"/>
    </row>
    <row r="545" spans="1:22" ht="14.25" x14ac:dyDescent="0.2">
      <c r="A545" s="19"/>
      <c r="B545" s="19"/>
      <c r="C545" s="19" t="s">
        <v>830</v>
      </c>
      <c r="D545" s="20" t="s">
        <v>829</v>
      </c>
      <c r="E545" s="9">
        <f>Source!AU352</f>
        <v>10</v>
      </c>
      <c r="F545" s="22"/>
      <c r="G545" s="21"/>
      <c r="H545" s="9"/>
      <c r="I545" s="9"/>
      <c r="J545" s="22">
        <f>SUM(T538:T544)</f>
        <v>125.46</v>
      </c>
      <c r="K545" s="22"/>
    </row>
    <row r="546" spans="1:22" ht="14.25" x14ac:dyDescent="0.2">
      <c r="A546" s="19"/>
      <c r="B546" s="19"/>
      <c r="C546" s="19" t="s">
        <v>831</v>
      </c>
      <c r="D546" s="20" t="s">
        <v>829</v>
      </c>
      <c r="E546" s="9">
        <f>108</f>
        <v>108</v>
      </c>
      <c r="F546" s="22"/>
      <c r="G546" s="21"/>
      <c r="H546" s="9"/>
      <c r="I546" s="9"/>
      <c r="J546" s="22">
        <f>SUM(V538:V545)</f>
        <v>0.08</v>
      </c>
      <c r="K546" s="22"/>
    </row>
    <row r="547" spans="1:22" ht="14.25" x14ac:dyDescent="0.2">
      <c r="A547" s="19"/>
      <c r="B547" s="19"/>
      <c r="C547" s="19" t="s">
        <v>832</v>
      </c>
      <c r="D547" s="20" t="s">
        <v>833</v>
      </c>
      <c r="E547" s="9">
        <f>Source!AQ352</f>
        <v>1.84</v>
      </c>
      <c r="F547" s="22"/>
      <c r="G547" s="21" t="str">
        <f>Source!DI352</f>
        <v/>
      </c>
      <c r="H547" s="9">
        <f>Source!AV352</f>
        <v>1</v>
      </c>
      <c r="I547" s="9"/>
      <c r="J547" s="22"/>
      <c r="K547" s="22">
        <f>Source!U352</f>
        <v>2.2080000000000002</v>
      </c>
    </row>
    <row r="548" spans="1:22" ht="15" x14ac:dyDescent="0.25">
      <c r="A548" s="27"/>
      <c r="B548" s="27"/>
      <c r="C548" s="27"/>
      <c r="D548" s="27"/>
      <c r="E548" s="27"/>
      <c r="F548" s="27"/>
      <c r="G548" s="27"/>
      <c r="H548" s="27"/>
      <c r="I548" s="60">
        <f>J540+J541+J543+J544+J545+J546</f>
        <v>2265.19</v>
      </c>
      <c r="J548" s="60"/>
      <c r="K548" s="28">
        <f>IF(Source!I352&lt;&gt;0, ROUND(I548/Source!I352, 2), 0)</f>
        <v>1887.66</v>
      </c>
      <c r="P548" s="25">
        <f>I548</f>
        <v>2265.19</v>
      </c>
    </row>
    <row r="549" spans="1:22" ht="71.25" x14ac:dyDescent="0.2">
      <c r="A549" s="19">
        <v>51</v>
      </c>
      <c r="B549" s="19" t="str">
        <f>Source!F353</f>
        <v>1.17-2103-15-4/1</v>
      </c>
      <c r="C549" s="19" t="str">
        <f>Source!G353</f>
        <v>Техническое обслуживание конвекторов, встраиваемых в пол, шириной короба до 260 мм, добавлять к 1.17-2103-15-3 на каждые 200 мм увеличения длины короба</v>
      </c>
      <c r="D549" s="20" t="str">
        <f>Source!H353</f>
        <v>10 шт.</v>
      </c>
      <c r="E549" s="9">
        <f>Source!I353</f>
        <v>1.2</v>
      </c>
      <c r="F549" s="22"/>
      <c r="G549" s="21"/>
      <c r="H549" s="9"/>
      <c r="I549" s="9"/>
      <c r="J549" s="22"/>
      <c r="K549" s="22"/>
      <c r="Q549">
        <f>ROUND((Source!BZ353/100)*ROUND((Source!AF353*Source!AV353)*Source!I353, 2), 2)</f>
        <v>481.53</v>
      </c>
      <c r="R549">
        <f>Source!X353</f>
        <v>481.53</v>
      </c>
      <c r="S549">
        <f>ROUND((Source!CA353/100)*ROUND((Source!AF353*Source!AV353)*Source!I353, 2), 2)</f>
        <v>68.790000000000006</v>
      </c>
      <c r="T549">
        <f>Source!Y353</f>
        <v>68.790000000000006</v>
      </c>
      <c r="U549">
        <f>ROUND((175/100)*ROUND((Source!AE353*Source!AV353)*Source!I353, 2), 2)</f>
        <v>0.11</v>
      </c>
      <c r="V549">
        <f>ROUND((108/100)*ROUND(Source!CS353*Source!I353, 2), 2)</f>
        <v>0.06</v>
      </c>
    </row>
    <row r="550" spans="1:22" x14ac:dyDescent="0.2">
      <c r="C550" s="23" t="str">
        <f>"Объем: "&amp;Source!I353&amp;"=12/"&amp;"10"</f>
        <v>Объем: 1,2=12/10</v>
      </c>
    </row>
    <row r="551" spans="1:22" ht="14.25" x14ac:dyDescent="0.2">
      <c r="A551" s="19"/>
      <c r="B551" s="19"/>
      <c r="C551" s="19" t="s">
        <v>825</v>
      </c>
      <c r="D551" s="20"/>
      <c r="E551" s="9"/>
      <c r="F551" s="22">
        <f>Source!AO353</f>
        <v>114.65</v>
      </c>
      <c r="G551" s="21" t="str">
        <f>Source!DG353</f>
        <v>)*5</v>
      </c>
      <c r="H551" s="9">
        <f>Source!AV353</f>
        <v>1</v>
      </c>
      <c r="I551" s="9">
        <f>IF(Source!BA353&lt;&gt; 0, Source!BA353, 1)</f>
        <v>1</v>
      </c>
      <c r="J551" s="22">
        <f>Source!S353</f>
        <v>687.9</v>
      </c>
      <c r="K551" s="22"/>
    </row>
    <row r="552" spans="1:22" ht="14.25" x14ac:dyDescent="0.2">
      <c r="A552" s="19"/>
      <c r="B552" s="19"/>
      <c r="C552" s="19" t="s">
        <v>826</v>
      </c>
      <c r="D552" s="20"/>
      <c r="E552" s="9"/>
      <c r="F552" s="22">
        <f>Source!AM353</f>
        <v>0.74</v>
      </c>
      <c r="G552" s="21" t="str">
        <f>Source!DE353</f>
        <v>)*5</v>
      </c>
      <c r="H552" s="9">
        <f>Source!AV353</f>
        <v>1</v>
      </c>
      <c r="I552" s="9">
        <f>IF(Source!BB353&lt;&gt; 0, Source!BB353, 1)</f>
        <v>1</v>
      </c>
      <c r="J552" s="22">
        <f>Source!Q353</f>
        <v>4.4400000000000004</v>
      </c>
      <c r="K552" s="22"/>
    </row>
    <row r="553" spans="1:22" ht="14.25" x14ac:dyDescent="0.2">
      <c r="A553" s="19"/>
      <c r="B553" s="19"/>
      <c r="C553" s="19" t="s">
        <v>827</v>
      </c>
      <c r="D553" s="20"/>
      <c r="E553" s="9"/>
      <c r="F553" s="22">
        <f>Source!AN353</f>
        <v>0.01</v>
      </c>
      <c r="G553" s="21" t="str">
        <f>Source!DF353</f>
        <v>)*5</v>
      </c>
      <c r="H553" s="9">
        <f>Source!AV353</f>
        <v>1</v>
      </c>
      <c r="I553" s="9">
        <f>IF(Source!BS353&lt;&gt; 0, Source!BS353, 1)</f>
        <v>1</v>
      </c>
      <c r="J553" s="24">
        <f>Source!R353</f>
        <v>0.06</v>
      </c>
      <c r="K553" s="22"/>
    </row>
    <row r="554" spans="1:22" ht="14.25" x14ac:dyDescent="0.2">
      <c r="A554" s="19"/>
      <c r="B554" s="19"/>
      <c r="C554" s="19" t="s">
        <v>834</v>
      </c>
      <c r="D554" s="20"/>
      <c r="E554" s="9"/>
      <c r="F554" s="22">
        <f>Source!AL353</f>
        <v>0.31</v>
      </c>
      <c r="G554" s="21" t="str">
        <f>Source!DD353</f>
        <v>)*5</v>
      </c>
      <c r="H554" s="9">
        <f>Source!AW353</f>
        <v>1</v>
      </c>
      <c r="I554" s="9">
        <f>IF(Source!BC353&lt;&gt; 0, Source!BC353, 1)</f>
        <v>1</v>
      </c>
      <c r="J554" s="22">
        <f>Source!P353</f>
        <v>1.86</v>
      </c>
      <c r="K554" s="22"/>
    </row>
    <row r="555" spans="1:22" ht="14.25" x14ac:dyDescent="0.2">
      <c r="A555" s="19"/>
      <c r="B555" s="19"/>
      <c r="C555" s="19" t="s">
        <v>828</v>
      </c>
      <c r="D555" s="20" t="s">
        <v>829</v>
      </c>
      <c r="E555" s="9">
        <f>Source!AT353</f>
        <v>70</v>
      </c>
      <c r="F555" s="22"/>
      <c r="G555" s="21"/>
      <c r="H555" s="9"/>
      <c r="I555" s="9"/>
      <c r="J555" s="22">
        <f>SUM(R549:R554)</f>
        <v>481.53</v>
      </c>
      <c r="K555" s="22"/>
    </row>
    <row r="556" spans="1:22" ht="14.25" x14ac:dyDescent="0.2">
      <c r="A556" s="19"/>
      <c r="B556" s="19"/>
      <c r="C556" s="19" t="s">
        <v>830</v>
      </c>
      <c r="D556" s="20" t="s">
        <v>829</v>
      </c>
      <c r="E556" s="9">
        <f>Source!AU353</f>
        <v>10</v>
      </c>
      <c r="F556" s="22"/>
      <c r="G556" s="21"/>
      <c r="H556" s="9"/>
      <c r="I556" s="9"/>
      <c r="J556" s="22">
        <f>SUM(T549:T555)</f>
        <v>68.790000000000006</v>
      </c>
      <c r="K556" s="22"/>
    </row>
    <row r="557" spans="1:22" ht="14.25" x14ac:dyDescent="0.2">
      <c r="A557" s="19"/>
      <c r="B557" s="19"/>
      <c r="C557" s="19" t="s">
        <v>831</v>
      </c>
      <c r="D557" s="20" t="s">
        <v>829</v>
      </c>
      <c r="E557" s="9">
        <f>108</f>
        <v>108</v>
      </c>
      <c r="F557" s="22"/>
      <c r="G557" s="21"/>
      <c r="H557" s="9"/>
      <c r="I557" s="9"/>
      <c r="J557" s="22">
        <f>SUM(V549:V556)</f>
        <v>0.06</v>
      </c>
      <c r="K557" s="22"/>
    </row>
    <row r="558" spans="1:22" ht="14.25" x14ac:dyDescent="0.2">
      <c r="A558" s="19"/>
      <c r="B558" s="19"/>
      <c r="C558" s="19" t="s">
        <v>832</v>
      </c>
      <c r="D558" s="20" t="s">
        <v>833</v>
      </c>
      <c r="E558" s="9">
        <f>Source!AQ353</f>
        <v>0.2</v>
      </c>
      <c r="F558" s="22"/>
      <c r="G558" s="21" t="str">
        <f>Source!DI353</f>
        <v>)*5</v>
      </c>
      <c r="H558" s="9">
        <f>Source!AV353</f>
        <v>1</v>
      </c>
      <c r="I558" s="9"/>
      <c r="J558" s="22"/>
      <c r="K558" s="22">
        <f>Source!U353</f>
        <v>1.2</v>
      </c>
    </row>
    <row r="559" spans="1:22" ht="15" x14ac:dyDescent="0.25">
      <c r="A559" s="27"/>
      <c r="B559" s="27"/>
      <c r="C559" s="27"/>
      <c r="D559" s="27"/>
      <c r="E559" s="27"/>
      <c r="F559" s="27"/>
      <c r="G559" s="27"/>
      <c r="H559" s="27"/>
      <c r="I559" s="60">
        <f>J551+J552+J554+J555+J556+J557</f>
        <v>1244.58</v>
      </c>
      <c r="J559" s="60"/>
      <c r="K559" s="28">
        <f>IF(Source!I353&lt;&gt;0, ROUND(I559/Source!I353, 2), 0)</f>
        <v>1037.1500000000001</v>
      </c>
      <c r="P559" s="25">
        <f>I559</f>
        <v>1244.58</v>
      </c>
    </row>
    <row r="560" spans="1:22" ht="28.5" x14ac:dyDescent="0.2">
      <c r="A560" s="19">
        <v>52</v>
      </c>
      <c r="B560" s="19" t="str">
        <f>Source!F355</f>
        <v>1.17-2103-8-1/1</v>
      </c>
      <c r="C560" s="19" t="str">
        <f>Source!G355</f>
        <v>Техническое обслуживание инфракрасных потолочных панелей</v>
      </c>
      <c r="D560" s="20" t="str">
        <f>Source!H355</f>
        <v>100 м</v>
      </c>
      <c r="E560" s="9">
        <f>Source!I355</f>
        <v>4.8000000000000001E-2</v>
      </c>
      <c r="F560" s="22"/>
      <c r="G560" s="21"/>
      <c r="H560" s="9"/>
      <c r="I560" s="9"/>
      <c r="J560" s="22"/>
      <c r="K560" s="22"/>
      <c r="Q560">
        <f>ROUND((Source!BZ355/100)*ROUND((Source!AF355*Source!AV355)*Source!I355, 2), 2)</f>
        <v>453.54</v>
      </c>
      <c r="R560">
        <f>Source!X355</f>
        <v>453.54</v>
      </c>
      <c r="S560">
        <f>ROUND((Source!CA355/100)*ROUND((Source!AF355*Source!AV355)*Source!I355, 2), 2)</f>
        <v>64.790000000000006</v>
      </c>
      <c r="T560">
        <f>Source!Y355</f>
        <v>64.790000000000006</v>
      </c>
      <c r="U560">
        <f>ROUND((175/100)*ROUND((Source!AE355*Source!AV355)*Source!I355, 2), 2)</f>
        <v>335.9</v>
      </c>
      <c r="V560">
        <f>ROUND((108/100)*ROUND(Source!CS355*Source!I355, 2), 2)</f>
        <v>207.3</v>
      </c>
    </row>
    <row r="561" spans="1:22" x14ac:dyDescent="0.2">
      <c r="C561" s="23" t="str">
        <f>"Объем: "&amp;Source!I355&amp;"=(1,2)*"&amp;"4/"&amp;"100"</f>
        <v>Объем: 0,048=(1,2)*4/100</v>
      </c>
    </row>
    <row r="562" spans="1:22" ht="14.25" x14ac:dyDescent="0.2">
      <c r="A562" s="19"/>
      <c r="B562" s="19"/>
      <c r="C562" s="19" t="s">
        <v>825</v>
      </c>
      <c r="D562" s="20"/>
      <c r="E562" s="9"/>
      <c r="F562" s="22">
        <f>Source!AO355</f>
        <v>6749.12</v>
      </c>
      <c r="G562" s="21" t="str">
        <f>Source!DG355</f>
        <v>)*2</v>
      </c>
      <c r="H562" s="9">
        <f>Source!AV355</f>
        <v>1</v>
      </c>
      <c r="I562" s="9">
        <f>IF(Source!BA355&lt;&gt; 0, Source!BA355, 1)</f>
        <v>1</v>
      </c>
      <c r="J562" s="22">
        <f>Source!S355</f>
        <v>647.91999999999996</v>
      </c>
      <c r="K562" s="22"/>
    </row>
    <row r="563" spans="1:22" ht="14.25" x14ac:dyDescent="0.2">
      <c r="A563" s="19"/>
      <c r="B563" s="19"/>
      <c r="C563" s="19" t="s">
        <v>826</v>
      </c>
      <c r="D563" s="20"/>
      <c r="E563" s="9"/>
      <c r="F563" s="22">
        <f>Source!AM355</f>
        <v>3153.28</v>
      </c>
      <c r="G563" s="21" t="str">
        <f>Source!DE355</f>
        <v>)*2</v>
      </c>
      <c r="H563" s="9">
        <f>Source!AV355</f>
        <v>1</v>
      </c>
      <c r="I563" s="9">
        <f>IF(Source!BB355&lt;&gt; 0, Source!BB355, 1)</f>
        <v>1</v>
      </c>
      <c r="J563" s="22">
        <f>Source!Q355</f>
        <v>302.70999999999998</v>
      </c>
      <c r="K563" s="22"/>
    </row>
    <row r="564" spans="1:22" ht="14.25" x14ac:dyDescent="0.2">
      <c r="A564" s="19"/>
      <c r="B564" s="19"/>
      <c r="C564" s="19" t="s">
        <v>827</v>
      </c>
      <c r="D564" s="20"/>
      <c r="E564" s="9"/>
      <c r="F564" s="22">
        <f>Source!AN355</f>
        <v>1999.4</v>
      </c>
      <c r="G564" s="21" t="str">
        <f>Source!DF355</f>
        <v>)*2</v>
      </c>
      <c r="H564" s="9">
        <f>Source!AV355</f>
        <v>1</v>
      </c>
      <c r="I564" s="9">
        <f>IF(Source!BS355&lt;&gt; 0, Source!BS355, 1)</f>
        <v>1</v>
      </c>
      <c r="J564" s="24">
        <f>Source!R355</f>
        <v>191.94</v>
      </c>
      <c r="K564" s="22"/>
    </row>
    <row r="565" spans="1:22" ht="14.25" x14ac:dyDescent="0.2">
      <c r="A565" s="19"/>
      <c r="B565" s="19"/>
      <c r="C565" s="19" t="s">
        <v>834</v>
      </c>
      <c r="D565" s="20"/>
      <c r="E565" s="9"/>
      <c r="F565" s="22">
        <f>Source!AL355</f>
        <v>7.8</v>
      </c>
      <c r="G565" s="21" t="str">
        <f>Source!DD355</f>
        <v>)*2</v>
      </c>
      <c r="H565" s="9">
        <f>Source!AW355</f>
        <v>1</v>
      </c>
      <c r="I565" s="9">
        <f>IF(Source!BC355&lt;&gt; 0, Source!BC355, 1)</f>
        <v>1</v>
      </c>
      <c r="J565" s="22">
        <f>Source!P355</f>
        <v>0.75</v>
      </c>
      <c r="K565" s="22"/>
    </row>
    <row r="566" spans="1:22" ht="14.25" x14ac:dyDescent="0.2">
      <c r="A566" s="19"/>
      <c r="B566" s="19"/>
      <c r="C566" s="19" t="s">
        <v>828</v>
      </c>
      <c r="D566" s="20" t="s">
        <v>829</v>
      </c>
      <c r="E566" s="9">
        <f>Source!AT355</f>
        <v>70</v>
      </c>
      <c r="F566" s="22"/>
      <c r="G566" s="21"/>
      <c r="H566" s="9"/>
      <c r="I566" s="9"/>
      <c r="J566" s="22">
        <f>SUM(R560:R565)</f>
        <v>453.54</v>
      </c>
      <c r="K566" s="22"/>
    </row>
    <row r="567" spans="1:22" ht="14.25" x14ac:dyDescent="0.2">
      <c r="A567" s="19"/>
      <c r="B567" s="19"/>
      <c r="C567" s="19" t="s">
        <v>830</v>
      </c>
      <c r="D567" s="20" t="s">
        <v>829</v>
      </c>
      <c r="E567" s="9">
        <f>Source!AU355</f>
        <v>10</v>
      </c>
      <c r="F567" s="22"/>
      <c r="G567" s="21"/>
      <c r="H567" s="9"/>
      <c r="I567" s="9"/>
      <c r="J567" s="22">
        <f>SUM(T560:T566)</f>
        <v>64.790000000000006</v>
      </c>
      <c r="K567" s="22"/>
    </row>
    <row r="568" spans="1:22" ht="14.25" x14ac:dyDescent="0.2">
      <c r="A568" s="19"/>
      <c r="B568" s="19"/>
      <c r="C568" s="19" t="s">
        <v>831</v>
      </c>
      <c r="D568" s="20" t="s">
        <v>829</v>
      </c>
      <c r="E568" s="9">
        <f>108</f>
        <v>108</v>
      </c>
      <c r="F568" s="22"/>
      <c r="G568" s="21"/>
      <c r="H568" s="9"/>
      <c r="I568" s="9"/>
      <c r="J568" s="22">
        <f>SUM(V560:V567)</f>
        <v>207.3</v>
      </c>
      <c r="K568" s="22"/>
    </row>
    <row r="569" spans="1:22" ht="14.25" x14ac:dyDescent="0.2">
      <c r="A569" s="19"/>
      <c r="B569" s="19"/>
      <c r="C569" s="19" t="s">
        <v>832</v>
      </c>
      <c r="D569" s="20" t="s">
        <v>833</v>
      </c>
      <c r="E569" s="9">
        <f>Source!AQ355</f>
        <v>11.04</v>
      </c>
      <c r="F569" s="22"/>
      <c r="G569" s="21" t="str">
        <f>Source!DI355</f>
        <v>)*2</v>
      </c>
      <c r="H569" s="9">
        <f>Source!AV355</f>
        <v>1</v>
      </c>
      <c r="I569" s="9"/>
      <c r="J569" s="22"/>
      <c r="K569" s="22">
        <f>Source!U355</f>
        <v>1.0598399999999999</v>
      </c>
    </row>
    <row r="570" spans="1:22" ht="15" x14ac:dyDescent="0.25">
      <c r="A570" s="27"/>
      <c r="B570" s="27"/>
      <c r="C570" s="27"/>
      <c r="D570" s="27"/>
      <c r="E570" s="27"/>
      <c r="F570" s="27"/>
      <c r="G570" s="27"/>
      <c r="H570" s="27"/>
      <c r="I570" s="60">
        <f>J562+J563+J565+J566+J567+J568</f>
        <v>1677.0099999999998</v>
      </c>
      <c r="J570" s="60"/>
      <c r="K570" s="28">
        <f>IF(Source!I355&lt;&gt;0, ROUND(I570/Source!I355, 2), 0)</f>
        <v>34937.71</v>
      </c>
      <c r="P570" s="25">
        <f>I570</f>
        <v>1677.0099999999998</v>
      </c>
    </row>
    <row r="571" spans="1:22" ht="57" x14ac:dyDescent="0.2">
      <c r="A571" s="19">
        <v>53</v>
      </c>
      <c r="B571" s="19" t="str">
        <f>Source!F356</f>
        <v>1.21-2303-50-1/1</v>
      </c>
      <c r="C571" s="19" t="str">
        <f>Source!G356</f>
        <v>Техническое обслуживание  конвектора электрического настенного крепления, с механическим термостатом, мощность до 2,0 кВт</v>
      </c>
      <c r="D571" s="20" t="str">
        <f>Source!H356</f>
        <v>шт.</v>
      </c>
      <c r="E571" s="9">
        <f>Source!I356</f>
        <v>1</v>
      </c>
      <c r="F571" s="22"/>
      <c r="G571" s="21"/>
      <c r="H571" s="9"/>
      <c r="I571" s="9"/>
      <c r="J571" s="22"/>
      <c r="K571" s="22"/>
      <c r="Q571">
        <f>ROUND((Source!BZ356/100)*ROUND((Source!AF356*Source!AV356)*Source!I356, 2), 2)</f>
        <v>60.52</v>
      </c>
      <c r="R571">
        <f>Source!X356</f>
        <v>60.52</v>
      </c>
      <c r="S571">
        <f>ROUND((Source!CA356/100)*ROUND((Source!AF356*Source!AV356)*Source!I356, 2), 2)</f>
        <v>8.65</v>
      </c>
      <c r="T571">
        <f>Source!Y356</f>
        <v>8.65</v>
      </c>
      <c r="U571">
        <f>ROUND((175/100)*ROUND((Source!AE356*Source!AV356)*Source!I356, 2), 2)</f>
        <v>0</v>
      </c>
      <c r="V571">
        <f>ROUND((108/100)*ROUND(Source!CS356*Source!I356, 2), 2)</f>
        <v>0</v>
      </c>
    </row>
    <row r="572" spans="1:22" ht="14.25" x14ac:dyDescent="0.2">
      <c r="A572" s="19"/>
      <c r="B572" s="19"/>
      <c r="C572" s="19" t="s">
        <v>825</v>
      </c>
      <c r="D572" s="20"/>
      <c r="E572" s="9"/>
      <c r="F572" s="22">
        <f>Source!AO356</f>
        <v>86.45</v>
      </c>
      <c r="G572" s="21" t="str">
        <f>Source!DG356</f>
        <v/>
      </c>
      <c r="H572" s="9">
        <f>Source!AV356</f>
        <v>1</v>
      </c>
      <c r="I572" s="9">
        <f>IF(Source!BA356&lt;&gt; 0, Source!BA356, 1)</f>
        <v>1</v>
      </c>
      <c r="J572" s="22">
        <f>Source!S356</f>
        <v>86.45</v>
      </c>
      <c r="K572" s="22"/>
    </row>
    <row r="573" spans="1:22" ht="14.25" x14ac:dyDescent="0.2">
      <c r="A573" s="19"/>
      <c r="B573" s="19"/>
      <c r="C573" s="19" t="s">
        <v>826</v>
      </c>
      <c r="D573" s="20"/>
      <c r="E573" s="9"/>
      <c r="F573" s="22">
        <f>Source!AM356</f>
        <v>0.23</v>
      </c>
      <c r="G573" s="21" t="str">
        <f>Source!DE356</f>
        <v/>
      </c>
      <c r="H573" s="9">
        <f>Source!AV356</f>
        <v>1</v>
      </c>
      <c r="I573" s="9">
        <f>IF(Source!BB356&lt;&gt; 0, Source!BB356, 1)</f>
        <v>1</v>
      </c>
      <c r="J573" s="22">
        <f>Source!Q356</f>
        <v>0.23</v>
      </c>
      <c r="K573" s="22"/>
    </row>
    <row r="574" spans="1:22" ht="14.25" x14ac:dyDescent="0.2">
      <c r="A574" s="19"/>
      <c r="B574" s="19"/>
      <c r="C574" s="19" t="s">
        <v>834</v>
      </c>
      <c r="D574" s="20"/>
      <c r="E574" s="9"/>
      <c r="F574" s="22">
        <f>Source!AL356</f>
        <v>2.2000000000000002</v>
      </c>
      <c r="G574" s="21" t="str">
        <f>Source!DD356</f>
        <v/>
      </c>
      <c r="H574" s="9">
        <f>Source!AW356</f>
        <v>1</v>
      </c>
      <c r="I574" s="9">
        <f>IF(Source!BC356&lt;&gt; 0, Source!BC356, 1)</f>
        <v>1</v>
      </c>
      <c r="J574" s="22">
        <f>Source!P356</f>
        <v>2.2000000000000002</v>
      </c>
      <c r="K574" s="22"/>
    </row>
    <row r="575" spans="1:22" ht="14.25" x14ac:dyDescent="0.2">
      <c r="A575" s="19"/>
      <c r="B575" s="19"/>
      <c r="C575" s="19" t="s">
        <v>828</v>
      </c>
      <c r="D575" s="20" t="s">
        <v>829</v>
      </c>
      <c r="E575" s="9">
        <f>Source!AT356</f>
        <v>70</v>
      </c>
      <c r="F575" s="22"/>
      <c r="G575" s="21"/>
      <c r="H575" s="9"/>
      <c r="I575" s="9"/>
      <c r="J575" s="22">
        <f>SUM(R571:R574)</f>
        <v>60.52</v>
      </c>
      <c r="K575" s="22"/>
    </row>
    <row r="576" spans="1:22" ht="14.25" x14ac:dyDescent="0.2">
      <c r="A576" s="19"/>
      <c r="B576" s="19"/>
      <c r="C576" s="19" t="s">
        <v>830</v>
      </c>
      <c r="D576" s="20" t="s">
        <v>829</v>
      </c>
      <c r="E576" s="9">
        <f>Source!AU356</f>
        <v>10</v>
      </c>
      <c r="F576" s="22"/>
      <c r="G576" s="21"/>
      <c r="H576" s="9"/>
      <c r="I576" s="9"/>
      <c r="J576" s="22">
        <f>SUM(T571:T575)</f>
        <v>8.65</v>
      </c>
      <c r="K576" s="22"/>
    </row>
    <row r="577" spans="1:22" ht="14.25" x14ac:dyDescent="0.2">
      <c r="A577" s="19"/>
      <c r="B577" s="19"/>
      <c r="C577" s="19" t="s">
        <v>832</v>
      </c>
      <c r="D577" s="20" t="s">
        <v>833</v>
      </c>
      <c r="E577" s="9">
        <f>Source!AQ356</f>
        <v>0.14000000000000001</v>
      </c>
      <c r="F577" s="22"/>
      <c r="G577" s="21" t="str">
        <f>Source!DI356</f>
        <v/>
      </c>
      <c r="H577" s="9">
        <f>Source!AV356</f>
        <v>1</v>
      </c>
      <c r="I577" s="9"/>
      <c r="J577" s="22"/>
      <c r="K577" s="22">
        <f>Source!U356</f>
        <v>0.14000000000000001</v>
      </c>
    </row>
    <row r="578" spans="1:22" ht="15" x14ac:dyDescent="0.25">
      <c r="A578" s="27"/>
      <c r="B578" s="27"/>
      <c r="C578" s="27"/>
      <c r="D578" s="27"/>
      <c r="E578" s="27"/>
      <c r="F578" s="27"/>
      <c r="G578" s="27"/>
      <c r="H578" s="27"/>
      <c r="I578" s="60">
        <f>J572+J573+J574+J575+J576</f>
        <v>158.05000000000001</v>
      </c>
      <c r="J578" s="60"/>
      <c r="K578" s="28">
        <f>IF(Source!I356&lt;&gt;0, ROUND(I578/Source!I356, 2), 0)</f>
        <v>158.05000000000001</v>
      </c>
      <c r="P578" s="25">
        <f>I578</f>
        <v>158.05000000000001</v>
      </c>
    </row>
    <row r="579" spans="1:22" ht="42.75" x14ac:dyDescent="0.2">
      <c r="A579" s="19">
        <v>54</v>
      </c>
      <c r="B579" s="19" t="str">
        <f>Source!F358</f>
        <v>1.15-2203-7-1/1</v>
      </c>
      <c r="C579" s="19" t="str">
        <f>Source!G358</f>
        <v>Техническое обслуживание крана шарового латунного никелированного диаметром до 25 мм</v>
      </c>
      <c r="D579" s="20" t="str">
        <f>Source!H358</f>
        <v>10 шт.</v>
      </c>
      <c r="E579" s="9">
        <f>Source!I358</f>
        <v>8.1999999999999993</v>
      </c>
      <c r="F579" s="22"/>
      <c r="G579" s="21"/>
      <c r="H579" s="9"/>
      <c r="I579" s="9"/>
      <c r="J579" s="22"/>
      <c r="K579" s="22"/>
      <c r="Q579">
        <f>ROUND((Source!BZ358/100)*ROUND((Source!AF358*Source!AV358)*Source!I358, 2), 2)</f>
        <v>1594.97</v>
      </c>
      <c r="R579">
        <f>Source!X358</f>
        <v>1594.97</v>
      </c>
      <c r="S579">
        <f>ROUND((Source!CA358/100)*ROUND((Source!AF358*Source!AV358)*Source!I358, 2), 2)</f>
        <v>227.85</v>
      </c>
      <c r="T579">
        <f>Source!Y358</f>
        <v>227.85</v>
      </c>
      <c r="U579">
        <f>ROUND((175/100)*ROUND((Source!AE358*Source!AV358)*Source!I358, 2), 2)</f>
        <v>0</v>
      </c>
      <c r="V579">
        <f>ROUND((108/100)*ROUND(Source!CS358*Source!I358, 2), 2)</f>
        <v>0</v>
      </c>
    </row>
    <row r="580" spans="1:22" x14ac:dyDescent="0.2">
      <c r="C580" s="23" t="str">
        <f>"Объем: "&amp;Source!I358&amp;"=82/"&amp;"10"</f>
        <v>Объем: 8,2=82/10</v>
      </c>
    </row>
    <row r="581" spans="1:22" ht="14.25" x14ac:dyDescent="0.2">
      <c r="A581" s="19"/>
      <c r="B581" s="19"/>
      <c r="C581" s="19" t="s">
        <v>825</v>
      </c>
      <c r="D581" s="20"/>
      <c r="E581" s="9"/>
      <c r="F581" s="22">
        <f>Source!AO358</f>
        <v>277.87</v>
      </c>
      <c r="G581" s="21" t="str">
        <f>Source!DG358</f>
        <v/>
      </c>
      <c r="H581" s="9">
        <f>Source!AV358</f>
        <v>1</v>
      </c>
      <c r="I581" s="9">
        <f>IF(Source!BA358&lt;&gt; 0, Source!BA358, 1)</f>
        <v>1</v>
      </c>
      <c r="J581" s="22">
        <f>Source!S358</f>
        <v>2278.5300000000002</v>
      </c>
      <c r="K581" s="22"/>
    </row>
    <row r="582" spans="1:22" ht="14.25" x14ac:dyDescent="0.2">
      <c r="A582" s="19"/>
      <c r="B582" s="19"/>
      <c r="C582" s="19" t="s">
        <v>828</v>
      </c>
      <c r="D582" s="20" t="s">
        <v>829</v>
      </c>
      <c r="E582" s="9">
        <f>Source!AT358</f>
        <v>70</v>
      </c>
      <c r="F582" s="22"/>
      <c r="G582" s="21"/>
      <c r="H582" s="9"/>
      <c r="I582" s="9"/>
      <c r="J582" s="22">
        <f>SUM(R579:R581)</f>
        <v>1594.97</v>
      </c>
      <c r="K582" s="22"/>
    </row>
    <row r="583" spans="1:22" ht="14.25" x14ac:dyDescent="0.2">
      <c r="A583" s="19"/>
      <c r="B583" s="19"/>
      <c r="C583" s="19" t="s">
        <v>830</v>
      </c>
      <c r="D583" s="20" t="s">
        <v>829</v>
      </c>
      <c r="E583" s="9">
        <f>Source!AU358</f>
        <v>10</v>
      </c>
      <c r="F583" s="22"/>
      <c r="G583" s="21"/>
      <c r="H583" s="9"/>
      <c r="I583" s="9"/>
      <c r="J583" s="22">
        <f>SUM(T579:T582)</f>
        <v>227.85</v>
      </c>
      <c r="K583" s="22"/>
    </row>
    <row r="584" spans="1:22" ht="14.25" x14ac:dyDescent="0.2">
      <c r="A584" s="19"/>
      <c r="B584" s="19"/>
      <c r="C584" s="19" t="s">
        <v>832</v>
      </c>
      <c r="D584" s="20" t="s">
        <v>833</v>
      </c>
      <c r="E584" s="9">
        <f>Source!AQ358</f>
        <v>0.45</v>
      </c>
      <c r="F584" s="22"/>
      <c r="G584" s="21" t="str">
        <f>Source!DI358</f>
        <v/>
      </c>
      <c r="H584" s="9">
        <f>Source!AV358</f>
        <v>1</v>
      </c>
      <c r="I584" s="9"/>
      <c r="J584" s="22"/>
      <c r="K584" s="22">
        <f>Source!U358</f>
        <v>3.69</v>
      </c>
    </row>
    <row r="585" spans="1:22" ht="15" x14ac:dyDescent="0.25">
      <c r="A585" s="27"/>
      <c r="B585" s="27"/>
      <c r="C585" s="27"/>
      <c r="D585" s="27"/>
      <c r="E585" s="27"/>
      <c r="F585" s="27"/>
      <c r="G585" s="27"/>
      <c r="H585" s="27"/>
      <c r="I585" s="60">
        <f>J581+J582+J583</f>
        <v>4101.3500000000004</v>
      </c>
      <c r="J585" s="60"/>
      <c r="K585" s="28">
        <f>IF(Source!I358&lt;&gt;0, ROUND(I585/Source!I358, 2), 0)</f>
        <v>500.16</v>
      </c>
      <c r="P585" s="25">
        <f>I585</f>
        <v>4101.3500000000004</v>
      </c>
    </row>
    <row r="586" spans="1:22" ht="28.5" x14ac:dyDescent="0.2">
      <c r="A586" s="19">
        <v>55</v>
      </c>
      <c r="B586" s="19" t="str">
        <f>Source!F359</f>
        <v>1.17-2103-17-1/1</v>
      </c>
      <c r="C586" s="19" t="str">
        <f>Source!G359</f>
        <v>Техническое обслуживание автоматического воздухоотводчика</v>
      </c>
      <c r="D586" s="20" t="str">
        <f>Source!H359</f>
        <v>10 шт.</v>
      </c>
      <c r="E586" s="9">
        <f>Source!I359</f>
        <v>1</v>
      </c>
      <c r="F586" s="22"/>
      <c r="G586" s="21"/>
      <c r="H586" s="9"/>
      <c r="I586" s="9"/>
      <c r="J586" s="22"/>
      <c r="K586" s="22"/>
      <c r="Q586">
        <f>ROUND((Source!BZ359/100)*ROUND((Source!AF359*Source!AV359)*Source!I359, 2), 2)</f>
        <v>657.01</v>
      </c>
      <c r="R586">
        <f>Source!X359</f>
        <v>657.01</v>
      </c>
      <c r="S586">
        <f>ROUND((Source!CA359/100)*ROUND((Source!AF359*Source!AV359)*Source!I359, 2), 2)</f>
        <v>93.86</v>
      </c>
      <c r="T586">
        <f>Source!Y359</f>
        <v>93.86</v>
      </c>
      <c r="U586">
        <f>ROUND((175/100)*ROUND((Source!AE359*Source!AV359)*Source!I359, 2), 2)</f>
        <v>0</v>
      </c>
      <c r="V586">
        <f>ROUND((108/100)*ROUND(Source!CS359*Source!I359, 2), 2)</f>
        <v>0</v>
      </c>
    </row>
    <row r="587" spans="1:22" x14ac:dyDescent="0.2">
      <c r="C587" s="23" t="str">
        <f>"Объем: "&amp;Source!I359&amp;"=10/"&amp;"10"</f>
        <v>Объем: 1=10/10</v>
      </c>
    </row>
    <row r="588" spans="1:22" ht="14.25" x14ac:dyDescent="0.2">
      <c r="A588" s="19"/>
      <c r="B588" s="19"/>
      <c r="C588" s="19" t="s">
        <v>825</v>
      </c>
      <c r="D588" s="20"/>
      <c r="E588" s="9"/>
      <c r="F588" s="22">
        <f>Source!AO359</f>
        <v>938.58</v>
      </c>
      <c r="G588" s="21" t="str">
        <f>Source!DG359</f>
        <v/>
      </c>
      <c r="H588" s="9">
        <f>Source!AV359</f>
        <v>1</v>
      </c>
      <c r="I588" s="9">
        <f>IF(Source!BA359&lt;&gt; 0, Source!BA359, 1)</f>
        <v>1</v>
      </c>
      <c r="J588" s="22">
        <f>Source!S359</f>
        <v>938.58</v>
      </c>
      <c r="K588" s="22"/>
    </row>
    <row r="589" spans="1:22" ht="14.25" x14ac:dyDescent="0.2">
      <c r="A589" s="19"/>
      <c r="B589" s="19"/>
      <c r="C589" s="19" t="s">
        <v>834</v>
      </c>
      <c r="D589" s="20"/>
      <c r="E589" s="9"/>
      <c r="F589" s="22">
        <f>Source!AL359</f>
        <v>0.63</v>
      </c>
      <c r="G589" s="21" t="str">
        <f>Source!DD359</f>
        <v/>
      </c>
      <c r="H589" s="9">
        <f>Source!AW359</f>
        <v>1</v>
      </c>
      <c r="I589" s="9">
        <f>IF(Source!BC359&lt;&gt; 0, Source!BC359, 1)</f>
        <v>1</v>
      </c>
      <c r="J589" s="22">
        <f>Source!P359</f>
        <v>0.63</v>
      </c>
      <c r="K589" s="22"/>
    </row>
    <row r="590" spans="1:22" ht="14.25" x14ac:dyDescent="0.2">
      <c r="A590" s="19"/>
      <c r="B590" s="19"/>
      <c r="C590" s="19" t="s">
        <v>828</v>
      </c>
      <c r="D590" s="20" t="s">
        <v>829</v>
      </c>
      <c r="E590" s="9">
        <f>Source!AT359</f>
        <v>70</v>
      </c>
      <c r="F590" s="22"/>
      <c r="G590" s="21"/>
      <c r="H590" s="9"/>
      <c r="I590" s="9"/>
      <c r="J590" s="22">
        <f>SUM(R586:R589)</f>
        <v>657.01</v>
      </c>
      <c r="K590" s="22"/>
    </row>
    <row r="591" spans="1:22" ht="14.25" x14ac:dyDescent="0.2">
      <c r="A591" s="19"/>
      <c r="B591" s="19"/>
      <c r="C591" s="19" t="s">
        <v>830</v>
      </c>
      <c r="D591" s="20" t="s">
        <v>829</v>
      </c>
      <c r="E591" s="9">
        <f>Source!AU359</f>
        <v>10</v>
      </c>
      <c r="F591" s="22"/>
      <c r="G591" s="21"/>
      <c r="H591" s="9"/>
      <c r="I591" s="9"/>
      <c r="J591" s="22">
        <f>SUM(T586:T590)</f>
        <v>93.86</v>
      </c>
      <c r="K591" s="22"/>
    </row>
    <row r="592" spans="1:22" ht="14.25" x14ac:dyDescent="0.2">
      <c r="A592" s="19"/>
      <c r="B592" s="19"/>
      <c r="C592" s="19" t="s">
        <v>832</v>
      </c>
      <c r="D592" s="20" t="s">
        <v>833</v>
      </c>
      <c r="E592" s="9">
        <f>Source!AQ359</f>
        <v>1.52</v>
      </c>
      <c r="F592" s="22"/>
      <c r="G592" s="21" t="str">
        <f>Source!DI359</f>
        <v/>
      </c>
      <c r="H592" s="9">
        <f>Source!AV359</f>
        <v>1</v>
      </c>
      <c r="I592" s="9"/>
      <c r="J592" s="22"/>
      <c r="K592" s="22">
        <f>Source!U359</f>
        <v>1.52</v>
      </c>
    </row>
    <row r="593" spans="1:16" ht="15" x14ac:dyDescent="0.25">
      <c r="A593" s="27"/>
      <c r="B593" s="27"/>
      <c r="C593" s="27"/>
      <c r="D593" s="27"/>
      <c r="E593" s="27"/>
      <c r="F593" s="27"/>
      <c r="G593" s="27"/>
      <c r="H593" s="27"/>
      <c r="I593" s="60">
        <f>J588+J589+J590+J591</f>
        <v>1690.08</v>
      </c>
      <c r="J593" s="60"/>
      <c r="K593" s="28">
        <f>IF(Source!I359&lt;&gt;0, ROUND(I593/Source!I359, 2), 0)</f>
        <v>1690.08</v>
      </c>
      <c r="P593" s="25">
        <f>I593</f>
        <v>1690.08</v>
      </c>
    </row>
    <row r="595" spans="1:16" ht="15" hidden="1" x14ac:dyDescent="0.25">
      <c r="B595" s="56" t="str">
        <f>Source!G364</f>
        <v>Теплоснабжение калориферов</v>
      </c>
      <c r="C595" s="56"/>
      <c r="D595" s="56"/>
      <c r="E595" s="56"/>
      <c r="F595" s="56"/>
      <c r="G595" s="56"/>
      <c r="H595" s="56"/>
      <c r="I595" s="56"/>
      <c r="J595" s="56"/>
    </row>
    <row r="596" spans="1:16" hidden="1" x14ac:dyDescent="0.2"/>
    <row r="597" spans="1:16" ht="15" hidden="1" x14ac:dyDescent="0.25">
      <c r="B597" s="56" t="str">
        <f>Source!G365</f>
        <v>Корпуса 7.2.1 - 7.2.3</v>
      </c>
      <c r="C597" s="56"/>
      <c r="D597" s="56"/>
      <c r="E597" s="56"/>
      <c r="F597" s="56"/>
      <c r="G597" s="56"/>
      <c r="H597" s="56"/>
      <c r="I597" s="56"/>
      <c r="J597" s="56"/>
    </row>
    <row r="598" spans="1:16" hidden="1" x14ac:dyDescent="0.2"/>
    <row r="599" spans="1:16" ht="15" hidden="1" x14ac:dyDescent="0.25">
      <c r="B599" s="56" t="str">
        <f>Source!G370</f>
        <v>Корпус 7.2.4</v>
      </c>
      <c r="C599" s="56"/>
      <c r="D599" s="56"/>
      <c r="E599" s="56"/>
      <c r="F599" s="56"/>
      <c r="G599" s="56"/>
      <c r="H599" s="56"/>
      <c r="I599" s="56"/>
      <c r="J599" s="56"/>
    </row>
    <row r="601" spans="1:16" ht="15" x14ac:dyDescent="0.25">
      <c r="A601" s="59" t="str">
        <f>CONCATENATE("Итого по подразделу: ",IF(Source!G378&lt;&gt;"Новый подраздел", Source!G378, ""))</f>
        <v>Итого по подразделу: Отопление</v>
      </c>
      <c r="B601" s="59"/>
      <c r="C601" s="59"/>
      <c r="D601" s="59"/>
      <c r="E601" s="59"/>
      <c r="F601" s="59"/>
      <c r="G601" s="59"/>
      <c r="H601" s="59"/>
      <c r="I601" s="57">
        <f>SUM(P402:P600)</f>
        <v>84886.640000000014</v>
      </c>
      <c r="J601" s="58"/>
      <c r="K601" s="18"/>
    </row>
    <row r="604" spans="1:16" ht="15" x14ac:dyDescent="0.25">
      <c r="A604" s="59" t="str">
        <f>CONCATENATE("Итого по разделу: ",IF(Source!G408&lt;&gt;"Новый раздел", Source!G408, ""))</f>
        <v>Итого по разделу: 2. Внутренние сети отопления и ИТП</v>
      </c>
      <c r="B604" s="59"/>
      <c r="C604" s="59"/>
      <c r="D604" s="59"/>
      <c r="E604" s="59"/>
      <c r="F604" s="59"/>
      <c r="G604" s="59"/>
      <c r="H604" s="59"/>
      <c r="I604" s="57">
        <f>SUM(P201:P603)</f>
        <v>406712.56000000006</v>
      </c>
      <c r="J604" s="58"/>
      <c r="K604" s="18"/>
    </row>
    <row r="607" spans="1:16" ht="16.5" x14ac:dyDescent="0.25">
      <c r="A607" s="55" t="str">
        <f>CONCATENATE("Раздел: ",IF(Source!G438&lt;&gt;"Новый раздел", Source!G438, ""))</f>
        <v>Раздел: 3. Вентиляция и кондиционирование</v>
      </c>
      <c r="B607" s="55"/>
      <c r="C607" s="55"/>
      <c r="D607" s="55"/>
      <c r="E607" s="55"/>
      <c r="F607" s="55"/>
      <c r="G607" s="55"/>
      <c r="H607" s="55"/>
      <c r="I607" s="55"/>
      <c r="J607" s="55"/>
      <c r="K607" s="55"/>
    </row>
    <row r="609" spans="1:22" ht="16.5" x14ac:dyDescent="0.25">
      <c r="A609" s="55" t="str">
        <f>CONCATENATE("Подраздел: ",IF(Source!G442&lt;&gt;"Новый подраздел", Source!G442, ""))</f>
        <v>Подраздел: Вентиляция</v>
      </c>
      <c r="B609" s="55"/>
      <c r="C609" s="55"/>
      <c r="D609" s="55"/>
      <c r="E609" s="55"/>
      <c r="F609" s="55"/>
      <c r="G609" s="55"/>
      <c r="H609" s="55"/>
      <c r="I609" s="55"/>
      <c r="J609" s="55"/>
      <c r="K609" s="55"/>
    </row>
    <row r="611" spans="1:22" ht="15" x14ac:dyDescent="0.25">
      <c r="B611" s="56" t="str">
        <f>Source!G446</f>
        <v>Корпуса 7.2.1-7.2.3</v>
      </c>
      <c r="C611" s="56"/>
      <c r="D611" s="56"/>
      <c r="E611" s="56"/>
      <c r="F611" s="56"/>
      <c r="G611" s="56"/>
      <c r="H611" s="56"/>
      <c r="I611" s="56"/>
      <c r="J611" s="56"/>
    </row>
    <row r="612" spans="1:22" ht="42.75" x14ac:dyDescent="0.2">
      <c r="A612" s="19">
        <v>56</v>
      </c>
      <c r="B612" s="19" t="str">
        <f>Source!F449</f>
        <v>1.18-2403-21-4/1</v>
      </c>
      <c r="C612" s="19" t="str">
        <f>Source!G449</f>
        <v>Техническое обслуживание приточных установок производительностью до 5000 м3/ч - ежеквартальное</v>
      </c>
      <c r="D612" s="20" t="str">
        <f>Source!H449</f>
        <v>установка</v>
      </c>
      <c r="E612" s="9">
        <f>Source!I449</f>
        <v>6</v>
      </c>
      <c r="F612" s="22"/>
      <c r="G612" s="21"/>
      <c r="H612" s="9"/>
      <c r="I612" s="9"/>
      <c r="J612" s="22"/>
      <c r="K612" s="22"/>
      <c r="Q612">
        <f>ROUND((Source!BZ449/100)*ROUND((Source!AF449*Source!AV449)*Source!I449, 2), 2)</f>
        <v>17502.490000000002</v>
      </c>
      <c r="R612">
        <f>Source!X449</f>
        <v>17502.490000000002</v>
      </c>
      <c r="S612">
        <f>ROUND((Source!CA449/100)*ROUND((Source!AF449*Source!AV449)*Source!I449, 2), 2)</f>
        <v>2500.36</v>
      </c>
      <c r="T612">
        <f>Source!Y449</f>
        <v>2500.36</v>
      </c>
      <c r="U612">
        <f>ROUND((175/100)*ROUND((Source!AE449*Source!AV449)*Source!I449, 2), 2)</f>
        <v>0.42</v>
      </c>
      <c r="V612">
        <f>ROUND((108/100)*ROUND(Source!CS449*Source!I449, 2), 2)</f>
        <v>0.26</v>
      </c>
    </row>
    <row r="613" spans="1:22" x14ac:dyDescent="0.2">
      <c r="C613" s="23" t="str">
        <f>"Объем: "&amp;Source!I449&amp;"=(1+"&amp;"1)*"&amp;"3"</f>
        <v>Объем: 6=(1+1)*3</v>
      </c>
    </row>
    <row r="614" spans="1:22" ht="14.25" x14ac:dyDescent="0.2">
      <c r="A614" s="19"/>
      <c r="B614" s="19"/>
      <c r="C614" s="19" t="s">
        <v>825</v>
      </c>
      <c r="D614" s="20"/>
      <c r="E614" s="9"/>
      <c r="F614" s="22">
        <f>Source!AO449</f>
        <v>2083.63</v>
      </c>
      <c r="G614" s="21" t="str">
        <f>Source!DG449</f>
        <v>)*2</v>
      </c>
      <c r="H614" s="9">
        <f>Source!AV449</f>
        <v>1</v>
      </c>
      <c r="I614" s="9">
        <f>IF(Source!BA449&lt;&gt; 0, Source!BA449, 1)</f>
        <v>1</v>
      </c>
      <c r="J614" s="22">
        <f>Source!S449</f>
        <v>25003.56</v>
      </c>
      <c r="K614" s="22"/>
    </row>
    <row r="615" spans="1:22" ht="14.25" x14ac:dyDescent="0.2">
      <c r="A615" s="19"/>
      <c r="B615" s="19"/>
      <c r="C615" s="19" t="s">
        <v>826</v>
      </c>
      <c r="D615" s="20"/>
      <c r="E615" s="9"/>
      <c r="F615" s="22">
        <f>Source!AM449</f>
        <v>1.79</v>
      </c>
      <c r="G615" s="21" t="str">
        <f>Source!DE449</f>
        <v>)*2</v>
      </c>
      <c r="H615" s="9">
        <f>Source!AV449</f>
        <v>1</v>
      </c>
      <c r="I615" s="9">
        <f>IF(Source!BB449&lt;&gt; 0, Source!BB449, 1)</f>
        <v>1</v>
      </c>
      <c r="J615" s="22">
        <f>Source!Q449</f>
        <v>21.48</v>
      </c>
      <c r="K615" s="22"/>
    </row>
    <row r="616" spans="1:22" ht="14.25" x14ac:dyDescent="0.2">
      <c r="A616" s="19"/>
      <c r="B616" s="19"/>
      <c r="C616" s="19" t="s">
        <v>827</v>
      </c>
      <c r="D616" s="20"/>
      <c r="E616" s="9"/>
      <c r="F616" s="22">
        <f>Source!AN449</f>
        <v>0.02</v>
      </c>
      <c r="G616" s="21" t="str">
        <f>Source!DF449</f>
        <v>)*2</v>
      </c>
      <c r="H616" s="9">
        <f>Source!AV449</f>
        <v>1</v>
      </c>
      <c r="I616" s="9">
        <f>IF(Source!BS449&lt;&gt; 0, Source!BS449, 1)</f>
        <v>1</v>
      </c>
      <c r="J616" s="24">
        <f>Source!R449</f>
        <v>0.24</v>
      </c>
      <c r="K616" s="22"/>
    </row>
    <row r="617" spans="1:22" ht="14.25" x14ac:dyDescent="0.2">
      <c r="A617" s="19"/>
      <c r="B617" s="19"/>
      <c r="C617" s="19" t="s">
        <v>834</v>
      </c>
      <c r="D617" s="20"/>
      <c r="E617" s="9"/>
      <c r="F617" s="22">
        <f>Source!AL449</f>
        <v>10.08</v>
      </c>
      <c r="G617" s="21" t="str">
        <f>Source!DD449</f>
        <v>)*2</v>
      </c>
      <c r="H617" s="9">
        <f>Source!AW449</f>
        <v>1</v>
      </c>
      <c r="I617" s="9">
        <f>IF(Source!BC449&lt;&gt; 0, Source!BC449, 1)</f>
        <v>1</v>
      </c>
      <c r="J617" s="22">
        <f>Source!P449</f>
        <v>120.96</v>
      </c>
      <c r="K617" s="22"/>
    </row>
    <row r="618" spans="1:22" ht="14.25" x14ac:dyDescent="0.2">
      <c r="A618" s="19"/>
      <c r="B618" s="19"/>
      <c r="C618" s="19" t="s">
        <v>828</v>
      </c>
      <c r="D618" s="20" t="s">
        <v>829</v>
      </c>
      <c r="E618" s="9">
        <f>Source!AT449</f>
        <v>70</v>
      </c>
      <c r="F618" s="22"/>
      <c r="G618" s="21"/>
      <c r="H618" s="9"/>
      <c r="I618" s="9"/>
      <c r="J618" s="22">
        <f>SUM(R612:R617)</f>
        <v>17502.490000000002</v>
      </c>
      <c r="K618" s="22"/>
    </row>
    <row r="619" spans="1:22" ht="14.25" x14ac:dyDescent="0.2">
      <c r="A619" s="19"/>
      <c r="B619" s="19"/>
      <c r="C619" s="19" t="s">
        <v>830</v>
      </c>
      <c r="D619" s="20" t="s">
        <v>829</v>
      </c>
      <c r="E619" s="9">
        <f>Source!AU449</f>
        <v>10</v>
      </c>
      <c r="F619" s="22"/>
      <c r="G619" s="21"/>
      <c r="H619" s="9"/>
      <c r="I619" s="9"/>
      <c r="J619" s="22">
        <f>SUM(T612:T618)</f>
        <v>2500.36</v>
      </c>
      <c r="K619" s="22"/>
    </row>
    <row r="620" spans="1:22" ht="14.25" x14ac:dyDescent="0.2">
      <c r="A620" s="19"/>
      <c r="B620" s="19"/>
      <c r="C620" s="19" t="s">
        <v>831</v>
      </c>
      <c r="D620" s="20" t="s">
        <v>829</v>
      </c>
      <c r="E620" s="9">
        <f>108</f>
        <v>108</v>
      </c>
      <c r="F620" s="22"/>
      <c r="G620" s="21"/>
      <c r="H620" s="9"/>
      <c r="I620" s="9"/>
      <c r="J620" s="22">
        <f>SUM(V612:V619)</f>
        <v>0.26</v>
      </c>
      <c r="K620" s="22"/>
    </row>
    <row r="621" spans="1:22" ht="14.25" x14ac:dyDescent="0.2">
      <c r="A621" s="19"/>
      <c r="B621" s="19"/>
      <c r="C621" s="19" t="s">
        <v>832</v>
      </c>
      <c r="D621" s="20" t="s">
        <v>833</v>
      </c>
      <c r="E621" s="9">
        <f>Source!AQ449</f>
        <v>3.14</v>
      </c>
      <c r="F621" s="22"/>
      <c r="G621" s="21" t="str">
        <f>Source!DI449</f>
        <v>)*2</v>
      </c>
      <c r="H621" s="9">
        <f>Source!AV449</f>
        <v>1</v>
      </c>
      <c r="I621" s="9"/>
      <c r="J621" s="22"/>
      <c r="K621" s="22">
        <f>Source!U449</f>
        <v>37.68</v>
      </c>
    </row>
    <row r="622" spans="1:22" ht="15" x14ac:dyDescent="0.25">
      <c r="A622" s="27"/>
      <c r="B622" s="27"/>
      <c r="C622" s="27"/>
      <c r="D622" s="27"/>
      <c r="E622" s="27"/>
      <c r="F622" s="27"/>
      <c r="G622" s="27"/>
      <c r="H622" s="27"/>
      <c r="I622" s="60">
        <f>J614+J615+J617+J618+J619+J620</f>
        <v>45149.110000000008</v>
      </c>
      <c r="J622" s="60"/>
      <c r="K622" s="28">
        <f>IF(Source!I449&lt;&gt;0, ROUND(I622/Source!I449, 2), 0)</f>
        <v>7524.85</v>
      </c>
      <c r="P622" s="25">
        <f>I622</f>
        <v>45149.110000000008</v>
      </c>
    </row>
    <row r="623" spans="1:22" ht="57" x14ac:dyDescent="0.2">
      <c r="A623" s="19">
        <v>57</v>
      </c>
      <c r="B623" s="19" t="str">
        <f>Source!F453</f>
        <v>1.18-2403-20-3/1</v>
      </c>
      <c r="C623" s="19" t="str">
        <f>Source!G453</f>
        <v>Техническое обслуживание вытяжных установок производительностью до 5000 м3/ч - ежеквартальное / применительно до 2000 м3/ч</v>
      </c>
      <c r="D623" s="20" t="str">
        <f>Source!H453</f>
        <v>установка</v>
      </c>
      <c r="E623" s="9">
        <f>Source!I453</f>
        <v>6</v>
      </c>
      <c r="F623" s="22"/>
      <c r="G623" s="21"/>
      <c r="H623" s="9"/>
      <c r="I623" s="9"/>
      <c r="J623" s="22"/>
      <c r="K623" s="22"/>
      <c r="Q623">
        <f>ROUND((Source!BZ453/100)*ROUND((Source!AF453*Source!AV453)*Source!I453, 2), 2)</f>
        <v>13266.2</v>
      </c>
      <c r="R623">
        <f>Source!X453</f>
        <v>13266.2</v>
      </c>
      <c r="S623">
        <f>ROUND((Source!CA453/100)*ROUND((Source!AF453*Source!AV453)*Source!I453, 2), 2)</f>
        <v>1895.17</v>
      </c>
      <c r="T623">
        <f>Source!Y453</f>
        <v>1895.17</v>
      </c>
      <c r="U623">
        <f>ROUND((175/100)*ROUND((Source!AE453*Source!AV453)*Source!I453, 2), 2)</f>
        <v>0</v>
      </c>
      <c r="V623">
        <f>ROUND((108/100)*ROUND(Source!CS453*Source!I453, 2), 2)</f>
        <v>0</v>
      </c>
    </row>
    <row r="624" spans="1:22" x14ac:dyDescent="0.2">
      <c r="C624" s="23" t="str">
        <f>"Объем: "&amp;Source!I453&amp;"=2*"&amp;"3"</f>
        <v>Объем: 6=2*3</v>
      </c>
    </row>
    <row r="625" spans="1:22" ht="14.25" x14ac:dyDescent="0.2">
      <c r="A625" s="19"/>
      <c r="B625" s="19"/>
      <c r="C625" s="19" t="s">
        <v>825</v>
      </c>
      <c r="D625" s="20"/>
      <c r="E625" s="9"/>
      <c r="F625" s="22">
        <f>Source!AO453</f>
        <v>1579.31</v>
      </c>
      <c r="G625" s="21" t="str">
        <f>Source!DG453</f>
        <v>)*2</v>
      </c>
      <c r="H625" s="9">
        <f>Source!AV453</f>
        <v>1</v>
      </c>
      <c r="I625" s="9">
        <f>IF(Source!BA453&lt;&gt; 0, Source!BA453, 1)</f>
        <v>1</v>
      </c>
      <c r="J625" s="22">
        <f>Source!S453</f>
        <v>18951.72</v>
      </c>
      <c r="K625" s="22"/>
    </row>
    <row r="626" spans="1:22" ht="14.25" x14ac:dyDescent="0.2">
      <c r="A626" s="19"/>
      <c r="B626" s="19"/>
      <c r="C626" s="19" t="s">
        <v>834</v>
      </c>
      <c r="D626" s="20"/>
      <c r="E626" s="9"/>
      <c r="F626" s="22">
        <f>Source!AL453</f>
        <v>0.03</v>
      </c>
      <c r="G626" s="21" t="str">
        <f>Source!DD453</f>
        <v>)*2</v>
      </c>
      <c r="H626" s="9">
        <f>Source!AW453</f>
        <v>1</v>
      </c>
      <c r="I626" s="9">
        <f>IF(Source!BC453&lt;&gt; 0, Source!BC453, 1)</f>
        <v>1</v>
      </c>
      <c r="J626" s="22">
        <f>Source!P453</f>
        <v>0.36</v>
      </c>
      <c r="K626" s="22"/>
    </row>
    <row r="627" spans="1:22" ht="14.25" x14ac:dyDescent="0.2">
      <c r="A627" s="19"/>
      <c r="B627" s="19"/>
      <c r="C627" s="19" t="s">
        <v>828</v>
      </c>
      <c r="D627" s="20" t="s">
        <v>829</v>
      </c>
      <c r="E627" s="9">
        <f>Source!AT453</f>
        <v>70</v>
      </c>
      <c r="F627" s="22"/>
      <c r="G627" s="21"/>
      <c r="H627" s="9"/>
      <c r="I627" s="9"/>
      <c r="J627" s="22">
        <f>SUM(R623:R626)</f>
        <v>13266.2</v>
      </c>
      <c r="K627" s="22"/>
    </row>
    <row r="628" spans="1:22" ht="14.25" x14ac:dyDescent="0.2">
      <c r="A628" s="19"/>
      <c r="B628" s="19"/>
      <c r="C628" s="19" t="s">
        <v>830</v>
      </c>
      <c r="D628" s="20" t="s">
        <v>829</v>
      </c>
      <c r="E628" s="9">
        <f>Source!AU453</f>
        <v>10</v>
      </c>
      <c r="F628" s="22"/>
      <c r="G628" s="21"/>
      <c r="H628" s="9"/>
      <c r="I628" s="9"/>
      <c r="J628" s="22">
        <f>SUM(T623:T627)</f>
        <v>1895.17</v>
      </c>
      <c r="K628" s="22"/>
    </row>
    <row r="629" spans="1:22" ht="14.25" x14ac:dyDescent="0.2">
      <c r="A629" s="19"/>
      <c r="B629" s="19"/>
      <c r="C629" s="19" t="s">
        <v>832</v>
      </c>
      <c r="D629" s="20" t="s">
        <v>833</v>
      </c>
      <c r="E629" s="9">
        <f>Source!AQ453</f>
        <v>2.38</v>
      </c>
      <c r="F629" s="22"/>
      <c r="G629" s="21" t="str">
        <f>Source!DI453</f>
        <v>)*2</v>
      </c>
      <c r="H629" s="9">
        <f>Source!AV453</f>
        <v>1</v>
      </c>
      <c r="I629" s="9"/>
      <c r="J629" s="22"/>
      <c r="K629" s="22">
        <f>Source!U453</f>
        <v>28.56</v>
      </c>
    </row>
    <row r="630" spans="1:22" ht="15" x14ac:dyDescent="0.25">
      <c r="A630" s="27"/>
      <c r="B630" s="27"/>
      <c r="C630" s="27"/>
      <c r="D630" s="27"/>
      <c r="E630" s="27"/>
      <c r="F630" s="27"/>
      <c r="G630" s="27"/>
      <c r="H630" s="27"/>
      <c r="I630" s="60">
        <f>J625+J626+J627+J628</f>
        <v>34113.450000000004</v>
      </c>
      <c r="J630" s="60"/>
      <c r="K630" s="28">
        <f>IF(Source!I453&lt;&gt;0, ROUND(I630/Source!I453, 2), 0)</f>
        <v>5685.58</v>
      </c>
      <c r="P630" s="25">
        <f>I630</f>
        <v>34113.450000000004</v>
      </c>
    </row>
    <row r="631" spans="1:22" ht="28.5" x14ac:dyDescent="0.2">
      <c r="A631" s="19">
        <v>58</v>
      </c>
      <c r="B631" s="19" t="str">
        <f>Source!F457</f>
        <v>1.23-2303-7-2/1</v>
      </c>
      <c r="C631" s="19" t="str">
        <f>Source!G457</f>
        <v>Техническое обслуживание реле давления, напора, тяги</v>
      </c>
      <c r="D631" s="20" t="str">
        <f>Source!H457</f>
        <v>шт.</v>
      </c>
      <c r="E631" s="9">
        <f>Source!I457</f>
        <v>6</v>
      </c>
      <c r="F631" s="22"/>
      <c r="G631" s="21"/>
      <c r="H631" s="9"/>
      <c r="I631" s="9"/>
      <c r="J631" s="22"/>
      <c r="K631" s="22"/>
      <c r="Q631">
        <f>ROUND((Source!BZ457/100)*ROUND((Source!AF457*Source!AV457)*Source!I457, 2), 2)</f>
        <v>2265.23</v>
      </c>
      <c r="R631">
        <f>Source!X457</f>
        <v>2265.23</v>
      </c>
      <c r="S631">
        <f>ROUND((Source!CA457/100)*ROUND((Source!AF457*Source!AV457)*Source!I457, 2), 2)</f>
        <v>323.60000000000002</v>
      </c>
      <c r="T631">
        <f>Source!Y457</f>
        <v>323.60000000000002</v>
      </c>
      <c r="U631">
        <f>ROUND((175/100)*ROUND((Source!AE457*Source!AV457)*Source!I457, 2), 2)</f>
        <v>0</v>
      </c>
      <c r="V631">
        <f>ROUND((108/100)*ROUND(Source!CS457*Source!I457, 2), 2)</f>
        <v>0</v>
      </c>
    </row>
    <row r="632" spans="1:22" x14ac:dyDescent="0.2">
      <c r="C632" s="23" t="str">
        <f>"Объем: "&amp;Source!I457&amp;"=(1+"&amp;"1)*"&amp;"3"</f>
        <v>Объем: 6=(1+1)*3</v>
      </c>
    </row>
    <row r="633" spans="1:22" ht="14.25" x14ac:dyDescent="0.2">
      <c r="A633" s="19"/>
      <c r="B633" s="19"/>
      <c r="C633" s="19" t="s">
        <v>825</v>
      </c>
      <c r="D633" s="20"/>
      <c r="E633" s="9"/>
      <c r="F633" s="22">
        <f>Source!AO457</f>
        <v>269.67</v>
      </c>
      <c r="G633" s="21" t="str">
        <f>Source!DG457</f>
        <v>)*2</v>
      </c>
      <c r="H633" s="9">
        <f>Source!AV457</f>
        <v>1</v>
      </c>
      <c r="I633" s="9">
        <f>IF(Source!BA457&lt;&gt; 0, Source!BA457, 1)</f>
        <v>1</v>
      </c>
      <c r="J633" s="22">
        <f>Source!S457</f>
        <v>3236.04</v>
      </c>
      <c r="K633" s="22"/>
    </row>
    <row r="634" spans="1:22" ht="14.25" x14ac:dyDescent="0.2">
      <c r="A634" s="19"/>
      <c r="B634" s="19"/>
      <c r="C634" s="19" t="s">
        <v>834</v>
      </c>
      <c r="D634" s="20"/>
      <c r="E634" s="9"/>
      <c r="F634" s="22">
        <f>Source!AL457</f>
        <v>19.14</v>
      </c>
      <c r="G634" s="21" t="str">
        <f>Source!DD457</f>
        <v>)*2</v>
      </c>
      <c r="H634" s="9">
        <f>Source!AW457</f>
        <v>1</v>
      </c>
      <c r="I634" s="9">
        <f>IF(Source!BC457&lt;&gt; 0, Source!BC457, 1)</f>
        <v>1</v>
      </c>
      <c r="J634" s="22">
        <f>Source!P457</f>
        <v>229.68</v>
      </c>
      <c r="K634" s="22"/>
    </row>
    <row r="635" spans="1:22" ht="14.25" x14ac:dyDescent="0.2">
      <c r="A635" s="19"/>
      <c r="B635" s="19"/>
      <c r="C635" s="19" t="s">
        <v>828</v>
      </c>
      <c r="D635" s="20" t="s">
        <v>829</v>
      </c>
      <c r="E635" s="9">
        <f>Source!AT457</f>
        <v>70</v>
      </c>
      <c r="F635" s="22"/>
      <c r="G635" s="21"/>
      <c r="H635" s="9"/>
      <c r="I635" s="9"/>
      <c r="J635" s="22">
        <f>SUM(R631:R634)</f>
        <v>2265.23</v>
      </c>
      <c r="K635" s="22"/>
    </row>
    <row r="636" spans="1:22" ht="14.25" x14ac:dyDescent="0.2">
      <c r="A636" s="19"/>
      <c r="B636" s="19"/>
      <c r="C636" s="19" t="s">
        <v>830</v>
      </c>
      <c r="D636" s="20" t="s">
        <v>829</v>
      </c>
      <c r="E636" s="9">
        <f>Source!AU457</f>
        <v>10</v>
      </c>
      <c r="F636" s="22"/>
      <c r="G636" s="21"/>
      <c r="H636" s="9"/>
      <c r="I636" s="9"/>
      <c r="J636" s="22">
        <f>SUM(T631:T635)</f>
        <v>323.60000000000002</v>
      </c>
      <c r="K636" s="22"/>
    </row>
    <row r="637" spans="1:22" ht="14.25" x14ac:dyDescent="0.2">
      <c r="A637" s="19"/>
      <c r="B637" s="19"/>
      <c r="C637" s="19" t="s">
        <v>832</v>
      </c>
      <c r="D637" s="20" t="s">
        <v>833</v>
      </c>
      <c r="E637" s="9">
        <f>Source!AQ457</f>
        <v>0.38</v>
      </c>
      <c r="F637" s="22"/>
      <c r="G637" s="21" t="str">
        <f>Source!DI457</f>
        <v>)*2</v>
      </c>
      <c r="H637" s="9">
        <f>Source!AV457</f>
        <v>1</v>
      </c>
      <c r="I637" s="9"/>
      <c r="J637" s="22"/>
      <c r="K637" s="22">
        <f>Source!U457</f>
        <v>4.5600000000000005</v>
      </c>
    </row>
    <row r="638" spans="1:22" ht="15" x14ac:dyDescent="0.25">
      <c r="A638" s="27"/>
      <c r="B638" s="27"/>
      <c r="C638" s="27"/>
      <c r="D638" s="27"/>
      <c r="E638" s="27"/>
      <c r="F638" s="27"/>
      <c r="G638" s="27"/>
      <c r="H638" s="27"/>
      <c r="I638" s="60">
        <f>J633+J634+J635+J636</f>
        <v>6054.55</v>
      </c>
      <c r="J638" s="60"/>
      <c r="K638" s="28">
        <f>IF(Source!I457&lt;&gt;0, ROUND(I638/Source!I457, 2), 0)</f>
        <v>1009.09</v>
      </c>
      <c r="P638" s="25">
        <f>I638</f>
        <v>6054.55</v>
      </c>
    </row>
    <row r="639" spans="1:22" ht="28.5" x14ac:dyDescent="0.2">
      <c r="A639" s="19">
        <v>59</v>
      </c>
      <c r="B639" s="19" t="str">
        <f>Source!F458</f>
        <v>1.23-2303-7-1/1</v>
      </c>
      <c r="C639" s="19" t="str">
        <f>Source!G458</f>
        <v>Техническое обслуживание реле температуры</v>
      </c>
      <c r="D639" s="20" t="str">
        <f>Source!H458</f>
        <v>шт.</v>
      </c>
      <c r="E639" s="9">
        <f>Source!I458</f>
        <v>6</v>
      </c>
      <c r="F639" s="22"/>
      <c r="G639" s="21"/>
      <c r="H639" s="9"/>
      <c r="I639" s="9"/>
      <c r="J639" s="22"/>
      <c r="K639" s="22"/>
      <c r="Q639">
        <f>ROUND((Source!BZ458/100)*ROUND((Source!AF458*Source!AV458)*Source!I458, 2), 2)</f>
        <v>2861.38</v>
      </c>
      <c r="R639">
        <f>Source!X458</f>
        <v>2861.38</v>
      </c>
      <c r="S639">
        <f>ROUND((Source!CA458/100)*ROUND((Source!AF458*Source!AV458)*Source!I458, 2), 2)</f>
        <v>408.77</v>
      </c>
      <c r="T639">
        <f>Source!Y458</f>
        <v>408.77</v>
      </c>
      <c r="U639">
        <f>ROUND((175/100)*ROUND((Source!AE458*Source!AV458)*Source!I458, 2), 2)</f>
        <v>0</v>
      </c>
      <c r="V639">
        <f>ROUND((108/100)*ROUND(Source!CS458*Source!I458, 2), 2)</f>
        <v>0</v>
      </c>
    </row>
    <row r="640" spans="1:22" x14ac:dyDescent="0.2">
      <c r="C640" s="23" t="str">
        <f>"Объем: "&amp;Source!I458&amp;"=(1+"&amp;"1)*"&amp;"3"</f>
        <v>Объем: 6=(1+1)*3</v>
      </c>
    </row>
    <row r="641" spans="1:22" ht="14.25" x14ac:dyDescent="0.2">
      <c r="A641" s="19"/>
      <c r="B641" s="19"/>
      <c r="C641" s="19" t="s">
        <v>825</v>
      </c>
      <c r="D641" s="20"/>
      <c r="E641" s="9"/>
      <c r="F641" s="22">
        <f>Source!AO458</f>
        <v>340.64</v>
      </c>
      <c r="G641" s="21" t="str">
        <f>Source!DG458</f>
        <v>)*2</v>
      </c>
      <c r="H641" s="9">
        <f>Source!AV458</f>
        <v>1</v>
      </c>
      <c r="I641" s="9">
        <f>IF(Source!BA458&lt;&gt; 0, Source!BA458, 1)</f>
        <v>1</v>
      </c>
      <c r="J641" s="22">
        <f>Source!S458</f>
        <v>4087.68</v>
      </c>
      <c r="K641" s="22"/>
    </row>
    <row r="642" spans="1:22" ht="14.25" x14ac:dyDescent="0.2">
      <c r="A642" s="19"/>
      <c r="B642" s="19"/>
      <c r="C642" s="19" t="s">
        <v>834</v>
      </c>
      <c r="D642" s="20"/>
      <c r="E642" s="9"/>
      <c r="F642" s="22">
        <f>Source!AL458</f>
        <v>19.14</v>
      </c>
      <c r="G642" s="21" t="str">
        <f>Source!DD458</f>
        <v>)*2</v>
      </c>
      <c r="H642" s="9">
        <f>Source!AW458</f>
        <v>1</v>
      </c>
      <c r="I642" s="9">
        <f>IF(Source!BC458&lt;&gt; 0, Source!BC458, 1)</f>
        <v>1</v>
      </c>
      <c r="J642" s="22">
        <f>Source!P458</f>
        <v>229.68</v>
      </c>
      <c r="K642" s="22"/>
    </row>
    <row r="643" spans="1:22" ht="14.25" x14ac:dyDescent="0.2">
      <c r="A643" s="19"/>
      <c r="B643" s="19"/>
      <c r="C643" s="19" t="s">
        <v>828</v>
      </c>
      <c r="D643" s="20" t="s">
        <v>829</v>
      </c>
      <c r="E643" s="9">
        <f>Source!AT458</f>
        <v>70</v>
      </c>
      <c r="F643" s="22"/>
      <c r="G643" s="21"/>
      <c r="H643" s="9"/>
      <c r="I643" s="9"/>
      <c r="J643" s="22">
        <f>SUM(R639:R642)</f>
        <v>2861.38</v>
      </c>
      <c r="K643" s="22"/>
    </row>
    <row r="644" spans="1:22" ht="14.25" x14ac:dyDescent="0.2">
      <c r="A644" s="19"/>
      <c r="B644" s="19"/>
      <c r="C644" s="19" t="s">
        <v>830</v>
      </c>
      <c r="D644" s="20" t="s">
        <v>829</v>
      </c>
      <c r="E644" s="9">
        <f>Source!AU458</f>
        <v>10</v>
      </c>
      <c r="F644" s="22"/>
      <c r="G644" s="21"/>
      <c r="H644" s="9"/>
      <c r="I644" s="9"/>
      <c r="J644" s="22">
        <f>SUM(T639:T643)</f>
        <v>408.77</v>
      </c>
      <c r="K644" s="22"/>
    </row>
    <row r="645" spans="1:22" ht="14.25" x14ac:dyDescent="0.2">
      <c r="A645" s="19"/>
      <c r="B645" s="19"/>
      <c r="C645" s="19" t="s">
        <v>832</v>
      </c>
      <c r="D645" s="20" t="s">
        <v>833</v>
      </c>
      <c r="E645" s="9">
        <f>Source!AQ458</f>
        <v>0.48</v>
      </c>
      <c r="F645" s="22"/>
      <c r="G645" s="21" t="str">
        <f>Source!DI458</f>
        <v>)*2</v>
      </c>
      <c r="H645" s="9">
        <f>Source!AV458</f>
        <v>1</v>
      </c>
      <c r="I645" s="9"/>
      <c r="J645" s="22"/>
      <c r="K645" s="22">
        <f>Source!U458</f>
        <v>5.76</v>
      </c>
    </row>
    <row r="646" spans="1:22" ht="15" x14ac:dyDescent="0.25">
      <c r="A646" s="27"/>
      <c r="B646" s="27"/>
      <c r="C646" s="27"/>
      <c r="D646" s="27"/>
      <c r="E646" s="27"/>
      <c r="F646" s="27"/>
      <c r="G646" s="27"/>
      <c r="H646" s="27"/>
      <c r="I646" s="60">
        <f>J641+J642+J643+J644</f>
        <v>7587.51</v>
      </c>
      <c r="J646" s="60"/>
      <c r="K646" s="28">
        <f>IF(Source!I458&lt;&gt;0, ROUND(I646/Source!I458, 2), 0)</f>
        <v>1264.5899999999999</v>
      </c>
      <c r="P646" s="25">
        <f>I646</f>
        <v>7587.51</v>
      </c>
    </row>
    <row r="647" spans="1:22" ht="57" x14ac:dyDescent="0.2">
      <c r="A647" s="19">
        <v>60</v>
      </c>
      <c r="B647" s="19" t="str">
        <f>Source!F459</f>
        <v>1.23-2103-9-1/1</v>
      </c>
      <c r="C647" s="19" t="str">
        <f>Source!G459</f>
        <v>Техническое обслуживание приборов для измерения температуры, термометры манометрические, тип ТПП-СК</v>
      </c>
      <c r="D647" s="20" t="str">
        <f>Source!H459</f>
        <v>шт.</v>
      </c>
      <c r="E647" s="9">
        <f>Source!I459</f>
        <v>18</v>
      </c>
      <c r="F647" s="22"/>
      <c r="G647" s="21"/>
      <c r="H647" s="9"/>
      <c r="I647" s="9"/>
      <c r="J647" s="22"/>
      <c r="K647" s="22"/>
      <c r="Q647">
        <f>ROUND((Source!BZ459/100)*ROUND((Source!AF459*Source!AV459)*Source!I459, 2), 2)</f>
        <v>8480.56</v>
      </c>
      <c r="R647">
        <f>Source!X459</f>
        <v>8480.56</v>
      </c>
      <c r="S647">
        <f>ROUND((Source!CA459/100)*ROUND((Source!AF459*Source!AV459)*Source!I459, 2), 2)</f>
        <v>1211.51</v>
      </c>
      <c r="T647">
        <f>Source!Y459</f>
        <v>1211.51</v>
      </c>
      <c r="U647">
        <f>ROUND((175/100)*ROUND((Source!AE459*Source!AV459)*Source!I459, 2), 2)</f>
        <v>0</v>
      </c>
      <c r="V647">
        <f>ROUND((108/100)*ROUND(Source!CS459*Source!I459, 2), 2)</f>
        <v>0</v>
      </c>
    </row>
    <row r="648" spans="1:22" x14ac:dyDescent="0.2">
      <c r="C648" s="23" t="str">
        <f>"Объем: "&amp;Source!I459&amp;"=(3+"&amp;"3)*"&amp;"3"</f>
        <v>Объем: 18=(3+3)*3</v>
      </c>
    </row>
    <row r="649" spans="1:22" ht="14.25" x14ac:dyDescent="0.2">
      <c r="A649" s="19"/>
      <c r="B649" s="19"/>
      <c r="C649" s="19" t="s">
        <v>825</v>
      </c>
      <c r="D649" s="20"/>
      <c r="E649" s="9"/>
      <c r="F649" s="22">
        <f>Source!AO459</f>
        <v>673.06</v>
      </c>
      <c r="G649" s="21" t="str">
        <f>Source!DG459</f>
        <v/>
      </c>
      <c r="H649" s="9">
        <f>Source!AV459</f>
        <v>1</v>
      </c>
      <c r="I649" s="9">
        <f>IF(Source!BA459&lt;&gt; 0, Source!BA459, 1)</f>
        <v>1</v>
      </c>
      <c r="J649" s="22">
        <f>Source!S459</f>
        <v>12115.08</v>
      </c>
      <c r="K649" s="22"/>
    </row>
    <row r="650" spans="1:22" ht="14.25" x14ac:dyDescent="0.2">
      <c r="A650" s="19"/>
      <c r="B650" s="19"/>
      <c r="C650" s="19" t="s">
        <v>828</v>
      </c>
      <c r="D650" s="20" t="s">
        <v>829</v>
      </c>
      <c r="E650" s="9">
        <f>Source!AT459</f>
        <v>70</v>
      </c>
      <c r="F650" s="22"/>
      <c r="G650" s="21"/>
      <c r="H650" s="9"/>
      <c r="I650" s="9"/>
      <c r="J650" s="22">
        <f>SUM(R647:R649)</f>
        <v>8480.56</v>
      </c>
      <c r="K650" s="22"/>
    </row>
    <row r="651" spans="1:22" ht="14.25" x14ac:dyDescent="0.2">
      <c r="A651" s="19"/>
      <c r="B651" s="19"/>
      <c r="C651" s="19" t="s">
        <v>830</v>
      </c>
      <c r="D651" s="20" t="s">
        <v>829</v>
      </c>
      <c r="E651" s="9">
        <f>Source!AU459</f>
        <v>10</v>
      </c>
      <c r="F651" s="22"/>
      <c r="G651" s="21"/>
      <c r="H651" s="9"/>
      <c r="I651" s="9"/>
      <c r="J651" s="22">
        <f>SUM(T647:T650)</f>
        <v>1211.51</v>
      </c>
      <c r="K651" s="22"/>
    </row>
    <row r="652" spans="1:22" ht="14.25" x14ac:dyDescent="0.2">
      <c r="A652" s="19"/>
      <c r="B652" s="19"/>
      <c r="C652" s="19" t="s">
        <v>832</v>
      </c>
      <c r="D652" s="20" t="s">
        <v>833</v>
      </c>
      <c r="E652" s="9">
        <f>Source!AQ459</f>
        <v>1.0900000000000001</v>
      </c>
      <c r="F652" s="22"/>
      <c r="G652" s="21" t="str">
        <f>Source!DI459</f>
        <v/>
      </c>
      <c r="H652" s="9">
        <f>Source!AV459</f>
        <v>1</v>
      </c>
      <c r="I652" s="9"/>
      <c r="J652" s="22"/>
      <c r="K652" s="22">
        <f>Source!U459</f>
        <v>19.62</v>
      </c>
    </row>
    <row r="653" spans="1:22" ht="15" x14ac:dyDescent="0.25">
      <c r="A653" s="27"/>
      <c r="B653" s="27"/>
      <c r="C653" s="27"/>
      <c r="D653" s="27"/>
      <c r="E653" s="27"/>
      <c r="F653" s="27"/>
      <c r="G653" s="27"/>
      <c r="H653" s="27"/>
      <c r="I653" s="60">
        <f>J649+J650+J651</f>
        <v>21807.149999999998</v>
      </c>
      <c r="J653" s="60"/>
      <c r="K653" s="28">
        <f>IF(Source!I459&lt;&gt;0, ROUND(I653/Source!I459, 2), 0)</f>
        <v>1211.51</v>
      </c>
      <c r="P653" s="25">
        <f>I653</f>
        <v>21807.149999999998</v>
      </c>
    </row>
    <row r="655" spans="1:22" ht="15" x14ac:dyDescent="0.25">
      <c r="B655" s="56" t="str">
        <f>Source!G463</f>
        <v>Корпуса 7.2.4</v>
      </c>
      <c r="C655" s="56"/>
      <c r="D655" s="56"/>
      <c r="E655" s="56"/>
      <c r="F655" s="56"/>
      <c r="G655" s="56"/>
      <c r="H655" s="56"/>
      <c r="I655" s="56"/>
      <c r="J655" s="56"/>
    </row>
    <row r="656" spans="1:22" ht="42.75" x14ac:dyDescent="0.2">
      <c r="A656" s="19">
        <v>61</v>
      </c>
      <c r="B656" s="19" t="str">
        <f>Source!F466</f>
        <v>1.18-2403-21-4/1</v>
      </c>
      <c r="C656" s="19" t="str">
        <f>Source!G466</f>
        <v>Техническое обслуживание приточных установок производительностью до 5000 м3/ч - ежеквартальное</v>
      </c>
      <c r="D656" s="20" t="str">
        <f>Source!H466</f>
        <v>установка</v>
      </c>
      <c r="E656" s="9">
        <f>Source!I466</f>
        <v>3</v>
      </c>
      <c r="F656" s="22"/>
      <c r="G656" s="21"/>
      <c r="H656" s="9"/>
      <c r="I656" s="9"/>
      <c r="J656" s="22"/>
      <c r="K656" s="22"/>
      <c r="Q656">
        <f>ROUND((Source!BZ466/100)*ROUND((Source!AF466*Source!AV466)*Source!I466, 2), 2)</f>
        <v>8751.25</v>
      </c>
      <c r="R656">
        <f>Source!X466</f>
        <v>8751.25</v>
      </c>
      <c r="S656">
        <f>ROUND((Source!CA466/100)*ROUND((Source!AF466*Source!AV466)*Source!I466, 2), 2)</f>
        <v>1250.18</v>
      </c>
      <c r="T656">
        <f>Source!Y466</f>
        <v>1250.18</v>
      </c>
      <c r="U656">
        <f>ROUND((175/100)*ROUND((Source!AE466*Source!AV466)*Source!I466, 2), 2)</f>
        <v>0.21</v>
      </c>
      <c r="V656">
        <f>ROUND((108/100)*ROUND(Source!CS466*Source!I466, 2), 2)</f>
        <v>0.13</v>
      </c>
    </row>
    <row r="657" spans="1:22" ht="14.25" x14ac:dyDescent="0.2">
      <c r="A657" s="19"/>
      <c r="B657" s="19"/>
      <c r="C657" s="19" t="s">
        <v>825</v>
      </c>
      <c r="D657" s="20"/>
      <c r="E657" s="9"/>
      <c r="F657" s="22">
        <f>Source!AO466</f>
        <v>2083.63</v>
      </c>
      <c r="G657" s="21" t="str">
        <f>Source!DG466</f>
        <v>)*2</v>
      </c>
      <c r="H657" s="9">
        <f>Source!AV466</f>
        <v>1</v>
      </c>
      <c r="I657" s="9">
        <f>IF(Source!BA466&lt;&gt; 0, Source!BA466, 1)</f>
        <v>1</v>
      </c>
      <c r="J657" s="22">
        <f>Source!S466</f>
        <v>12501.78</v>
      </c>
      <c r="K657" s="22"/>
    </row>
    <row r="658" spans="1:22" ht="14.25" x14ac:dyDescent="0.2">
      <c r="A658" s="19"/>
      <c r="B658" s="19"/>
      <c r="C658" s="19" t="s">
        <v>826</v>
      </c>
      <c r="D658" s="20"/>
      <c r="E658" s="9"/>
      <c r="F658" s="22">
        <f>Source!AM466</f>
        <v>1.79</v>
      </c>
      <c r="G658" s="21" t="str">
        <f>Source!DE466</f>
        <v>)*2</v>
      </c>
      <c r="H658" s="9">
        <f>Source!AV466</f>
        <v>1</v>
      </c>
      <c r="I658" s="9">
        <f>IF(Source!BB466&lt;&gt; 0, Source!BB466, 1)</f>
        <v>1</v>
      </c>
      <c r="J658" s="22">
        <f>Source!Q466</f>
        <v>10.74</v>
      </c>
      <c r="K658" s="22"/>
    </row>
    <row r="659" spans="1:22" ht="14.25" x14ac:dyDescent="0.2">
      <c r="A659" s="19"/>
      <c r="B659" s="19"/>
      <c r="C659" s="19" t="s">
        <v>827</v>
      </c>
      <c r="D659" s="20"/>
      <c r="E659" s="9"/>
      <c r="F659" s="22">
        <f>Source!AN466</f>
        <v>0.02</v>
      </c>
      <c r="G659" s="21" t="str">
        <f>Source!DF466</f>
        <v>)*2</v>
      </c>
      <c r="H659" s="9">
        <f>Source!AV466</f>
        <v>1</v>
      </c>
      <c r="I659" s="9">
        <f>IF(Source!BS466&lt;&gt; 0, Source!BS466, 1)</f>
        <v>1</v>
      </c>
      <c r="J659" s="24">
        <f>Source!R466</f>
        <v>0.12</v>
      </c>
      <c r="K659" s="22"/>
    </row>
    <row r="660" spans="1:22" ht="14.25" x14ac:dyDescent="0.2">
      <c r="A660" s="19"/>
      <c r="B660" s="19"/>
      <c r="C660" s="19" t="s">
        <v>834</v>
      </c>
      <c r="D660" s="20"/>
      <c r="E660" s="9"/>
      <c r="F660" s="22">
        <f>Source!AL466</f>
        <v>10.08</v>
      </c>
      <c r="G660" s="21" t="str">
        <f>Source!DD466</f>
        <v>)*2</v>
      </c>
      <c r="H660" s="9">
        <f>Source!AW466</f>
        <v>1</v>
      </c>
      <c r="I660" s="9">
        <f>IF(Source!BC466&lt;&gt; 0, Source!BC466, 1)</f>
        <v>1</v>
      </c>
      <c r="J660" s="22">
        <f>Source!P466</f>
        <v>60.48</v>
      </c>
      <c r="K660" s="22"/>
    </row>
    <row r="661" spans="1:22" ht="14.25" x14ac:dyDescent="0.2">
      <c r="A661" s="19"/>
      <c r="B661" s="19"/>
      <c r="C661" s="19" t="s">
        <v>828</v>
      </c>
      <c r="D661" s="20" t="s">
        <v>829</v>
      </c>
      <c r="E661" s="9">
        <f>Source!AT466</f>
        <v>70</v>
      </c>
      <c r="F661" s="22"/>
      <c r="G661" s="21"/>
      <c r="H661" s="9"/>
      <c r="I661" s="9"/>
      <c r="J661" s="22">
        <f>SUM(R656:R660)</f>
        <v>8751.25</v>
      </c>
      <c r="K661" s="22"/>
    </row>
    <row r="662" spans="1:22" ht="14.25" x14ac:dyDescent="0.2">
      <c r="A662" s="19"/>
      <c r="B662" s="19"/>
      <c r="C662" s="19" t="s">
        <v>830</v>
      </c>
      <c r="D662" s="20" t="s">
        <v>829</v>
      </c>
      <c r="E662" s="9">
        <f>Source!AU466</f>
        <v>10</v>
      </c>
      <c r="F662" s="22"/>
      <c r="G662" s="21"/>
      <c r="H662" s="9"/>
      <c r="I662" s="9"/>
      <c r="J662" s="22">
        <f>SUM(T656:T661)</f>
        <v>1250.18</v>
      </c>
      <c r="K662" s="22"/>
    </row>
    <row r="663" spans="1:22" ht="14.25" x14ac:dyDescent="0.2">
      <c r="A663" s="19"/>
      <c r="B663" s="19"/>
      <c r="C663" s="19" t="s">
        <v>831</v>
      </c>
      <c r="D663" s="20" t="s">
        <v>829</v>
      </c>
      <c r="E663" s="9">
        <f>108</f>
        <v>108</v>
      </c>
      <c r="F663" s="22"/>
      <c r="G663" s="21"/>
      <c r="H663" s="9"/>
      <c r="I663" s="9"/>
      <c r="J663" s="22">
        <f>SUM(V656:V662)</f>
        <v>0.13</v>
      </c>
      <c r="K663" s="22"/>
    </row>
    <row r="664" spans="1:22" ht="14.25" x14ac:dyDescent="0.2">
      <c r="A664" s="19"/>
      <c r="B664" s="19"/>
      <c r="C664" s="19" t="s">
        <v>832</v>
      </c>
      <c r="D664" s="20" t="s">
        <v>833</v>
      </c>
      <c r="E664" s="9">
        <f>Source!AQ466</f>
        <v>3.14</v>
      </c>
      <c r="F664" s="22"/>
      <c r="G664" s="21" t="str">
        <f>Source!DI466</f>
        <v>)*2</v>
      </c>
      <c r="H664" s="9">
        <f>Source!AV466</f>
        <v>1</v>
      </c>
      <c r="I664" s="9"/>
      <c r="J664" s="22"/>
      <c r="K664" s="22">
        <f>Source!U466</f>
        <v>18.84</v>
      </c>
    </row>
    <row r="665" spans="1:22" ht="15" x14ac:dyDescent="0.25">
      <c r="A665" s="27"/>
      <c r="B665" s="27"/>
      <c r="C665" s="27"/>
      <c r="D665" s="27"/>
      <c r="E665" s="27"/>
      <c r="F665" s="27"/>
      <c r="G665" s="27"/>
      <c r="H665" s="27"/>
      <c r="I665" s="60">
        <f>J657+J658+J660+J661+J662+J663</f>
        <v>22574.560000000001</v>
      </c>
      <c r="J665" s="60"/>
      <c r="K665" s="28">
        <f>IF(Source!I466&lt;&gt;0, ROUND(I665/Source!I466, 2), 0)</f>
        <v>7524.85</v>
      </c>
      <c r="P665" s="25">
        <f>I665</f>
        <v>22574.560000000001</v>
      </c>
    </row>
    <row r="666" spans="1:22" ht="57" x14ac:dyDescent="0.2">
      <c r="A666" s="19">
        <v>62</v>
      </c>
      <c r="B666" s="19" t="str">
        <f>Source!F474</f>
        <v>1.18-2403-20-3/1</v>
      </c>
      <c r="C666" s="19" t="str">
        <f>Source!G474</f>
        <v>Техническое обслуживание вытяжных установок производительностью до 5000 м3/ч - ежеквартальное / применительно до 2000 м3/ч</v>
      </c>
      <c r="D666" s="20" t="str">
        <f>Source!H474</f>
        <v>установка</v>
      </c>
      <c r="E666" s="9">
        <f>Source!I474</f>
        <v>6</v>
      </c>
      <c r="F666" s="22"/>
      <c r="G666" s="21"/>
      <c r="H666" s="9"/>
      <c r="I666" s="9"/>
      <c r="J666" s="22"/>
      <c r="K666" s="22"/>
      <c r="Q666">
        <f>ROUND((Source!BZ474/100)*ROUND((Source!AF474*Source!AV474)*Source!I474, 2), 2)</f>
        <v>13266.2</v>
      </c>
      <c r="R666">
        <f>Source!X474</f>
        <v>13266.2</v>
      </c>
      <c r="S666">
        <f>ROUND((Source!CA474/100)*ROUND((Source!AF474*Source!AV474)*Source!I474, 2), 2)</f>
        <v>1895.17</v>
      </c>
      <c r="T666">
        <f>Source!Y474</f>
        <v>1895.17</v>
      </c>
      <c r="U666">
        <f>ROUND((175/100)*ROUND((Source!AE474*Source!AV474)*Source!I474, 2), 2)</f>
        <v>0</v>
      </c>
      <c r="V666">
        <f>ROUND((108/100)*ROUND(Source!CS474*Source!I474, 2), 2)</f>
        <v>0</v>
      </c>
    </row>
    <row r="667" spans="1:22" ht="14.25" x14ac:dyDescent="0.2">
      <c r="A667" s="19"/>
      <c r="B667" s="19"/>
      <c r="C667" s="19" t="s">
        <v>825</v>
      </c>
      <c r="D667" s="20"/>
      <c r="E667" s="9"/>
      <c r="F667" s="22">
        <f>Source!AO474</f>
        <v>1579.31</v>
      </c>
      <c r="G667" s="21" t="str">
        <f>Source!DG474</f>
        <v>)*2</v>
      </c>
      <c r="H667" s="9">
        <f>Source!AV474</f>
        <v>1</v>
      </c>
      <c r="I667" s="9">
        <f>IF(Source!BA474&lt;&gt; 0, Source!BA474, 1)</f>
        <v>1</v>
      </c>
      <c r="J667" s="22">
        <f>Source!S474</f>
        <v>18951.72</v>
      </c>
      <c r="K667" s="22"/>
    </row>
    <row r="668" spans="1:22" ht="14.25" x14ac:dyDescent="0.2">
      <c r="A668" s="19"/>
      <c r="B668" s="19"/>
      <c r="C668" s="19" t="s">
        <v>834</v>
      </c>
      <c r="D668" s="20"/>
      <c r="E668" s="9"/>
      <c r="F668" s="22">
        <f>Source!AL474</f>
        <v>0.03</v>
      </c>
      <c r="G668" s="21" t="str">
        <f>Source!DD474</f>
        <v>)*2</v>
      </c>
      <c r="H668" s="9">
        <f>Source!AW474</f>
        <v>1</v>
      </c>
      <c r="I668" s="9">
        <f>IF(Source!BC474&lt;&gt; 0, Source!BC474, 1)</f>
        <v>1</v>
      </c>
      <c r="J668" s="22">
        <f>Source!P474</f>
        <v>0.36</v>
      </c>
      <c r="K668" s="22"/>
    </row>
    <row r="669" spans="1:22" ht="14.25" x14ac:dyDescent="0.2">
      <c r="A669" s="19"/>
      <c r="B669" s="19"/>
      <c r="C669" s="19" t="s">
        <v>828</v>
      </c>
      <c r="D669" s="20" t="s">
        <v>829</v>
      </c>
      <c r="E669" s="9">
        <f>Source!AT474</f>
        <v>70</v>
      </c>
      <c r="F669" s="22"/>
      <c r="G669" s="21"/>
      <c r="H669" s="9"/>
      <c r="I669" s="9"/>
      <c r="J669" s="22">
        <f>SUM(R666:R668)</f>
        <v>13266.2</v>
      </c>
      <c r="K669" s="22"/>
    </row>
    <row r="670" spans="1:22" ht="14.25" x14ac:dyDescent="0.2">
      <c r="A670" s="19"/>
      <c r="B670" s="19"/>
      <c r="C670" s="19" t="s">
        <v>830</v>
      </c>
      <c r="D670" s="20" t="s">
        <v>829</v>
      </c>
      <c r="E670" s="9">
        <f>Source!AU474</f>
        <v>10</v>
      </c>
      <c r="F670" s="22"/>
      <c r="G670" s="21"/>
      <c r="H670" s="9"/>
      <c r="I670" s="9"/>
      <c r="J670" s="22">
        <f>SUM(T666:T669)</f>
        <v>1895.17</v>
      </c>
      <c r="K670" s="22"/>
    </row>
    <row r="671" spans="1:22" ht="14.25" x14ac:dyDescent="0.2">
      <c r="A671" s="19"/>
      <c r="B671" s="19"/>
      <c r="C671" s="19" t="s">
        <v>832</v>
      </c>
      <c r="D671" s="20" t="s">
        <v>833</v>
      </c>
      <c r="E671" s="9">
        <f>Source!AQ474</f>
        <v>2.38</v>
      </c>
      <c r="F671" s="22"/>
      <c r="G671" s="21" t="str">
        <f>Source!DI474</f>
        <v>)*2</v>
      </c>
      <c r="H671" s="9">
        <f>Source!AV474</f>
        <v>1</v>
      </c>
      <c r="I671" s="9"/>
      <c r="J671" s="22"/>
      <c r="K671" s="22">
        <f>Source!U474</f>
        <v>28.56</v>
      </c>
    </row>
    <row r="672" spans="1:22" ht="15" x14ac:dyDescent="0.25">
      <c r="A672" s="27"/>
      <c r="B672" s="27"/>
      <c r="C672" s="27"/>
      <c r="D672" s="27"/>
      <c r="E672" s="27"/>
      <c r="F672" s="27"/>
      <c r="G672" s="27"/>
      <c r="H672" s="27"/>
      <c r="I672" s="60">
        <f>J667+J668+J669+J670</f>
        <v>34113.450000000004</v>
      </c>
      <c r="J672" s="60"/>
      <c r="K672" s="28">
        <f>IF(Source!I474&lt;&gt;0, ROUND(I672/Source!I474, 2), 0)</f>
        <v>5685.58</v>
      </c>
      <c r="P672" s="25">
        <f>I672</f>
        <v>34113.450000000004</v>
      </c>
    </row>
    <row r="673" spans="1:22" ht="42.75" x14ac:dyDescent="0.2">
      <c r="A673" s="19">
        <v>63</v>
      </c>
      <c r="B673" s="19" t="str">
        <f>Source!F478</f>
        <v>1.18-2403-21-4/1</v>
      </c>
      <c r="C673" s="19" t="str">
        <f>Source!G478</f>
        <v>Техническое обслуживание приточных установок производительностью до 5000 м3/ч - ежеквартальное</v>
      </c>
      <c r="D673" s="20" t="str">
        <f>Source!H478</f>
        <v>установка</v>
      </c>
      <c r="E673" s="9">
        <f>Source!I478</f>
        <v>2</v>
      </c>
      <c r="F673" s="22"/>
      <c r="G673" s="21"/>
      <c r="H673" s="9"/>
      <c r="I673" s="9"/>
      <c r="J673" s="22"/>
      <c r="K673" s="22"/>
      <c r="Q673">
        <f>ROUND((Source!BZ478/100)*ROUND((Source!AF478*Source!AV478)*Source!I478, 2), 2)</f>
        <v>5834.16</v>
      </c>
      <c r="R673">
        <f>Source!X478</f>
        <v>5834.16</v>
      </c>
      <c r="S673">
        <f>ROUND((Source!CA478/100)*ROUND((Source!AF478*Source!AV478)*Source!I478, 2), 2)</f>
        <v>833.45</v>
      </c>
      <c r="T673">
        <f>Source!Y478</f>
        <v>833.45</v>
      </c>
      <c r="U673">
        <f>ROUND((175/100)*ROUND((Source!AE478*Source!AV478)*Source!I478, 2), 2)</f>
        <v>0.14000000000000001</v>
      </c>
      <c r="V673">
        <f>ROUND((108/100)*ROUND(Source!CS478*Source!I478, 2), 2)</f>
        <v>0.09</v>
      </c>
    </row>
    <row r="674" spans="1:22" ht="14.25" x14ac:dyDescent="0.2">
      <c r="A674" s="19"/>
      <c r="B674" s="19"/>
      <c r="C674" s="19" t="s">
        <v>825</v>
      </c>
      <c r="D674" s="20"/>
      <c r="E674" s="9"/>
      <c r="F674" s="22">
        <f>Source!AO478</f>
        <v>2083.63</v>
      </c>
      <c r="G674" s="21" t="str">
        <f>Source!DG478</f>
        <v>)*2</v>
      </c>
      <c r="H674" s="9">
        <f>Source!AV478</f>
        <v>1</v>
      </c>
      <c r="I674" s="9">
        <f>IF(Source!BA478&lt;&gt; 0, Source!BA478, 1)</f>
        <v>1</v>
      </c>
      <c r="J674" s="22">
        <f>Source!S478</f>
        <v>8334.52</v>
      </c>
      <c r="K674" s="22"/>
    </row>
    <row r="675" spans="1:22" ht="14.25" x14ac:dyDescent="0.2">
      <c r="A675" s="19"/>
      <c r="B675" s="19"/>
      <c r="C675" s="19" t="s">
        <v>826</v>
      </c>
      <c r="D675" s="20"/>
      <c r="E675" s="9"/>
      <c r="F675" s="22">
        <f>Source!AM478</f>
        <v>1.79</v>
      </c>
      <c r="G675" s="21" t="str">
        <f>Source!DE478</f>
        <v>)*2</v>
      </c>
      <c r="H675" s="9">
        <f>Source!AV478</f>
        <v>1</v>
      </c>
      <c r="I675" s="9">
        <f>IF(Source!BB478&lt;&gt; 0, Source!BB478, 1)</f>
        <v>1</v>
      </c>
      <c r="J675" s="22">
        <f>Source!Q478</f>
        <v>7.16</v>
      </c>
      <c r="K675" s="22"/>
    </row>
    <row r="676" spans="1:22" ht="14.25" x14ac:dyDescent="0.2">
      <c r="A676" s="19"/>
      <c r="B676" s="19"/>
      <c r="C676" s="19" t="s">
        <v>827</v>
      </c>
      <c r="D676" s="20"/>
      <c r="E676" s="9"/>
      <c r="F676" s="22">
        <f>Source!AN478</f>
        <v>0.02</v>
      </c>
      <c r="G676" s="21" t="str">
        <f>Source!DF478</f>
        <v>)*2</v>
      </c>
      <c r="H676" s="9">
        <f>Source!AV478</f>
        <v>1</v>
      </c>
      <c r="I676" s="9">
        <f>IF(Source!BS478&lt;&gt; 0, Source!BS478, 1)</f>
        <v>1</v>
      </c>
      <c r="J676" s="24">
        <f>Source!R478</f>
        <v>0.08</v>
      </c>
      <c r="K676" s="22"/>
    </row>
    <row r="677" spans="1:22" ht="14.25" x14ac:dyDescent="0.2">
      <c r="A677" s="19"/>
      <c r="B677" s="19"/>
      <c r="C677" s="19" t="s">
        <v>834</v>
      </c>
      <c r="D677" s="20"/>
      <c r="E677" s="9"/>
      <c r="F677" s="22">
        <f>Source!AL478</f>
        <v>10.08</v>
      </c>
      <c r="G677" s="21" t="str">
        <f>Source!DD478</f>
        <v>)*2</v>
      </c>
      <c r="H677" s="9">
        <f>Source!AW478</f>
        <v>1</v>
      </c>
      <c r="I677" s="9">
        <f>IF(Source!BC478&lt;&gt; 0, Source!BC478, 1)</f>
        <v>1</v>
      </c>
      <c r="J677" s="22">
        <f>Source!P478</f>
        <v>40.32</v>
      </c>
      <c r="K677" s="22"/>
    </row>
    <row r="678" spans="1:22" ht="14.25" x14ac:dyDescent="0.2">
      <c r="A678" s="19"/>
      <c r="B678" s="19"/>
      <c r="C678" s="19" t="s">
        <v>828</v>
      </c>
      <c r="D678" s="20" t="s">
        <v>829</v>
      </c>
      <c r="E678" s="9">
        <f>Source!AT478</f>
        <v>70</v>
      </c>
      <c r="F678" s="22"/>
      <c r="G678" s="21"/>
      <c r="H678" s="9"/>
      <c r="I678" s="9"/>
      <c r="J678" s="22">
        <f>SUM(R673:R677)</f>
        <v>5834.16</v>
      </c>
      <c r="K678" s="22"/>
    </row>
    <row r="679" spans="1:22" ht="14.25" x14ac:dyDescent="0.2">
      <c r="A679" s="19"/>
      <c r="B679" s="19"/>
      <c r="C679" s="19" t="s">
        <v>830</v>
      </c>
      <c r="D679" s="20" t="s">
        <v>829</v>
      </c>
      <c r="E679" s="9">
        <f>Source!AU478</f>
        <v>10</v>
      </c>
      <c r="F679" s="22"/>
      <c r="G679" s="21"/>
      <c r="H679" s="9"/>
      <c r="I679" s="9"/>
      <c r="J679" s="22">
        <f>SUM(T673:T678)</f>
        <v>833.45</v>
      </c>
      <c r="K679" s="22"/>
    </row>
    <row r="680" spans="1:22" ht="14.25" x14ac:dyDescent="0.2">
      <c r="A680" s="19"/>
      <c r="B680" s="19"/>
      <c r="C680" s="19" t="s">
        <v>831</v>
      </c>
      <c r="D680" s="20" t="s">
        <v>829</v>
      </c>
      <c r="E680" s="9">
        <f>108</f>
        <v>108</v>
      </c>
      <c r="F680" s="22"/>
      <c r="G680" s="21"/>
      <c r="H680" s="9"/>
      <c r="I680" s="9"/>
      <c r="J680" s="22">
        <f>SUM(V673:V679)</f>
        <v>0.09</v>
      </c>
      <c r="K680" s="22"/>
    </row>
    <row r="681" spans="1:22" ht="14.25" x14ac:dyDescent="0.2">
      <c r="A681" s="19"/>
      <c r="B681" s="19"/>
      <c r="C681" s="19" t="s">
        <v>832</v>
      </c>
      <c r="D681" s="20" t="s">
        <v>833</v>
      </c>
      <c r="E681" s="9">
        <f>Source!AQ478</f>
        <v>3.14</v>
      </c>
      <c r="F681" s="22"/>
      <c r="G681" s="21" t="str">
        <f>Source!DI478</f>
        <v>)*2</v>
      </c>
      <c r="H681" s="9">
        <f>Source!AV478</f>
        <v>1</v>
      </c>
      <c r="I681" s="9"/>
      <c r="J681" s="22"/>
      <c r="K681" s="22">
        <f>Source!U478</f>
        <v>12.56</v>
      </c>
    </row>
    <row r="682" spans="1:22" ht="15" x14ac:dyDescent="0.25">
      <c r="A682" s="27"/>
      <c r="B682" s="27"/>
      <c r="C682" s="27"/>
      <c r="D682" s="27"/>
      <c r="E682" s="27"/>
      <c r="F682" s="27"/>
      <c r="G682" s="27"/>
      <c r="H682" s="27"/>
      <c r="I682" s="60">
        <f>J674+J675+J677+J678+J679+J680</f>
        <v>15049.7</v>
      </c>
      <c r="J682" s="60"/>
      <c r="K682" s="28">
        <f>IF(Source!I478&lt;&gt;0, ROUND(I682/Source!I478, 2), 0)</f>
        <v>7524.85</v>
      </c>
      <c r="P682" s="25">
        <f>I682</f>
        <v>15049.7</v>
      </c>
    </row>
    <row r="684" spans="1:22" ht="15" x14ac:dyDescent="0.25">
      <c r="A684" s="59" t="str">
        <f>CONCATENATE("Итого по подразделу: ",IF(Source!G484&lt;&gt;"Новый подраздел", Source!G484, ""))</f>
        <v>Итого по подразделу: Вентиляция</v>
      </c>
      <c r="B684" s="59"/>
      <c r="C684" s="59"/>
      <c r="D684" s="59"/>
      <c r="E684" s="59"/>
      <c r="F684" s="59"/>
      <c r="G684" s="59"/>
      <c r="H684" s="59"/>
      <c r="I684" s="57">
        <f>SUM(P609:P683)</f>
        <v>186449.48000000004</v>
      </c>
      <c r="J684" s="58"/>
      <c r="K684" s="18"/>
    </row>
    <row r="687" spans="1:22" ht="16.5" x14ac:dyDescent="0.25">
      <c r="A687" s="55" t="str">
        <f>CONCATENATE("Подраздел: ",IF(Source!G514&lt;&gt;"Новый подраздел", Source!G514, ""))</f>
        <v>Подраздел: Кондиционирование</v>
      </c>
      <c r="B687" s="55"/>
      <c r="C687" s="55"/>
      <c r="D687" s="55"/>
      <c r="E687" s="55"/>
      <c r="F687" s="55"/>
      <c r="G687" s="55"/>
      <c r="H687" s="55"/>
      <c r="I687" s="55"/>
      <c r="J687" s="55"/>
      <c r="K687" s="55"/>
    </row>
    <row r="689" spans="1:22" ht="15" x14ac:dyDescent="0.25">
      <c r="B689" s="56" t="str">
        <f>Source!G518</f>
        <v>Корпуса 7.2.1 - 7.2.3</v>
      </c>
      <c r="C689" s="56"/>
      <c r="D689" s="56"/>
      <c r="E689" s="56"/>
      <c r="F689" s="56"/>
      <c r="G689" s="56"/>
      <c r="H689" s="56"/>
      <c r="I689" s="56"/>
      <c r="J689" s="56"/>
    </row>
    <row r="690" spans="1:22" ht="57" x14ac:dyDescent="0.2">
      <c r="A690" s="19">
        <v>64</v>
      </c>
      <c r="B690" s="19" t="str">
        <f>Source!F520</f>
        <v>1.24-2103-45-4/1</v>
      </c>
      <c r="C690" s="19" t="str">
        <f>Source!G520</f>
        <v>Техническое обслуживание ежеквартальное холодильных установок мощностью 420 кВт / применительно до 50 кВт</v>
      </c>
      <c r="D690" s="20" t="str">
        <f>Source!H520</f>
        <v>установка</v>
      </c>
      <c r="E690" s="9">
        <f>Source!I520</f>
        <v>6</v>
      </c>
      <c r="F690" s="22"/>
      <c r="G690" s="21"/>
      <c r="H690" s="9"/>
      <c r="I690" s="9"/>
      <c r="J690" s="22"/>
      <c r="K690" s="22"/>
      <c r="Q690">
        <f>ROUND((Source!BZ520/100)*ROUND((Source!AF520*Source!AV520)*Source!I520, 2), 2)</f>
        <v>37949.86</v>
      </c>
      <c r="R690">
        <f>Source!X520</f>
        <v>37949.86</v>
      </c>
      <c r="S690">
        <f>ROUND((Source!CA520/100)*ROUND((Source!AF520*Source!AV520)*Source!I520, 2), 2)</f>
        <v>5421.41</v>
      </c>
      <c r="T690">
        <f>Source!Y520</f>
        <v>5421.41</v>
      </c>
      <c r="U690">
        <f>ROUND((175/100)*ROUND((Source!AE520*Source!AV520)*Source!I520, 2), 2)</f>
        <v>7287</v>
      </c>
      <c r="V690">
        <f>ROUND((108/100)*ROUND(Source!CS520*Source!I520, 2), 2)</f>
        <v>4497.12</v>
      </c>
    </row>
    <row r="691" spans="1:22" x14ac:dyDescent="0.2">
      <c r="C691" s="23" t="str">
        <f>"Объем: "&amp;Source!I520&amp;"=(1+"&amp;"1)*"&amp;"3"</f>
        <v>Объем: 6=(1+1)*3</v>
      </c>
    </row>
    <row r="692" spans="1:22" ht="14.25" x14ac:dyDescent="0.2">
      <c r="A692" s="19"/>
      <c r="B692" s="19"/>
      <c r="C692" s="19" t="s">
        <v>825</v>
      </c>
      <c r="D692" s="20"/>
      <c r="E692" s="9"/>
      <c r="F692" s="22">
        <f>Source!AO520</f>
        <v>4517.84</v>
      </c>
      <c r="G692" s="21" t="str">
        <f>Source!DG520</f>
        <v>)*2</v>
      </c>
      <c r="H692" s="9">
        <f>Source!AV520</f>
        <v>1</v>
      </c>
      <c r="I692" s="9">
        <f>IF(Source!BA520&lt;&gt; 0, Source!BA520, 1)</f>
        <v>1</v>
      </c>
      <c r="J692" s="22">
        <f>Source!S520</f>
        <v>54214.080000000002</v>
      </c>
      <c r="K692" s="22"/>
    </row>
    <row r="693" spans="1:22" ht="14.25" x14ac:dyDescent="0.2">
      <c r="A693" s="19"/>
      <c r="B693" s="19"/>
      <c r="C693" s="19" t="s">
        <v>826</v>
      </c>
      <c r="D693" s="20"/>
      <c r="E693" s="9"/>
      <c r="F693" s="22">
        <f>Source!AM520</f>
        <v>547.26</v>
      </c>
      <c r="G693" s="21" t="str">
        <f>Source!DE520</f>
        <v>)*2</v>
      </c>
      <c r="H693" s="9">
        <f>Source!AV520</f>
        <v>1</v>
      </c>
      <c r="I693" s="9">
        <f>IF(Source!BB520&lt;&gt; 0, Source!BB520, 1)</f>
        <v>1</v>
      </c>
      <c r="J693" s="22">
        <f>Source!Q520</f>
        <v>6567.12</v>
      </c>
      <c r="K693" s="22"/>
    </row>
    <row r="694" spans="1:22" ht="14.25" x14ac:dyDescent="0.2">
      <c r="A694" s="19"/>
      <c r="B694" s="19"/>
      <c r="C694" s="19" t="s">
        <v>827</v>
      </c>
      <c r="D694" s="20"/>
      <c r="E694" s="9"/>
      <c r="F694" s="22">
        <f>Source!AN520</f>
        <v>347</v>
      </c>
      <c r="G694" s="21" t="str">
        <f>Source!DF520</f>
        <v>)*2</v>
      </c>
      <c r="H694" s="9">
        <f>Source!AV520</f>
        <v>1</v>
      </c>
      <c r="I694" s="9">
        <f>IF(Source!BS520&lt;&gt; 0, Source!BS520, 1)</f>
        <v>1</v>
      </c>
      <c r="J694" s="24">
        <f>Source!R520</f>
        <v>4164</v>
      </c>
      <c r="K694" s="22"/>
    </row>
    <row r="695" spans="1:22" ht="14.25" x14ac:dyDescent="0.2">
      <c r="A695" s="19"/>
      <c r="B695" s="19"/>
      <c r="C695" s="19" t="s">
        <v>834</v>
      </c>
      <c r="D695" s="20"/>
      <c r="E695" s="9"/>
      <c r="F695" s="22">
        <f>Source!AL520</f>
        <v>355.16</v>
      </c>
      <c r="G695" s="21" t="str">
        <f>Source!DD520</f>
        <v>)*2</v>
      </c>
      <c r="H695" s="9">
        <f>Source!AW520</f>
        <v>1</v>
      </c>
      <c r="I695" s="9">
        <f>IF(Source!BC520&lt;&gt; 0, Source!BC520, 1)</f>
        <v>1</v>
      </c>
      <c r="J695" s="22">
        <f>Source!P520</f>
        <v>4261.92</v>
      </c>
      <c r="K695" s="22"/>
    </row>
    <row r="696" spans="1:22" ht="14.25" x14ac:dyDescent="0.2">
      <c r="A696" s="19"/>
      <c r="B696" s="19"/>
      <c r="C696" s="19" t="s">
        <v>828</v>
      </c>
      <c r="D696" s="20" t="s">
        <v>829</v>
      </c>
      <c r="E696" s="9">
        <f>Source!AT520</f>
        <v>70</v>
      </c>
      <c r="F696" s="22"/>
      <c r="G696" s="21"/>
      <c r="H696" s="9"/>
      <c r="I696" s="9"/>
      <c r="J696" s="22">
        <f>SUM(R690:R695)</f>
        <v>37949.86</v>
      </c>
      <c r="K696" s="22"/>
    </row>
    <row r="697" spans="1:22" ht="14.25" x14ac:dyDescent="0.2">
      <c r="A697" s="19"/>
      <c r="B697" s="19"/>
      <c r="C697" s="19" t="s">
        <v>830</v>
      </c>
      <c r="D697" s="20" t="s">
        <v>829</v>
      </c>
      <c r="E697" s="9">
        <f>Source!AU520</f>
        <v>10</v>
      </c>
      <c r="F697" s="22"/>
      <c r="G697" s="21"/>
      <c r="H697" s="9"/>
      <c r="I697" s="9"/>
      <c r="J697" s="22">
        <f>SUM(T690:T696)</f>
        <v>5421.41</v>
      </c>
      <c r="K697" s="22"/>
    </row>
    <row r="698" spans="1:22" ht="14.25" x14ac:dyDescent="0.2">
      <c r="A698" s="19"/>
      <c r="B698" s="19"/>
      <c r="C698" s="19" t="s">
        <v>831</v>
      </c>
      <c r="D698" s="20" t="s">
        <v>829</v>
      </c>
      <c r="E698" s="9">
        <f>108</f>
        <v>108</v>
      </c>
      <c r="F698" s="22"/>
      <c r="G698" s="21"/>
      <c r="H698" s="9"/>
      <c r="I698" s="9"/>
      <c r="J698" s="22">
        <f>SUM(V690:V697)</f>
        <v>4497.12</v>
      </c>
      <c r="K698" s="22"/>
    </row>
    <row r="699" spans="1:22" ht="14.25" x14ac:dyDescent="0.2">
      <c r="A699" s="19"/>
      <c r="B699" s="19"/>
      <c r="C699" s="19" t="s">
        <v>832</v>
      </c>
      <c r="D699" s="20" t="s">
        <v>833</v>
      </c>
      <c r="E699" s="9">
        <f>Source!AQ520</f>
        <v>6.8</v>
      </c>
      <c r="F699" s="22"/>
      <c r="G699" s="21" t="str">
        <f>Source!DI520</f>
        <v>)*2</v>
      </c>
      <c r="H699" s="9">
        <f>Source!AV520</f>
        <v>1</v>
      </c>
      <c r="I699" s="9"/>
      <c r="J699" s="22"/>
      <c r="K699" s="22">
        <f>Source!U520</f>
        <v>81.599999999999994</v>
      </c>
    </row>
    <row r="700" spans="1:22" ht="15" x14ac:dyDescent="0.25">
      <c r="A700" s="27"/>
      <c r="B700" s="27"/>
      <c r="C700" s="27"/>
      <c r="D700" s="27"/>
      <c r="E700" s="27"/>
      <c r="F700" s="27"/>
      <c r="G700" s="27"/>
      <c r="H700" s="27"/>
      <c r="I700" s="60">
        <f>J692+J693+J695+J696+J697+J698</f>
        <v>112911.51000000001</v>
      </c>
      <c r="J700" s="60"/>
      <c r="K700" s="28">
        <f>IF(Source!I520&lt;&gt;0, ROUND(I700/Source!I520, 2), 0)</f>
        <v>18818.59</v>
      </c>
      <c r="P700" s="25">
        <f>I700</f>
        <v>112911.51000000001</v>
      </c>
    </row>
    <row r="701" spans="1:22" ht="42.75" x14ac:dyDescent="0.2">
      <c r="A701" s="19">
        <v>65</v>
      </c>
      <c r="B701" s="19" t="str">
        <f>Source!F522</f>
        <v>1.18-2403-17-4/1</v>
      </c>
      <c r="C701" s="19" t="str">
        <f>Source!G522</f>
        <v>Техническое обслуживание внутренних кассетных блоков сплит систем мощностью свыше 5 кВт - полугодовое</v>
      </c>
      <c r="D701" s="20" t="str">
        <f>Source!H522</f>
        <v>1 блок</v>
      </c>
      <c r="E701" s="9">
        <f>Source!I522</f>
        <v>72</v>
      </c>
      <c r="F701" s="22"/>
      <c r="G701" s="21"/>
      <c r="H701" s="9"/>
      <c r="I701" s="9"/>
      <c r="J701" s="22"/>
      <c r="K701" s="22"/>
      <c r="Q701">
        <f>ROUND((Source!BZ522/100)*ROUND((Source!AF522*Source!AV522)*Source!I522, 2), 2)</f>
        <v>57524.04</v>
      </c>
      <c r="R701">
        <f>Source!X522</f>
        <v>57524.04</v>
      </c>
      <c r="S701">
        <f>ROUND((Source!CA522/100)*ROUND((Source!AF522*Source!AV522)*Source!I522, 2), 2)</f>
        <v>8217.7199999999993</v>
      </c>
      <c r="T701">
        <f>Source!Y522</f>
        <v>8217.7199999999993</v>
      </c>
      <c r="U701">
        <f>ROUND((175/100)*ROUND((Source!AE522*Source!AV522)*Source!I522, 2), 2)</f>
        <v>7.56</v>
      </c>
      <c r="V701">
        <f>ROUND((108/100)*ROUND(Source!CS522*Source!I522, 2), 2)</f>
        <v>4.67</v>
      </c>
    </row>
    <row r="702" spans="1:22" x14ac:dyDescent="0.2">
      <c r="C702" s="23" t="str">
        <f>"Объем: "&amp;Source!I522&amp;"=(23+"&amp;"1)*"&amp;"3"</f>
        <v>Объем: 72=(23+1)*3</v>
      </c>
    </row>
    <row r="703" spans="1:22" ht="14.25" x14ac:dyDescent="0.2">
      <c r="A703" s="19"/>
      <c r="B703" s="19"/>
      <c r="C703" s="19" t="s">
        <v>825</v>
      </c>
      <c r="D703" s="20"/>
      <c r="E703" s="9"/>
      <c r="F703" s="22">
        <f>Source!AO522</f>
        <v>1141.3499999999999</v>
      </c>
      <c r="G703" s="21" t="str">
        <f>Source!DG522</f>
        <v/>
      </c>
      <c r="H703" s="9">
        <f>Source!AV522</f>
        <v>1</v>
      </c>
      <c r="I703" s="9">
        <f>IF(Source!BA522&lt;&gt; 0, Source!BA522, 1)</f>
        <v>1</v>
      </c>
      <c r="J703" s="22">
        <f>Source!S522</f>
        <v>82177.2</v>
      </c>
      <c r="K703" s="22"/>
    </row>
    <row r="704" spans="1:22" ht="14.25" x14ac:dyDescent="0.2">
      <c r="A704" s="19"/>
      <c r="B704" s="19"/>
      <c r="C704" s="19" t="s">
        <v>826</v>
      </c>
      <c r="D704" s="20"/>
      <c r="E704" s="9"/>
      <c r="F704" s="22">
        <f>Source!AM522</f>
        <v>4.1100000000000003</v>
      </c>
      <c r="G704" s="21" t="str">
        <f>Source!DE522</f>
        <v/>
      </c>
      <c r="H704" s="9">
        <f>Source!AV522</f>
        <v>1</v>
      </c>
      <c r="I704" s="9">
        <f>IF(Source!BB522&lt;&gt; 0, Source!BB522, 1)</f>
        <v>1</v>
      </c>
      <c r="J704" s="22">
        <f>Source!Q522</f>
        <v>295.92</v>
      </c>
      <c r="K704" s="22"/>
    </row>
    <row r="705" spans="1:22" ht="14.25" x14ac:dyDescent="0.2">
      <c r="A705" s="19"/>
      <c r="B705" s="19"/>
      <c r="C705" s="19" t="s">
        <v>827</v>
      </c>
      <c r="D705" s="20"/>
      <c r="E705" s="9"/>
      <c r="F705" s="22">
        <f>Source!AN522</f>
        <v>0.06</v>
      </c>
      <c r="G705" s="21" t="str">
        <f>Source!DF522</f>
        <v/>
      </c>
      <c r="H705" s="9">
        <f>Source!AV522</f>
        <v>1</v>
      </c>
      <c r="I705" s="9">
        <f>IF(Source!BS522&lt;&gt; 0, Source!BS522, 1)</f>
        <v>1</v>
      </c>
      <c r="J705" s="24">
        <f>Source!R522</f>
        <v>4.32</v>
      </c>
      <c r="K705" s="22"/>
    </row>
    <row r="706" spans="1:22" ht="14.25" x14ac:dyDescent="0.2">
      <c r="A706" s="19"/>
      <c r="B706" s="19"/>
      <c r="C706" s="19" t="s">
        <v>834</v>
      </c>
      <c r="D706" s="20"/>
      <c r="E706" s="9"/>
      <c r="F706" s="22">
        <f>Source!AL522</f>
        <v>4.43</v>
      </c>
      <c r="G706" s="21" t="str">
        <f>Source!DD522</f>
        <v/>
      </c>
      <c r="H706" s="9">
        <f>Source!AW522</f>
        <v>1</v>
      </c>
      <c r="I706" s="9">
        <f>IF(Source!BC522&lt;&gt; 0, Source!BC522, 1)</f>
        <v>1</v>
      </c>
      <c r="J706" s="22">
        <f>Source!P522</f>
        <v>318.95999999999998</v>
      </c>
      <c r="K706" s="22"/>
    </row>
    <row r="707" spans="1:22" ht="14.25" x14ac:dyDescent="0.2">
      <c r="A707" s="19"/>
      <c r="B707" s="19"/>
      <c r="C707" s="19" t="s">
        <v>828</v>
      </c>
      <c r="D707" s="20" t="s">
        <v>829</v>
      </c>
      <c r="E707" s="9">
        <f>Source!AT522</f>
        <v>70</v>
      </c>
      <c r="F707" s="22"/>
      <c r="G707" s="21"/>
      <c r="H707" s="9"/>
      <c r="I707" s="9"/>
      <c r="J707" s="22">
        <f>SUM(R701:R706)</f>
        <v>57524.04</v>
      </c>
      <c r="K707" s="22"/>
    </row>
    <row r="708" spans="1:22" ht="14.25" x14ac:dyDescent="0.2">
      <c r="A708" s="19"/>
      <c r="B708" s="19"/>
      <c r="C708" s="19" t="s">
        <v>830</v>
      </c>
      <c r="D708" s="20" t="s">
        <v>829</v>
      </c>
      <c r="E708" s="9">
        <f>Source!AU522</f>
        <v>10</v>
      </c>
      <c r="F708" s="22"/>
      <c r="G708" s="21"/>
      <c r="H708" s="9"/>
      <c r="I708" s="9"/>
      <c r="J708" s="22">
        <f>SUM(T701:T707)</f>
        <v>8217.7199999999993</v>
      </c>
      <c r="K708" s="22"/>
    </row>
    <row r="709" spans="1:22" ht="14.25" x14ac:dyDescent="0.2">
      <c r="A709" s="19"/>
      <c r="B709" s="19"/>
      <c r="C709" s="19" t="s">
        <v>831</v>
      </c>
      <c r="D709" s="20" t="s">
        <v>829</v>
      </c>
      <c r="E709" s="9">
        <f>108</f>
        <v>108</v>
      </c>
      <c r="F709" s="22"/>
      <c r="G709" s="21"/>
      <c r="H709" s="9"/>
      <c r="I709" s="9"/>
      <c r="J709" s="22">
        <f>SUM(V701:V708)</f>
        <v>4.67</v>
      </c>
      <c r="K709" s="22"/>
    </row>
    <row r="710" spans="1:22" ht="14.25" x14ac:dyDescent="0.2">
      <c r="A710" s="19"/>
      <c r="B710" s="19"/>
      <c r="C710" s="19" t="s">
        <v>832</v>
      </c>
      <c r="D710" s="20" t="s">
        <v>833</v>
      </c>
      <c r="E710" s="9">
        <f>Source!AQ522</f>
        <v>1.72</v>
      </c>
      <c r="F710" s="22"/>
      <c r="G710" s="21" t="str">
        <f>Source!DI522</f>
        <v/>
      </c>
      <c r="H710" s="9">
        <f>Source!AV522</f>
        <v>1</v>
      </c>
      <c r="I710" s="9"/>
      <c r="J710" s="22"/>
      <c r="K710" s="22">
        <f>Source!U522</f>
        <v>123.84</v>
      </c>
    </row>
    <row r="711" spans="1:22" ht="15" x14ac:dyDescent="0.25">
      <c r="A711" s="27"/>
      <c r="B711" s="27"/>
      <c r="C711" s="27"/>
      <c r="D711" s="27"/>
      <c r="E711" s="27"/>
      <c r="F711" s="27"/>
      <c r="G711" s="27"/>
      <c r="H711" s="27"/>
      <c r="I711" s="60">
        <f>J703+J704+J706+J707+J708+J709</f>
        <v>148538.51</v>
      </c>
      <c r="J711" s="60"/>
      <c r="K711" s="28">
        <f>IF(Source!I522&lt;&gt;0, ROUND(I711/Source!I522, 2), 0)</f>
        <v>2063.0300000000002</v>
      </c>
      <c r="P711" s="25">
        <f>I711</f>
        <v>148538.51</v>
      </c>
    </row>
    <row r="713" spans="1:22" ht="15" x14ac:dyDescent="0.25">
      <c r="B713" s="56" t="str">
        <f>Source!G524</f>
        <v>Корпус 7.2.4</v>
      </c>
      <c r="C713" s="56"/>
      <c r="D713" s="56"/>
      <c r="E713" s="56"/>
      <c r="F713" s="56"/>
      <c r="G713" s="56"/>
      <c r="H713" s="56"/>
      <c r="I713" s="56"/>
      <c r="J713" s="56"/>
    </row>
    <row r="714" spans="1:22" ht="57" x14ac:dyDescent="0.2">
      <c r="A714" s="19">
        <v>66</v>
      </c>
      <c r="B714" s="19" t="str">
        <f>Source!F526</f>
        <v>1.24-2103-45-4/1</v>
      </c>
      <c r="C714" s="19" t="str">
        <f>Source!G526</f>
        <v>Техническое обслуживание ежеквартальное холодильных установок мощностью 420 кВт / применительно до 50 кВт</v>
      </c>
      <c r="D714" s="20" t="str">
        <f>Source!H526</f>
        <v>установка</v>
      </c>
      <c r="E714" s="9">
        <f>Source!I526</f>
        <v>1</v>
      </c>
      <c r="F714" s="22"/>
      <c r="G714" s="21"/>
      <c r="H714" s="9"/>
      <c r="I714" s="9"/>
      <c r="J714" s="22"/>
      <c r="K714" s="22"/>
      <c r="Q714">
        <f>ROUND((Source!BZ526/100)*ROUND((Source!AF526*Source!AV526)*Source!I526, 2), 2)</f>
        <v>6324.98</v>
      </c>
      <c r="R714">
        <f>Source!X526</f>
        <v>6324.98</v>
      </c>
      <c r="S714">
        <f>ROUND((Source!CA526/100)*ROUND((Source!AF526*Source!AV526)*Source!I526, 2), 2)</f>
        <v>903.57</v>
      </c>
      <c r="T714">
        <f>Source!Y526</f>
        <v>903.57</v>
      </c>
      <c r="U714">
        <f>ROUND((175/100)*ROUND((Source!AE526*Source!AV526)*Source!I526, 2), 2)</f>
        <v>1214.5</v>
      </c>
      <c r="V714">
        <f>ROUND((108/100)*ROUND(Source!CS526*Source!I526, 2), 2)</f>
        <v>749.52</v>
      </c>
    </row>
    <row r="715" spans="1:22" ht="14.25" x14ac:dyDescent="0.2">
      <c r="A715" s="19"/>
      <c r="B715" s="19"/>
      <c r="C715" s="19" t="s">
        <v>825</v>
      </c>
      <c r="D715" s="20"/>
      <c r="E715" s="9"/>
      <c r="F715" s="22">
        <f>Source!AO526</f>
        <v>4517.84</v>
      </c>
      <c r="G715" s="21" t="str">
        <f>Source!DG526</f>
        <v>)*2</v>
      </c>
      <c r="H715" s="9">
        <f>Source!AV526</f>
        <v>1</v>
      </c>
      <c r="I715" s="9">
        <f>IF(Source!BA526&lt;&gt; 0, Source!BA526, 1)</f>
        <v>1</v>
      </c>
      <c r="J715" s="22">
        <f>Source!S526</f>
        <v>9035.68</v>
      </c>
      <c r="K715" s="22"/>
    </row>
    <row r="716" spans="1:22" ht="14.25" x14ac:dyDescent="0.2">
      <c r="A716" s="19"/>
      <c r="B716" s="19"/>
      <c r="C716" s="19" t="s">
        <v>826</v>
      </c>
      <c r="D716" s="20"/>
      <c r="E716" s="9"/>
      <c r="F716" s="22">
        <f>Source!AM526</f>
        <v>547.26</v>
      </c>
      <c r="G716" s="21" t="str">
        <f>Source!DE526</f>
        <v>)*2</v>
      </c>
      <c r="H716" s="9">
        <f>Source!AV526</f>
        <v>1</v>
      </c>
      <c r="I716" s="9">
        <f>IF(Source!BB526&lt;&gt; 0, Source!BB526, 1)</f>
        <v>1</v>
      </c>
      <c r="J716" s="22">
        <f>Source!Q526</f>
        <v>1094.52</v>
      </c>
      <c r="K716" s="22"/>
    </row>
    <row r="717" spans="1:22" ht="14.25" x14ac:dyDescent="0.2">
      <c r="A717" s="19"/>
      <c r="B717" s="19"/>
      <c r="C717" s="19" t="s">
        <v>827</v>
      </c>
      <c r="D717" s="20"/>
      <c r="E717" s="9"/>
      <c r="F717" s="22">
        <f>Source!AN526</f>
        <v>347</v>
      </c>
      <c r="G717" s="21" t="str">
        <f>Source!DF526</f>
        <v>)*2</v>
      </c>
      <c r="H717" s="9">
        <f>Source!AV526</f>
        <v>1</v>
      </c>
      <c r="I717" s="9">
        <f>IF(Source!BS526&lt;&gt; 0, Source!BS526, 1)</f>
        <v>1</v>
      </c>
      <c r="J717" s="24">
        <f>Source!R526</f>
        <v>694</v>
      </c>
      <c r="K717" s="22"/>
    </row>
    <row r="718" spans="1:22" ht="14.25" x14ac:dyDescent="0.2">
      <c r="A718" s="19"/>
      <c r="B718" s="19"/>
      <c r="C718" s="19" t="s">
        <v>834</v>
      </c>
      <c r="D718" s="20"/>
      <c r="E718" s="9"/>
      <c r="F718" s="22">
        <f>Source!AL526</f>
        <v>355.16</v>
      </c>
      <c r="G718" s="21" t="str">
        <f>Source!DD526</f>
        <v>)*2</v>
      </c>
      <c r="H718" s="9">
        <f>Source!AW526</f>
        <v>1</v>
      </c>
      <c r="I718" s="9">
        <f>IF(Source!BC526&lt;&gt; 0, Source!BC526, 1)</f>
        <v>1</v>
      </c>
      <c r="J718" s="22">
        <f>Source!P526</f>
        <v>710.32</v>
      </c>
      <c r="K718" s="22"/>
    </row>
    <row r="719" spans="1:22" ht="14.25" x14ac:dyDescent="0.2">
      <c r="A719" s="19"/>
      <c r="B719" s="19"/>
      <c r="C719" s="19" t="s">
        <v>828</v>
      </c>
      <c r="D719" s="20" t="s">
        <v>829</v>
      </c>
      <c r="E719" s="9">
        <f>Source!AT526</f>
        <v>70</v>
      </c>
      <c r="F719" s="22"/>
      <c r="G719" s="21"/>
      <c r="H719" s="9"/>
      <c r="I719" s="9"/>
      <c r="J719" s="22">
        <f>SUM(R714:R718)</f>
        <v>6324.98</v>
      </c>
      <c r="K719" s="22"/>
    </row>
    <row r="720" spans="1:22" ht="14.25" x14ac:dyDescent="0.2">
      <c r="A720" s="19"/>
      <c r="B720" s="19"/>
      <c r="C720" s="19" t="s">
        <v>830</v>
      </c>
      <c r="D720" s="20" t="s">
        <v>829</v>
      </c>
      <c r="E720" s="9">
        <f>Source!AU526</f>
        <v>10</v>
      </c>
      <c r="F720" s="22"/>
      <c r="G720" s="21"/>
      <c r="H720" s="9"/>
      <c r="I720" s="9"/>
      <c r="J720" s="22">
        <f>SUM(T714:T719)</f>
        <v>903.57</v>
      </c>
      <c r="K720" s="22"/>
    </row>
    <row r="721" spans="1:22" ht="14.25" x14ac:dyDescent="0.2">
      <c r="A721" s="19"/>
      <c r="B721" s="19"/>
      <c r="C721" s="19" t="s">
        <v>831</v>
      </c>
      <c r="D721" s="20" t="s">
        <v>829</v>
      </c>
      <c r="E721" s="9">
        <f>108</f>
        <v>108</v>
      </c>
      <c r="F721" s="22"/>
      <c r="G721" s="21"/>
      <c r="H721" s="9"/>
      <c r="I721" s="9"/>
      <c r="J721" s="22">
        <f>SUM(V714:V720)</f>
        <v>749.52</v>
      </c>
      <c r="K721" s="22"/>
    </row>
    <row r="722" spans="1:22" ht="14.25" x14ac:dyDescent="0.2">
      <c r="A722" s="19"/>
      <c r="B722" s="19"/>
      <c r="C722" s="19" t="s">
        <v>832</v>
      </c>
      <c r="D722" s="20" t="s">
        <v>833</v>
      </c>
      <c r="E722" s="9">
        <f>Source!AQ526</f>
        <v>6.8</v>
      </c>
      <c r="F722" s="22"/>
      <c r="G722" s="21" t="str">
        <f>Source!DI526</f>
        <v>)*2</v>
      </c>
      <c r="H722" s="9">
        <f>Source!AV526</f>
        <v>1</v>
      </c>
      <c r="I722" s="9"/>
      <c r="J722" s="22"/>
      <c r="K722" s="22">
        <f>Source!U526</f>
        <v>13.6</v>
      </c>
    </row>
    <row r="723" spans="1:22" ht="15" x14ac:dyDescent="0.25">
      <c r="A723" s="27"/>
      <c r="B723" s="27"/>
      <c r="C723" s="27"/>
      <c r="D723" s="27"/>
      <c r="E723" s="27"/>
      <c r="F723" s="27"/>
      <c r="G723" s="27"/>
      <c r="H723" s="27"/>
      <c r="I723" s="60">
        <f>J715+J716+J718+J719+J720+J721</f>
        <v>18818.59</v>
      </c>
      <c r="J723" s="60"/>
      <c r="K723" s="28">
        <f>IF(Source!I526&lt;&gt;0, ROUND(I723/Source!I526, 2), 0)</f>
        <v>18818.59</v>
      </c>
      <c r="P723" s="25">
        <f>I723</f>
        <v>18818.59</v>
      </c>
    </row>
    <row r="724" spans="1:22" ht="57" x14ac:dyDescent="0.2">
      <c r="A724" s="19">
        <v>67</v>
      </c>
      <c r="B724" s="19" t="str">
        <f>Source!F529</f>
        <v>1.24-2103-45-4/1</v>
      </c>
      <c r="C724" s="19" t="str">
        <f>Source!G529</f>
        <v>Техническое обслуживание ежеквартальное холодильных установок мощностью 420 кВт / применительно до 175 кВт</v>
      </c>
      <c r="D724" s="20" t="str">
        <f>Source!H529</f>
        <v>установка</v>
      </c>
      <c r="E724" s="9">
        <f>Source!I529</f>
        <v>1</v>
      </c>
      <c r="F724" s="22"/>
      <c r="G724" s="21"/>
      <c r="H724" s="9"/>
      <c r="I724" s="9"/>
      <c r="J724" s="22"/>
      <c r="K724" s="22"/>
      <c r="Q724">
        <f>ROUND((Source!BZ529/100)*ROUND((Source!AF529*Source!AV529)*Source!I529, 2), 2)</f>
        <v>6324.98</v>
      </c>
      <c r="R724">
        <f>Source!X529</f>
        <v>6324.98</v>
      </c>
      <c r="S724">
        <f>ROUND((Source!CA529/100)*ROUND((Source!AF529*Source!AV529)*Source!I529, 2), 2)</f>
        <v>903.57</v>
      </c>
      <c r="T724">
        <f>Source!Y529</f>
        <v>903.57</v>
      </c>
      <c r="U724">
        <f>ROUND((175/100)*ROUND((Source!AE529*Source!AV529)*Source!I529, 2), 2)</f>
        <v>1214.5</v>
      </c>
      <c r="V724">
        <f>ROUND((108/100)*ROUND(Source!CS529*Source!I529, 2), 2)</f>
        <v>749.52</v>
      </c>
    </row>
    <row r="725" spans="1:22" ht="14.25" x14ac:dyDescent="0.2">
      <c r="A725" s="19"/>
      <c r="B725" s="19"/>
      <c r="C725" s="19" t="s">
        <v>825</v>
      </c>
      <c r="D725" s="20"/>
      <c r="E725" s="9"/>
      <c r="F725" s="22">
        <f>Source!AO529</f>
        <v>4517.84</v>
      </c>
      <c r="G725" s="21" t="str">
        <f>Source!DG529</f>
        <v>)*2</v>
      </c>
      <c r="H725" s="9">
        <f>Source!AV529</f>
        <v>1</v>
      </c>
      <c r="I725" s="9">
        <f>IF(Source!BA529&lt;&gt; 0, Source!BA529, 1)</f>
        <v>1</v>
      </c>
      <c r="J725" s="22">
        <f>Source!S529</f>
        <v>9035.68</v>
      </c>
      <c r="K725" s="22"/>
    </row>
    <row r="726" spans="1:22" ht="14.25" x14ac:dyDescent="0.2">
      <c r="A726" s="19"/>
      <c r="B726" s="19"/>
      <c r="C726" s="19" t="s">
        <v>826</v>
      </c>
      <c r="D726" s="20"/>
      <c r="E726" s="9"/>
      <c r="F726" s="22">
        <f>Source!AM529</f>
        <v>547.26</v>
      </c>
      <c r="G726" s="21" t="str">
        <f>Source!DE529</f>
        <v>)*2</v>
      </c>
      <c r="H726" s="9">
        <f>Source!AV529</f>
        <v>1</v>
      </c>
      <c r="I726" s="9">
        <f>IF(Source!BB529&lt;&gt; 0, Source!BB529, 1)</f>
        <v>1</v>
      </c>
      <c r="J726" s="22">
        <f>Source!Q529</f>
        <v>1094.52</v>
      </c>
      <c r="K726" s="22"/>
    </row>
    <row r="727" spans="1:22" ht="14.25" x14ac:dyDescent="0.2">
      <c r="A727" s="19"/>
      <c r="B727" s="19"/>
      <c r="C727" s="19" t="s">
        <v>827</v>
      </c>
      <c r="D727" s="20"/>
      <c r="E727" s="9"/>
      <c r="F727" s="22">
        <f>Source!AN529</f>
        <v>347</v>
      </c>
      <c r="G727" s="21" t="str">
        <f>Source!DF529</f>
        <v>)*2</v>
      </c>
      <c r="H727" s="9">
        <f>Source!AV529</f>
        <v>1</v>
      </c>
      <c r="I727" s="9">
        <f>IF(Source!BS529&lt;&gt; 0, Source!BS529, 1)</f>
        <v>1</v>
      </c>
      <c r="J727" s="24">
        <f>Source!R529</f>
        <v>694</v>
      </c>
      <c r="K727" s="22"/>
    </row>
    <row r="728" spans="1:22" ht="14.25" x14ac:dyDescent="0.2">
      <c r="A728" s="19"/>
      <c r="B728" s="19"/>
      <c r="C728" s="19" t="s">
        <v>834</v>
      </c>
      <c r="D728" s="20"/>
      <c r="E728" s="9"/>
      <c r="F728" s="22">
        <f>Source!AL529</f>
        <v>355.16</v>
      </c>
      <c r="G728" s="21" t="str">
        <f>Source!DD529</f>
        <v>)*2</v>
      </c>
      <c r="H728" s="9">
        <f>Source!AW529</f>
        <v>1</v>
      </c>
      <c r="I728" s="9">
        <f>IF(Source!BC529&lt;&gt; 0, Source!BC529, 1)</f>
        <v>1</v>
      </c>
      <c r="J728" s="22">
        <f>Source!P529</f>
        <v>710.32</v>
      </c>
      <c r="K728" s="22"/>
    </row>
    <row r="729" spans="1:22" ht="14.25" x14ac:dyDescent="0.2">
      <c r="A729" s="19"/>
      <c r="B729" s="19"/>
      <c r="C729" s="19" t="s">
        <v>828</v>
      </c>
      <c r="D729" s="20" t="s">
        <v>829</v>
      </c>
      <c r="E729" s="9">
        <f>Source!AT529</f>
        <v>70</v>
      </c>
      <c r="F729" s="22"/>
      <c r="G729" s="21"/>
      <c r="H729" s="9"/>
      <c r="I729" s="9"/>
      <c r="J729" s="22">
        <f>SUM(R724:R728)</f>
        <v>6324.98</v>
      </c>
      <c r="K729" s="22"/>
    </row>
    <row r="730" spans="1:22" ht="14.25" x14ac:dyDescent="0.2">
      <c r="A730" s="19"/>
      <c r="B730" s="19"/>
      <c r="C730" s="19" t="s">
        <v>830</v>
      </c>
      <c r="D730" s="20" t="s">
        <v>829</v>
      </c>
      <c r="E730" s="9">
        <f>Source!AU529</f>
        <v>10</v>
      </c>
      <c r="F730" s="22"/>
      <c r="G730" s="21"/>
      <c r="H730" s="9"/>
      <c r="I730" s="9"/>
      <c r="J730" s="22">
        <f>SUM(T724:T729)</f>
        <v>903.57</v>
      </c>
      <c r="K730" s="22"/>
    </row>
    <row r="731" spans="1:22" ht="14.25" x14ac:dyDescent="0.2">
      <c r="A731" s="19"/>
      <c r="B731" s="19"/>
      <c r="C731" s="19" t="s">
        <v>831</v>
      </c>
      <c r="D731" s="20" t="s">
        <v>829</v>
      </c>
      <c r="E731" s="9">
        <f>108</f>
        <v>108</v>
      </c>
      <c r="F731" s="22"/>
      <c r="G731" s="21"/>
      <c r="H731" s="9"/>
      <c r="I731" s="9"/>
      <c r="J731" s="22">
        <f>SUM(V724:V730)</f>
        <v>749.52</v>
      </c>
      <c r="K731" s="22"/>
    </row>
    <row r="732" spans="1:22" ht="14.25" x14ac:dyDescent="0.2">
      <c r="A732" s="19"/>
      <c r="B732" s="19"/>
      <c r="C732" s="19" t="s">
        <v>832</v>
      </c>
      <c r="D732" s="20" t="s">
        <v>833</v>
      </c>
      <c r="E732" s="9">
        <f>Source!AQ529</f>
        <v>6.8</v>
      </c>
      <c r="F732" s="22"/>
      <c r="G732" s="21" t="str">
        <f>Source!DI529</f>
        <v>)*2</v>
      </c>
      <c r="H732" s="9">
        <f>Source!AV529</f>
        <v>1</v>
      </c>
      <c r="I732" s="9"/>
      <c r="J732" s="22"/>
      <c r="K732" s="22">
        <f>Source!U529</f>
        <v>13.6</v>
      </c>
    </row>
    <row r="733" spans="1:22" ht="15" x14ac:dyDescent="0.25">
      <c r="A733" s="27"/>
      <c r="B733" s="27"/>
      <c r="C733" s="27"/>
      <c r="D733" s="27"/>
      <c r="E733" s="27"/>
      <c r="F733" s="27"/>
      <c r="G733" s="27"/>
      <c r="H733" s="27"/>
      <c r="I733" s="60">
        <f>J725+J726+J728+J729+J730+J731</f>
        <v>18818.59</v>
      </c>
      <c r="J733" s="60"/>
      <c r="K733" s="28">
        <f>IF(Source!I529&lt;&gt;0, ROUND(I733/Source!I529, 2), 0)</f>
        <v>18818.59</v>
      </c>
      <c r="P733" s="25">
        <f>I733</f>
        <v>18818.59</v>
      </c>
    </row>
    <row r="734" spans="1:22" ht="42.75" x14ac:dyDescent="0.2">
      <c r="A734" s="19">
        <v>68</v>
      </c>
      <c r="B734" s="19" t="str">
        <f>Source!F531</f>
        <v>1.18-2403-17-3/1</v>
      </c>
      <c r="C734" s="19" t="str">
        <f>Source!G531</f>
        <v>Техническое обслуживание внутренних кассетных блоков сплит систем мощностью до 5 кВт - полугодовое</v>
      </c>
      <c r="D734" s="20" t="str">
        <f>Source!H531</f>
        <v>1 блок</v>
      </c>
      <c r="E734" s="9">
        <f>Source!I531</f>
        <v>1</v>
      </c>
      <c r="F734" s="22"/>
      <c r="G734" s="21"/>
      <c r="H734" s="9"/>
      <c r="I734" s="9"/>
      <c r="J734" s="22"/>
      <c r="K734" s="22"/>
      <c r="Q734">
        <f>ROUND((Source!BZ531/100)*ROUND((Source!AF531*Source!AV531)*Source!I531, 2), 2)</f>
        <v>622.42999999999995</v>
      </c>
      <c r="R734">
        <f>Source!X531</f>
        <v>622.42999999999995</v>
      </c>
      <c r="S734">
        <f>ROUND((Source!CA531/100)*ROUND((Source!AF531*Source!AV531)*Source!I531, 2), 2)</f>
        <v>88.92</v>
      </c>
      <c r="T734">
        <f>Source!Y531</f>
        <v>88.92</v>
      </c>
      <c r="U734">
        <f>ROUND((175/100)*ROUND((Source!AE531*Source!AV531)*Source!I531, 2), 2)</f>
        <v>0.05</v>
      </c>
      <c r="V734">
        <f>ROUND((108/100)*ROUND(Source!CS531*Source!I531, 2), 2)</f>
        <v>0.03</v>
      </c>
    </row>
    <row r="735" spans="1:22" ht="14.25" x14ac:dyDescent="0.2">
      <c r="A735" s="19"/>
      <c r="B735" s="19"/>
      <c r="C735" s="19" t="s">
        <v>825</v>
      </c>
      <c r="D735" s="20"/>
      <c r="E735" s="9"/>
      <c r="F735" s="22">
        <f>Source!AO531</f>
        <v>889.19</v>
      </c>
      <c r="G735" s="21" t="str">
        <f>Source!DG531</f>
        <v/>
      </c>
      <c r="H735" s="9">
        <f>Source!AV531</f>
        <v>1</v>
      </c>
      <c r="I735" s="9">
        <f>IF(Source!BA531&lt;&gt; 0, Source!BA531, 1)</f>
        <v>1</v>
      </c>
      <c r="J735" s="22">
        <f>Source!S531</f>
        <v>889.19</v>
      </c>
      <c r="K735" s="22"/>
    </row>
    <row r="736" spans="1:22" ht="14.25" x14ac:dyDescent="0.2">
      <c r="A736" s="19"/>
      <c r="B736" s="19"/>
      <c r="C736" s="19" t="s">
        <v>826</v>
      </c>
      <c r="D736" s="20"/>
      <c r="E736" s="9"/>
      <c r="F736" s="22">
        <f>Source!AM531</f>
        <v>1.85</v>
      </c>
      <c r="G736" s="21" t="str">
        <f>Source!DE531</f>
        <v/>
      </c>
      <c r="H736" s="9">
        <f>Source!AV531</f>
        <v>1</v>
      </c>
      <c r="I736" s="9">
        <f>IF(Source!BB531&lt;&gt; 0, Source!BB531, 1)</f>
        <v>1</v>
      </c>
      <c r="J736" s="22">
        <f>Source!Q531</f>
        <v>1.85</v>
      </c>
      <c r="K736" s="22"/>
    </row>
    <row r="737" spans="1:22" ht="14.25" x14ac:dyDescent="0.2">
      <c r="A737" s="19"/>
      <c r="B737" s="19"/>
      <c r="C737" s="19" t="s">
        <v>827</v>
      </c>
      <c r="D737" s="20"/>
      <c r="E737" s="9"/>
      <c r="F737" s="22">
        <f>Source!AN531</f>
        <v>0.03</v>
      </c>
      <c r="G737" s="21" t="str">
        <f>Source!DF531</f>
        <v/>
      </c>
      <c r="H737" s="9">
        <f>Source!AV531</f>
        <v>1</v>
      </c>
      <c r="I737" s="9">
        <f>IF(Source!BS531&lt;&gt; 0, Source!BS531, 1)</f>
        <v>1</v>
      </c>
      <c r="J737" s="24">
        <f>Source!R531</f>
        <v>0.03</v>
      </c>
      <c r="K737" s="22"/>
    </row>
    <row r="738" spans="1:22" ht="14.25" x14ac:dyDescent="0.2">
      <c r="A738" s="19"/>
      <c r="B738" s="19"/>
      <c r="C738" s="19" t="s">
        <v>834</v>
      </c>
      <c r="D738" s="20"/>
      <c r="E738" s="9"/>
      <c r="F738" s="22">
        <f>Source!AL531</f>
        <v>2.2200000000000002</v>
      </c>
      <c r="G738" s="21" t="str">
        <f>Source!DD531</f>
        <v/>
      </c>
      <c r="H738" s="9">
        <f>Source!AW531</f>
        <v>1</v>
      </c>
      <c r="I738" s="9">
        <f>IF(Source!BC531&lt;&gt; 0, Source!BC531, 1)</f>
        <v>1</v>
      </c>
      <c r="J738" s="22">
        <f>Source!P531</f>
        <v>2.2200000000000002</v>
      </c>
      <c r="K738" s="22"/>
    </row>
    <row r="739" spans="1:22" ht="14.25" x14ac:dyDescent="0.2">
      <c r="A739" s="19"/>
      <c r="B739" s="19"/>
      <c r="C739" s="19" t="s">
        <v>828</v>
      </c>
      <c r="D739" s="20" t="s">
        <v>829</v>
      </c>
      <c r="E739" s="9">
        <f>Source!AT531</f>
        <v>70</v>
      </c>
      <c r="F739" s="22"/>
      <c r="G739" s="21"/>
      <c r="H739" s="9"/>
      <c r="I739" s="9"/>
      <c r="J739" s="22">
        <f>SUM(R734:R738)</f>
        <v>622.42999999999995</v>
      </c>
      <c r="K739" s="22"/>
    </row>
    <row r="740" spans="1:22" ht="14.25" x14ac:dyDescent="0.2">
      <c r="A740" s="19"/>
      <c r="B740" s="19"/>
      <c r="C740" s="19" t="s">
        <v>830</v>
      </c>
      <c r="D740" s="20" t="s">
        <v>829</v>
      </c>
      <c r="E740" s="9">
        <f>Source!AU531</f>
        <v>10</v>
      </c>
      <c r="F740" s="22"/>
      <c r="G740" s="21"/>
      <c r="H740" s="9"/>
      <c r="I740" s="9"/>
      <c r="J740" s="22">
        <f>SUM(T734:T739)</f>
        <v>88.92</v>
      </c>
      <c r="K740" s="22"/>
    </row>
    <row r="741" spans="1:22" ht="14.25" x14ac:dyDescent="0.2">
      <c r="A741" s="19"/>
      <c r="B741" s="19"/>
      <c r="C741" s="19" t="s">
        <v>831</v>
      </c>
      <c r="D741" s="20" t="s">
        <v>829</v>
      </c>
      <c r="E741" s="9">
        <f>108</f>
        <v>108</v>
      </c>
      <c r="F741" s="22"/>
      <c r="G741" s="21"/>
      <c r="H741" s="9"/>
      <c r="I741" s="9"/>
      <c r="J741" s="22">
        <f>SUM(V734:V740)</f>
        <v>0.03</v>
      </c>
      <c r="K741" s="22"/>
    </row>
    <row r="742" spans="1:22" ht="14.25" x14ac:dyDescent="0.2">
      <c r="A742" s="19"/>
      <c r="B742" s="19"/>
      <c r="C742" s="19" t="s">
        <v>832</v>
      </c>
      <c r="D742" s="20" t="s">
        <v>833</v>
      </c>
      <c r="E742" s="9">
        <f>Source!AQ531</f>
        <v>1.34</v>
      </c>
      <c r="F742" s="22"/>
      <c r="G742" s="21" t="str">
        <f>Source!DI531</f>
        <v/>
      </c>
      <c r="H742" s="9">
        <f>Source!AV531</f>
        <v>1</v>
      </c>
      <c r="I742" s="9"/>
      <c r="J742" s="22"/>
      <c r="K742" s="22">
        <f>Source!U531</f>
        <v>1.34</v>
      </c>
    </row>
    <row r="743" spans="1:22" ht="15" x14ac:dyDescent="0.25">
      <c r="A743" s="27"/>
      <c r="B743" s="27"/>
      <c r="C743" s="27"/>
      <c r="D743" s="27"/>
      <c r="E743" s="27"/>
      <c r="F743" s="27"/>
      <c r="G743" s="27"/>
      <c r="H743" s="27"/>
      <c r="I743" s="60">
        <f>J735+J736+J738+J739+J740+J741</f>
        <v>1604.64</v>
      </c>
      <c r="J743" s="60"/>
      <c r="K743" s="28">
        <f>IF(Source!I531&lt;&gt;0, ROUND(I743/Source!I531, 2), 0)</f>
        <v>1604.64</v>
      </c>
      <c r="P743" s="25">
        <f>I743</f>
        <v>1604.64</v>
      </c>
    </row>
    <row r="744" spans="1:22" ht="42.75" x14ac:dyDescent="0.2">
      <c r="A744" s="19">
        <v>69</v>
      </c>
      <c r="B744" s="19" t="str">
        <f>Source!F533</f>
        <v>1.18-2403-17-4/1</v>
      </c>
      <c r="C744" s="19" t="str">
        <f>Source!G533</f>
        <v>Техническое обслуживание внутренних кассетных блоков сплит систем мощностью свыше 5 кВт - полугодовое</v>
      </c>
      <c r="D744" s="20" t="str">
        <f>Source!H533</f>
        <v>1 блок</v>
      </c>
      <c r="E744" s="9">
        <f>Source!I533</f>
        <v>20</v>
      </c>
      <c r="F744" s="22"/>
      <c r="G744" s="21"/>
      <c r="H744" s="9"/>
      <c r="I744" s="9"/>
      <c r="J744" s="22"/>
      <c r="K744" s="22"/>
      <c r="Q744">
        <f>ROUND((Source!BZ533/100)*ROUND((Source!AF533*Source!AV533)*Source!I533, 2), 2)</f>
        <v>15978.9</v>
      </c>
      <c r="R744">
        <f>Source!X533</f>
        <v>15978.9</v>
      </c>
      <c r="S744">
        <f>ROUND((Source!CA533/100)*ROUND((Source!AF533*Source!AV533)*Source!I533, 2), 2)</f>
        <v>2282.6999999999998</v>
      </c>
      <c r="T744">
        <f>Source!Y533</f>
        <v>2282.6999999999998</v>
      </c>
      <c r="U744">
        <f>ROUND((175/100)*ROUND((Source!AE533*Source!AV533)*Source!I533, 2), 2)</f>
        <v>2.1</v>
      </c>
      <c r="V744">
        <f>ROUND((108/100)*ROUND(Source!CS533*Source!I533, 2), 2)</f>
        <v>1.3</v>
      </c>
    </row>
    <row r="745" spans="1:22" x14ac:dyDescent="0.2">
      <c r="C745" s="23" t="str">
        <f>"Объем: "&amp;Source!I533&amp;"=11+"&amp;"9"</f>
        <v>Объем: 20=11+9</v>
      </c>
    </row>
    <row r="746" spans="1:22" ht="14.25" x14ac:dyDescent="0.2">
      <c r="A746" s="19"/>
      <c r="B746" s="19"/>
      <c r="C746" s="19" t="s">
        <v>825</v>
      </c>
      <c r="D746" s="20"/>
      <c r="E746" s="9"/>
      <c r="F746" s="22">
        <f>Source!AO533</f>
        <v>1141.3499999999999</v>
      </c>
      <c r="G746" s="21" t="str">
        <f>Source!DG533</f>
        <v/>
      </c>
      <c r="H746" s="9">
        <f>Source!AV533</f>
        <v>1</v>
      </c>
      <c r="I746" s="9">
        <f>IF(Source!BA533&lt;&gt; 0, Source!BA533, 1)</f>
        <v>1</v>
      </c>
      <c r="J746" s="22">
        <f>Source!S533</f>
        <v>22827</v>
      </c>
      <c r="K746" s="22"/>
    </row>
    <row r="747" spans="1:22" ht="14.25" x14ac:dyDescent="0.2">
      <c r="A747" s="19"/>
      <c r="B747" s="19"/>
      <c r="C747" s="19" t="s">
        <v>826</v>
      </c>
      <c r="D747" s="20"/>
      <c r="E747" s="9"/>
      <c r="F747" s="22">
        <f>Source!AM533</f>
        <v>4.1100000000000003</v>
      </c>
      <c r="G747" s="21" t="str">
        <f>Source!DE533</f>
        <v/>
      </c>
      <c r="H747" s="9">
        <f>Source!AV533</f>
        <v>1</v>
      </c>
      <c r="I747" s="9">
        <f>IF(Source!BB533&lt;&gt; 0, Source!BB533, 1)</f>
        <v>1</v>
      </c>
      <c r="J747" s="22">
        <f>Source!Q533</f>
        <v>82.2</v>
      </c>
      <c r="K747" s="22"/>
    </row>
    <row r="748" spans="1:22" ht="14.25" x14ac:dyDescent="0.2">
      <c r="A748" s="19"/>
      <c r="B748" s="19"/>
      <c r="C748" s="19" t="s">
        <v>827</v>
      </c>
      <c r="D748" s="20"/>
      <c r="E748" s="9"/>
      <c r="F748" s="22">
        <f>Source!AN533</f>
        <v>0.06</v>
      </c>
      <c r="G748" s="21" t="str">
        <f>Source!DF533</f>
        <v/>
      </c>
      <c r="H748" s="9">
        <f>Source!AV533</f>
        <v>1</v>
      </c>
      <c r="I748" s="9">
        <f>IF(Source!BS533&lt;&gt; 0, Source!BS533, 1)</f>
        <v>1</v>
      </c>
      <c r="J748" s="24">
        <f>Source!R533</f>
        <v>1.2</v>
      </c>
      <c r="K748" s="22"/>
    </row>
    <row r="749" spans="1:22" ht="14.25" x14ac:dyDescent="0.2">
      <c r="A749" s="19"/>
      <c r="B749" s="19"/>
      <c r="C749" s="19" t="s">
        <v>834</v>
      </c>
      <c r="D749" s="20"/>
      <c r="E749" s="9"/>
      <c r="F749" s="22">
        <f>Source!AL533</f>
        <v>4.43</v>
      </c>
      <c r="G749" s="21" t="str">
        <f>Source!DD533</f>
        <v/>
      </c>
      <c r="H749" s="9">
        <f>Source!AW533</f>
        <v>1</v>
      </c>
      <c r="I749" s="9">
        <f>IF(Source!BC533&lt;&gt; 0, Source!BC533, 1)</f>
        <v>1</v>
      </c>
      <c r="J749" s="22">
        <f>Source!P533</f>
        <v>88.6</v>
      </c>
      <c r="K749" s="22"/>
    </row>
    <row r="750" spans="1:22" ht="14.25" x14ac:dyDescent="0.2">
      <c r="A750" s="19"/>
      <c r="B750" s="19"/>
      <c r="C750" s="19" t="s">
        <v>828</v>
      </c>
      <c r="D750" s="20" t="s">
        <v>829</v>
      </c>
      <c r="E750" s="9">
        <f>Source!AT533</f>
        <v>70</v>
      </c>
      <c r="F750" s="22"/>
      <c r="G750" s="21"/>
      <c r="H750" s="9"/>
      <c r="I750" s="9"/>
      <c r="J750" s="22">
        <f>SUM(R744:R749)</f>
        <v>15978.9</v>
      </c>
      <c r="K750" s="22"/>
    </row>
    <row r="751" spans="1:22" ht="14.25" x14ac:dyDescent="0.2">
      <c r="A751" s="19"/>
      <c r="B751" s="19"/>
      <c r="C751" s="19" t="s">
        <v>830</v>
      </c>
      <c r="D751" s="20" t="s">
        <v>829</v>
      </c>
      <c r="E751" s="9">
        <f>Source!AU533</f>
        <v>10</v>
      </c>
      <c r="F751" s="22"/>
      <c r="G751" s="21"/>
      <c r="H751" s="9"/>
      <c r="I751" s="9"/>
      <c r="J751" s="22">
        <f>SUM(T744:T750)</f>
        <v>2282.6999999999998</v>
      </c>
      <c r="K751" s="22"/>
    </row>
    <row r="752" spans="1:22" ht="14.25" x14ac:dyDescent="0.2">
      <c r="A752" s="19"/>
      <c r="B752" s="19"/>
      <c r="C752" s="19" t="s">
        <v>831</v>
      </c>
      <c r="D752" s="20" t="s">
        <v>829</v>
      </c>
      <c r="E752" s="9">
        <f>108</f>
        <v>108</v>
      </c>
      <c r="F752" s="22"/>
      <c r="G752" s="21"/>
      <c r="H752" s="9"/>
      <c r="I752" s="9"/>
      <c r="J752" s="22">
        <f>SUM(V744:V751)</f>
        <v>1.3</v>
      </c>
      <c r="K752" s="22"/>
    </row>
    <row r="753" spans="1:22" ht="14.25" x14ac:dyDescent="0.2">
      <c r="A753" s="19"/>
      <c r="B753" s="19"/>
      <c r="C753" s="19" t="s">
        <v>832</v>
      </c>
      <c r="D753" s="20" t="s">
        <v>833</v>
      </c>
      <c r="E753" s="9">
        <f>Source!AQ533</f>
        <v>1.72</v>
      </c>
      <c r="F753" s="22"/>
      <c r="G753" s="21" t="str">
        <f>Source!DI533</f>
        <v/>
      </c>
      <c r="H753" s="9">
        <f>Source!AV533</f>
        <v>1</v>
      </c>
      <c r="I753" s="9"/>
      <c r="J753" s="22"/>
      <c r="K753" s="22">
        <f>Source!U533</f>
        <v>34.4</v>
      </c>
    </row>
    <row r="754" spans="1:22" ht="15" x14ac:dyDescent="0.25">
      <c r="A754" s="27"/>
      <c r="B754" s="27"/>
      <c r="C754" s="27"/>
      <c r="D754" s="27"/>
      <c r="E754" s="27"/>
      <c r="F754" s="27"/>
      <c r="G754" s="27"/>
      <c r="H754" s="27"/>
      <c r="I754" s="60">
        <f>J746+J747+J749+J750+J751+J752</f>
        <v>41260.699999999997</v>
      </c>
      <c r="J754" s="60"/>
      <c r="K754" s="28">
        <f>IF(Source!I533&lt;&gt;0, ROUND(I754/Source!I533, 2), 0)</f>
        <v>2063.04</v>
      </c>
      <c r="P754" s="25">
        <f>I754</f>
        <v>41260.699999999997</v>
      </c>
    </row>
    <row r="756" spans="1:22" ht="15" x14ac:dyDescent="0.25">
      <c r="A756" s="59" t="str">
        <f>CONCATENATE("Итого по подразделу: ",IF(Source!G536&lt;&gt;"Новый подраздел", Source!G536, ""))</f>
        <v>Итого по подразделу: Кондиционирование</v>
      </c>
      <c r="B756" s="59"/>
      <c r="C756" s="59"/>
      <c r="D756" s="59"/>
      <c r="E756" s="59"/>
      <c r="F756" s="59"/>
      <c r="G756" s="59"/>
      <c r="H756" s="59"/>
      <c r="I756" s="57">
        <f>SUM(P687:P755)</f>
        <v>341952.5400000001</v>
      </c>
      <c r="J756" s="58"/>
      <c r="K756" s="18"/>
    </row>
    <row r="759" spans="1:22" ht="15" x14ac:dyDescent="0.25">
      <c r="A759" s="59" t="str">
        <f>CONCATENATE("Итого по разделу: ",IF(Source!G566&lt;&gt;"Новый раздел", Source!G566, ""))</f>
        <v>Итого по разделу: 3. Вентиляция и кондиционирование</v>
      </c>
      <c r="B759" s="59"/>
      <c r="C759" s="59"/>
      <c r="D759" s="59"/>
      <c r="E759" s="59"/>
      <c r="F759" s="59"/>
      <c r="G759" s="59"/>
      <c r="H759" s="59"/>
      <c r="I759" s="57">
        <f>SUM(P607:P758)</f>
        <v>528402.02000000014</v>
      </c>
      <c r="J759" s="58"/>
      <c r="K759" s="18"/>
    </row>
    <row r="762" spans="1:22" ht="16.5" x14ac:dyDescent="0.25">
      <c r="A762" s="55" t="str">
        <f>CONCATENATE("Раздел: ",IF(Source!G596&lt;&gt;"Новый раздел", Source!G596, ""))</f>
        <v>Раздел: Раздел: 4. Системы электроснабжения</v>
      </c>
      <c r="B762" s="55"/>
      <c r="C762" s="55"/>
      <c r="D762" s="55"/>
      <c r="E762" s="55"/>
      <c r="F762" s="55"/>
      <c r="G762" s="55"/>
      <c r="H762" s="55"/>
      <c r="I762" s="55"/>
      <c r="J762" s="55"/>
      <c r="K762" s="55"/>
    </row>
    <row r="764" spans="1:22" ht="16.5" x14ac:dyDescent="0.25">
      <c r="A764" s="55" t="str">
        <f>CONCATENATE("Подраздел: ",IF(Source!G600&lt;&gt;"Новый подраздел", Source!G600, ""))</f>
        <v>Подраздел: Силовое электрооборудование</v>
      </c>
      <c r="B764" s="55"/>
      <c r="C764" s="55"/>
      <c r="D764" s="55"/>
      <c r="E764" s="55"/>
      <c r="F764" s="55"/>
      <c r="G764" s="55"/>
      <c r="H764" s="55"/>
      <c r="I764" s="55"/>
      <c r="J764" s="55"/>
      <c r="K764" s="55"/>
    </row>
    <row r="766" spans="1:22" ht="15" x14ac:dyDescent="0.25">
      <c r="B766" s="56" t="str">
        <f>Source!G604</f>
        <v>Электрооборудование. Корпус  7.2.1, 7.2.2,7.2.3</v>
      </c>
      <c r="C766" s="56"/>
      <c r="D766" s="56"/>
      <c r="E766" s="56"/>
      <c r="F766" s="56"/>
      <c r="G766" s="56"/>
      <c r="H766" s="56"/>
      <c r="I766" s="56"/>
      <c r="J766" s="56"/>
    </row>
    <row r="767" spans="1:22" ht="71.25" x14ac:dyDescent="0.2">
      <c r="A767" s="19">
        <v>70</v>
      </c>
      <c r="B767" s="19" t="str">
        <f>Source!F605</f>
        <v>1.21-2203-2-5/1</v>
      </c>
      <c r="C767" s="19" t="str">
        <f>Source!G605</f>
        <v>Техническое обслуживание силового распределительного пункта с установочными автоматами, число групп 12/( Щит вводно-распределительный)</v>
      </c>
      <c r="D767" s="20" t="str">
        <f>Source!H605</f>
        <v>шт.</v>
      </c>
      <c r="E767" s="9">
        <f>Source!I605</f>
        <v>3</v>
      </c>
      <c r="F767" s="22"/>
      <c r="G767" s="21"/>
      <c r="H767" s="9"/>
      <c r="I767" s="9"/>
      <c r="J767" s="22"/>
      <c r="K767" s="22"/>
      <c r="Q767">
        <f>ROUND((Source!BZ605/100)*ROUND((Source!AF605*Source!AV605)*Source!I605, 2), 2)</f>
        <v>31121.5</v>
      </c>
      <c r="R767">
        <f>Source!X605</f>
        <v>31121.5</v>
      </c>
      <c r="S767">
        <f>ROUND((Source!CA605/100)*ROUND((Source!AF605*Source!AV605)*Source!I605, 2), 2)</f>
        <v>4445.93</v>
      </c>
      <c r="T767">
        <f>Source!Y605</f>
        <v>4445.93</v>
      </c>
      <c r="U767">
        <f>ROUND((175/100)*ROUND((Source!AE605*Source!AV605)*Source!I605, 2), 2)</f>
        <v>0</v>
      </c>
      <c r="V767">
        <f>ROUND((108/100)*ROUND(Source!CS605*Source!I605, 2), 2)</f>
        <v>0</v>
      </c>
    </row>
    <row r="768" spans="1:22" x14ac:dyDescent="0.2">
      <c r="C768" s="23" t="str">
        <f>"Объем: "&amp;Source!I605&amp;"=1+"&amp;"1+"&amp;"1"</f>
        <v>Объем: 3=1+1+1</v>
      </c>
    </row>
    <row r="769" spans="1:22" ht="14.25" x14ac:dyDescent="0.2">
      <c r="A769" s="19"/>
      <c r="B769" s="19"/>
      <c r="C769" s="19" t="s">
        <v>825</v>
      </c>
      <c r="D769" s="20"/>
      <c r="E769" s="9"/>
      <c r="F769" s="22">
        <f>Source!AO605</f>
        <v>14819.76</v>
      </c>
      <c r="G769" s="21" t="str">
        <f>Source!DG605</f>
        <v/>
      </c>
      <c r="H769" s="9">
        <f>Source!AV605</f>
        <v>1</v>
      </c>
      <c r="I769" s="9">
        <f>IF(Source!BA605&lt;&gt; 0, Source!BA605, 1)</f>
        <v>1</v>
      </c>
      <c r="J769" s="22">
        <f>Source!S605</f>
        <v>44459.28</v>
      </c>
      <c r="K769" s="22"/>
    </row>
    <row r="770" spans="1:22" ht="14.25" x14ac:dyDescent="0.2">
      <c r="A770" s="19"/>
      <c r="B770" s="19"/>
      <c r="C770" s="19" t="s">
        <v>834</v>
      </c>
      <c r="D770" s="20"/>
      <c r="E770" s="9"/>
      <c r="F770" s="22">
        <f>Source!AL605</f>
        <v>205.53</v>
      </c>
      <c r="G770" s="21" t="str">
        <f>Source!DD605</f>
        <v/>
      </c>
      <c r="H770" s="9">
        <f>Source!AW605</f>
        <v>1</v>
      </c>
      <c r="I770" s="9">
        <f>IF(Source!BC605&lt;&gt; 0, Source!BC605, 1)</f>
        <v>1</v>
      </c>
      <c r="J770" s="22">
        <f>Source!P605</f>
        <v>616.59</v>
      </c>
      <c r="K770" s="22"/>
    </row>
    <row r="771" spans="1:22" ht="14.25" x14ac:dyDescent="0.2">
      <c r="A771" s="19"/>
      <c r="B771" s="19"/>
      <c r="C771" s="19" t="s">
        <v>828</v>
      </c>
      <c r="D771" s="20" t="s">
        <v>829</v>
      </c>
      <c r="E771" s="9">
        <f>Source!AT605</f>
        <v>70</v>
      </c>
      <c r="F771" s="22"/>
      <c r="G771" s="21"/>
      <c r="H771" s="9"/>
      <c r="I771" s="9"/>
      <c r="J771" s="22">
        <f>SUM(R767:R770)</f>
        <v>31121.5</v>
      </c>
      <c r="K771" s="22"/>
    </row>
    <row r="772" spans="1:22" ht="14.25" x14ac:dyDescent="0.2">
      <c r="A772" s="19"/>
      <c r="B772" s="19"/>
      <c r="C772" s="19" t="s">
        <v>830</v>
      </c>
      <c r="D772" s="20" t="s">
        <v>829</v>
      </c>
      <c r="E772" s="9">
        <f>Source!AU605</f>
        <v>10</v>
      </c>
      <c r="F772" s="22"/>
      <c r="G772" s="21"/>
      <c r="H772" s="9"/>
      <c r="I772" s="9"/>
      <c r="J772" s="22">
        <f>SUM(T767:T771)</f>
        <v>4445.93</v>
      </c>
      <c r="K772" s="22"/>
    </row>
    <row r="773" spans="1:22" ht="14.25" x14ac:dyDescent="0.2">
      <c r="A773" s="19"/>
      <c r="B773" s="19"/>
      <c r="C773" s="19" t="s">
        <v>832</v>
      </c>
      <c r="D773" s="20" t="s">
        <v>833</v>
      </c>
      <c r="E773" s="9">
        <f>Source!AQ605</f>
        <v>24</v>
      </c>
      <c r="F773" s="22"/>
      <c r="G773" s="21" t="str">
        <f>Source!DI605</f>
        <v/>
      </c>
      <c r="H773" s="9">
        <f>Source!AV605</f>
        <v>1</v>
      </c>
      <c r="I773" s="9"/>
      <c r="J773" s="22"/>
      <c r="K773" s="22">
        <f>Source!U605</f>
        <v>72</v>
      </c>
    </row>
    <row r="774" spans="1:22" ht="15" x14ac:dyDescent="0.25">
      <c r="A774" s="27"/>
      <c r="B774" s="27"/>
      <c r="C774" s="27"/>
      <c r="D774" s="27"/>
      <c r="E774" s="27"/>
      <c r="F774" s="27"/>
      <c r="G774" s="27"/>
      <c r="H774" s="27"/>
      <c r="I774" s="60">
        <f>J769+J770+J771+J772</f>
        <v>80643.299999999988</v>
      </c>
      <c r="J774" s="60"/>
      <c r="K774" s="28">
        <f>IF(Source!I605&lt;&gt;0, ROUND(I774/Source!I605, 2), 0)</f>
        <v>26881.1</v>
      </c>
      <c r="P774" s="25">
        <f>I774</f>
        <v>80643.299999999988</v>
      </c>
    </row>
    <row r="775" spans="1:22" ht="71.25" x14ac:dyDescent="0.2">
      <c r="A775" s="19">
        <v>71</v>
      </c>
      <c r="B775" s="19" t="str">
        <f>Source!F607</f>
        <v>1.21-2203-2-4/1</v>
      </c>
      <c r="C775" s="19" t="str">
        <f>Source!G607</f>
        <v>Техническое обслуживание силового распределительного пункта с установочными автоматами, число групп 10 (Панель пожарных устройств, Щит силовой обогрева кровли )</v>
      </c>
      <c r="D775" s="20" t="str">
        <f>Source!H607</f>
        <v>шт.</v>
      </c>
      <c r="E775" s="9">
        <f>Source!I607</f>
        <v>6</v>
      </c>
      <c r="F775" s="22"/>
      <c r="G775" s="21"/>
      <c r="H775" s="9"/>
      <c r="I775" s="9"/>
      <c r="J775" s="22"/>
      <c r="K775" s="22"/>
      <c r="Q775">
        <f>ROUND((Source!BZ607/100)*ROUND((Source!AF607*Source!AV607)*Source!I607, 2), 2)</f>
        <v>46682.239999999998</v>
      </c>
      <c r="R775">
        <f>Source!X607</f>
        <v>46682.239999999998</v>
      </c>
      <c r="S775">
        <f>ROUND((Source!CA607/100)*ROUND((Source!AF607*Source!AV607)*Source!I607, 2), 2)</f>
        <v>6668.89</v>
      </c>
      <c r="T775">
        <f>Source!Y607</f>
        <v>6668.89</v>
      </c>
      <c r="U775">
        <f>ROUND((175/100)*ROUND((Source!AE607*Source!AV607)*Source!I607, 2), 2)</f>
        <v>0</v>
      </c>
      <c r="V775">
        <f>ROUND((108/100)*ROUND(Source!CS607*Source!I607, 2), 2)</f>
        <v>0</v>
      </c>
    </row>
    <row r="776" spans="1:22" x14ac:dyDescent="0.2">
      <c r="C776" s="23" t="str">
        <f>"Объем: "&amp;Source!I607&amp;"=(1+"&amp;"1)+"&amp;"(1+"&amp;"1)+"&amp;"(1+"&amp;"1)"</f>
        <v>Объем: 6=(1+1)+(1+1)+(1+1)</v>
      </c>
    </row>
    <row r="777" spans="1:22" ht="14.25" x14ac:dyDescent="0.2">
      <c r="A777" s="19"/>
      <c r="B777" s="19"/>
      <c r="C777" s="19" t="s">
        <v>825</v>
      </c>
      <c r="D777" s="20"/>
      <c r="E777" s="9"/>
      <c r="F777" s="22">
        <f>Source!AO607</f>
        <v>11114.82</v>
      </c>
      <c r="G777" s="21" t="str">
        <f>Source!DG607</f>
        <v/>
      </c>
      <c r="H777" s="9">
        <f>Source!AV607</f>
        <v>1</v>
      </c>
      <c r="I777" s="9">
        <f>IF(Source!BA607&lt;&gt; 0, Source!BA607, 1)</f>
        <v>1</v>
      </c>
      <c r="J777" s="22">
        <f>Source!S607</f>
        <v>66688.92</v>
      </c>
      <c r="K777" s="22"/>
    </row>
    <row r="778" spans="1:22" ht="14.25" x14ac:dyDescent="0.2">
      <c r="A778" s="19"/>
      <c r="B778" s="19"/>
      <c r="C778" s="19" t="s">
        <v>834</v>
      </c>
      <c r="D778" s="20"/>
      <c r="E778" s="9"/>
      <c r="F778" s="22">
        <f>Source!AL607</f>
        <v>154.13999999999999</v>
      </c>
      <c r="G778" s="21" t="str">
        <f>Source!DD607</f>
        <v/>
      </c>
      <c r="H778" s="9">
        <f>Source!AW607</f>
        <v>1</v>
      </c>
      <c r="I778" s="9">
        <f>IF(Source!BC607&lt;&gt; 0, Source!BC607, 1)</f>
        <v>1</v>
      </c>
      <c r="J778" s="22">
        <f>Source!P607</f>
        <v>924.84</v>
      </c>
      <c r="K778" s="22"/>
    </row>
    <row r="779" spans="1:22" ht="14.25" x14ac:dyDescent="0.2">
      <c r="A779" s="19"/>
      <c r="B779" s="19"/>
      <c r="C779" s="19" t="s">
        <v>828</v>
      </c>
      <c r="D779" s="20" t="s">
        <v>829</v>
      </c>
      <c r="E779" s="9">
        <f>Source!AT607</f>
        <v>70</v>
      </c>
      <c r="F779" s="22"/>
      <c r="G779" s="21"/>
      <c r="H779" s="9"/>
      <c r="I779" s="9"/>
      <c r="J779" s="22">
        <f>SUM(R775:R778)</f>
        <v>46682.239999999998</v>
      </c>
      <c r="K779" s="22"/>
    </row>
    <row r="780" spans="1:22" ht="14.25" x14ac:dyDescent="0.2">
      <c r="A780" s="19"/>
      <c r="B780" s="19"/>
      <c r="C780" s="19" t="s">
        <v>830</v>
      </c>
      <c r="D780" s="20" t="s">
        <v>829</v>
      </c>
      <c r="E780" s="9">
        <f>Source!AU607</f>
        <v>10</v>
      </c>
      <c r="F780" s="22"/>
      <c r="G780" s="21"/>
      <c r="H780" s="9"/>
      <c r="I780" s="9"/>
      <c r="J780" s="22">
        <f>SUM(T775:T779)</f>
        <v>6668.89</v>
      </c>
      <c r="K780" s="22"/>
    </row>
    <row r="781" spans="1:22" ht="14.25" x14ac:dyDescent="0.2">
      <c r="A781" s="19"/>
      <c r="B781" s="19"/>
      <c r="C781" s="19" t="s">
        <v>832</v>
      </c>
      <c r="D781" s="20" t="s">
        <v>833</v>
      </c>
      <c r="E781" s="9">
        <f>Source!AQ607</f>
        <v>18</v>
      </c>
      <c r="F781" s="22"/>
      <c r="G781" s="21" t="str">
        <f>Source!DI607</f>
        <v/>
      </c>
      <c r="H781" s="9">
        <f>Source!AV607</f>
        <v>1</v>
      </c>
      <c r="I781" s="9"/>
      <c r="J781" s="22"/>
      <c r="K781" s="22">
        <f>Source!U607</f>
        <v>108</v>
      </c>
    </row>
    <row r="782" spans="1:22" ht="15" x14ac:dyDescent="0.25">
      <c r="A782" s="27"/>
      <c r="B782" s="27"/>
      <c r="C782" s="27"/>
      <c r="D782" s="27"/>
      <c r="E782" s="27"/>
      <c r="F782" s="27"/>
      <c r="G782" s="27"/>
      <c r="H782" s="27"/>
      <c r="I782" s="60">
        <f>J777+J778+J779+J780</f>
        <v>120964.89</v>
      </c>
      <c r="J782" s="60"/>
      <c r="K782" s="28">
        <f>IF(Source!I607&lt;&gt;0, ROUND(I782/Source!I607, 2), 0)</f>
        <v>20160.82</v>
      </c>
      <c r="P782" s="25">
        <f>I782</f>
        <v>120964.89</v>
      </c>
    </row>
    <row r="783" spans="1:22" ht="85.5" x14ac:dyDescent="0.2">
      <c r="A783" s="19">
        <v>72</v>
      </c>
      <c r="B783" s="19" t="str">
        <f>Source!F609</f>
        <v>1.21-2203-37-1/1</v>
      </c>
      <c r="C783" s="19" t="str">
        <f>Source!G609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D783" s="20" t="str">
        <f>Source!H609</f>
        <v>шт.</v>
      </c>
      <c r="E783" s="9">
        <f>Source!I609</f>
        <v>6</v>
      </c>
      <c r="F783" s="22"/>
      <c r="G783" s="21"/>
      <c r="H783" s="9"/>
      <c r="I783" s="9"/>
      <c r="J783" s="22"/>
      <c r="K783" s="22"/>
      <c r="Q783">
        <f>ROUND((Source!BZ609/100)*ROUND((Source!AF609*Source!AV609)*Source!I609, 2), 2)</f>
        <v>1416.7</v>
      </c>
      <c r="R783">
        <f>Source!X609</f>
        <v>1416.7</v>
      </c>
      <c r="S783">
        <f>ROUND((Source!CA609/100)*ROUND((Source!AF609*Source!AV609)*Source!I609, 2), 2)</f>
        <v>202.39</v>
      </c>
      <c r="T783">
        <f>Source!Y609</f>
        <v>202.39</v>
      </c>
      <c r="U783">
        <f>ROUND((175/100)*ROUND((Source!AE609*Source!AV609)*Source!I609, 2), 2)</f>
        <v>0</v>
      </c>
      <c r="V783">
        <f>ROUND((108/100)*ROUND(Source!CS609*Source!I609, 2), 2)</f>
        <v>0</v>
      </c>
    </row>
    <row r="784" spans="1:22" x14ac:dyDescent="0.2">
      <c r="C784" s="23" t="str">
        <f>"Объем: "&amp;Source!I609&amp;"=2+"&amp;"2+"&amp;"2"</f>
        <v>Объем: 6=2+2+2</v>
      </c>
    </row>
    <row r="785" spans="1:22" ht="14.25" x14ac:dyDescent="0.2">
      <c r="A785" s="19"/>
      <c r="B785" s="19"/>
      <c r="C785" s="19" t="s">
        <v>825</v>
      </c>
      <c r="D785" s="20"/>
      <c r="E785" s="9"/>
      <c r="F785" s="22">
        <f>Source!AO609</f>
        <v>337.31</v>
      </c>
      <c r="G785" s="21" t="str">
        <f>Source!DG609</f>
        <v/>
      </c>
      <c r="H785" s="9">
        <f>Source!AV609</f>
        <v>1</v>
      </c>
      <c r="I785" s="9">
        <f>IF(Source!BA609&lt;&gt; 0, Source!BA609, 1)</f>
        <v>1</v>
      </c>
      <c r="J785" s="22">
        <f>Source!S609</f>
        <v>2023.86</v>
      </c>
      <c r="K785" s="22"/>
    </row>
    <row r="786" spans="1:22" ht="14.25" x14ac:dyDescent="0.2">
      <c r="A786" s="19"/>
      <c r="B786" s="19"/>
      <c r="C786" s="19" t="s">
        <v>834</v>
      </c>
      <c r="D786" s="20"/>
      <c r="E786" s="9"/>
      <c r="F786" s="22">
        <f>Source!AL609</f>
        <v>1.57</v>
      </c>
      <c r="G786" s="21" t="str">
        <f>Source!DD609</f>
        <v/>
      </c>
      <c r="H786" s="9">
        <f>Source!AW609</f>
        <v>1</v>
      </c>
      <c r="I786" s="9">
        <f>IF(Source!BC609&lt;&gt; 0, Source!BC609, 1)</f>
        <v>1</v>
      </c>
      <c r="J786" s="22">
        <f>Source!P609</f>
        <v>9.42</v>
      </c>
      <c r="K786" s="22"/>
    </row>
    <row r="787" spans="1:22" ht="14.25" x14ac:dyDescent="0.2">
      <c r="A787" s="19"/>
      <c r="B787" s="19"/>
      <c r="C787" s="19" t="s">
        <v>828</v>
      </c>
      <c r="D787" s="20" t="s">
        <v>829</v>
      </c>
      <c r="E787" s="9">
        <f>Source!AT609</f>
        <v>70</v>
      </c>
      <c r="F787" s="22"/>
      <c r="G787" s="21"/>
      <c r="H787" s="9"/>
      <c r="I787" s="9"/>
      <c r="J787" s="22">
        <f>SUM(R783:R786)</f>
        <v>1416.7</v>
      </c>
      <c r="K787" s="22"/>
    </row>
    <row r="788" spans="1:22" ht="14.25" x14ac:dyDescent="0.2">
      <c r="A788" s="19"/>
      <c r="B788" s="19"/>
      <c r="C788" s="19" t="s">
        <v>830</v>
      </c>
      <c r="D788" s="20" t="s">
        <v>829</v>
      </c>
      <c r="E788" s="9">
        <f>Source!AU609</f>
        <v>10</v>
      </c>
      <c r="F788" s="22"/>
      <c r="G788" s="21"/>
      <c r="H788" s="9"/>
      <c r="I788" s="9"/>
      <c r="J788" s="22">
        <f>SUM(T783:T787)</f>
        <v>202.39</v>
      </c>
      <c r="K788" s="22"/>
    </row>
    <row r="789" spans="1:22" ht="14.25" x14ac:dyDescent="0.2">
      <c r="A789" s="19"/>
      <c r="B789" s="19"/>
      <c r="C789" s="19" t="s">
        <v>832</v>
      </c>
      <c r="D789" s="20" t="s">
        <v>833</v>
      </c>
      <c r="E789" s="9">
        <f>Source!AQ609</f>
        <v>0.6</v>
      </c>
      <c r="F789" s="22"/>
      <c r="G789" s="21" t="str">
        <f>Source!DI609</f>
        <v/>
      </c>
      <c r="H789" s="9">
        <f>Source!AV609</f>
        <v>1</v>
      </c>
      <c r="I789" s="9"/>
      <c r="J789" s="22"/>
      <c r="K789" s="22">
        <f>Source!U609</f>
        <v>3.5999999999999996</v>
      </c>
    </row>
    <row r="790" spans="1:22" ht="15" x14ac:dyDescent="0.25">
      <c r="A790" s="27"/>
      <c r="B790" s="27"/>
      <c r="C790" s="27"/>
      <c r="D790" s="27"/>
      <c r="E790" s="27"/>
      <c r="F790" s="27"/>
      <c r="G790" s="27"/>
      <c r="H790" s="27"/>
      <c r="I790" s="60">
        <f>J785+J786+J787+J788</f>
        <v>3652.37</v>
      </c>
      <c r="J790" s="60"/>
      <c r="K790" s="28">
        <f>IF(Source!I609&lt;&gt;0, ROUND(I790/Source!I609, 2), 0)</f>
        <v>608.73</v>
      </c>
      <c r="P790" s="25">
        <f>I790</f>
        <v>3652.37</v>
      </c>
    </row>
    <row r="792" spans="1:22" ht="15" x14ac:dyDescent="0.25">
      <c r="B792" s="56" t="str">
        <f>Source!G612</f>
        <v>Электрооборудование. Корпус  7.2.4</v>
      </c>
      <c r="C792" s="56"/>
      <c r="D792" s="56"/>
      <c r="E792" s="56"/>
      <c r="F792" s="56"/>
      <c r="G792" s="56"/>
      <c r="H792" s="56"/>
      <c r="I792" s="56"/>
      <c r="J792" s="56"/>
    </row>
    <row r="793" spans="1:22" ht="71.25" x14ac:dyDescent="0.2">
      <c r="A793" s="19">
        <v>73</v>
      </c>
      <c r="B793" s="19" t="str">
        <f>Source!F613</f>
        <v>1.21-2203-2-5/1</v>
      </c>
      <c r="C793" s="19" t="str">
        <f>Source!G613</f>
        <v>Техническое обслуживание силового распределительного пункта с установочными автоматами, число групп 12 /( Главный распределительный щит )</v>
      </c>
      <c r="D793" s="20" t="str">
        <f>Source!H613</f>
        <v>шт.</v>
      </c>
      <c r="E793" s="9">
        <f>Source!I613</f>
        <v>1</v>
      </c>
      <c r="F793" s="22"/>
      <c r="G793" s="21"/>
      <c r="H793" s="9"/>
      <c r="I793" s="9"/>
      <c r="J793" s="22"/>
      <c r="K793" s="22"/>
      <c r="Q793">
        <f>ROUND((Source!BZ613/100)*ROUND((Source!AF613*Source!AV613)*Source!I613, 2), 2)</f>
        <v>10373.83</v>
      </c>
      <c r="R793">
        <f>Source!X613</f>
        <v>10373.83</v>
      </c>
      <c r="S793">
        <f>ROUND((Source!CA613/100)*ROUND((Source!AF613*Source!AV613)*Source!I613, 2), 2)</f>
        <v>1481.98</v>
      </c>
      <c r="T793">
        <f>Source!Y613</f>
        <v>1481.98</v>
      </c>
      <c r="U793">
        <f>ROUND((175/100)*ROUND((Source!AE613*Source!AV613)*Source!I613, 2), 2)</f>
        <v>0</v>
      </c>
      <c r="V793">
        <f>ROUND((108/100)*ROUND(Source!CS613*Source!I613, 2), 2)</f>
        <v>0</v>
      </c>
    </row>
    <row r="794" spans="1:22" ht="14.25" x14ac:dyDescent="0.2">
      <c r="A794" s="19"/>
      <c r="B794" s="19"/>
      <c r="C794" s="19" t="s">
        <v>825</v>
      </c>
      <c r="D794" s="20"/>
      <c r="E794" s="9"/>
      <c r="F794" s="22">
        <f>Source!AO613</f>
        <v>14819.76</v>
      </c>
      <c r="G794" s="21" t="str">
        <f>Source!DG613</f>
        <v/>
      </c>
      <c r="H794" s="9">
        <f>Source!AV613</f>
        <v>1</v>
      </c>
      <c r="I794" s="9">
        <f>IF(Source!BA613&lt;&gt; 0, Source!BA613, 1)</f>
        <v>1</v>
      </c>
      <c r="J794" s="22">
        <f>Source!S613</f>
        <v>14819.76</v>
      </c>
      <c r="K794" s="22"/>
    </row>
    <row r="795" spans="1:22" ht="14.25" x14ac:dyDescent="0.2">
      <c r="A795" s="19"/>
      <c r="B795" s="19"/>
      <c r="C795" s="19" t="s">
        <v>834</v>
      </c>
      <c r="D795" s="20"/>
      <c r="E795" s="9"/>
      <c r="F795" s="22">
        <f>Source!AL613</f>
        <v>205.53</v>
      </c>
      <c r="G795" s="21" t="str">
        <f>Source!DD613</f>
        <v/>
      </c>
      <c r="H795" s="9">
        <f>Source!AW613</f>
        <v>1</v>
      </c>
      <c r="I795" s="9">
        <f>IF(Source!BC613&lt;&gt; 0, Source!BC613, 1)</f>
        <v>1</v>
      </c>
      <c r="J795" s="22">
        <f>Source!P613</f>
        <v>205.53</v>
      </c>
      <c r="K795" s="22"/>
    </row>
    <row r="796" spans="1:22" ht="14.25" x14ac:dyDescent="0.2">
      <c r="A796" s="19"/>
      <c r="B796" s="19"/>
      <c r="C796" s="19" t="s">
        <v>828</v>
      </c>
      <c r="D796" s="20" t="s">
        <v>829</v>
      </c>
      <c r="E796" s="9">
        <f>Source!AT613</f>
        <v>70</v>
      </c>
      <c r="F796" s="22"/>
      <c r="G796" s="21"/>
      <c r="H796" s="9"/>
      <c r="I796" s="9"/>
      <c r="J796" s="22">
        <f>SUM(R793:R795)</f>
        <v>10373.83</v>
      </c>
      <c r="K796" s="22"/>
    </row>
    <row r="797" spans="1:22" ht="14.25" x14ac:dyDescent="0.2">
      <c r="A797" s="19"/>
      <c r="B797" s="19"/>
      <c r="C797" s="19" t="s">
        <v>830</v>
      </c>
      <c r="D797" s="20" t="s">
        <v>829</v>
      </c>
      <c r="E797" s="9">
        <f>Source!AU613</f>
        <v>10</v>
      </c>
      <c r="F797" s="22"/>
      <c r="G797" s="21"/>
      <c r="H797" s="9"/>
      <c r="I797" s="9"/>
      <c r="J797" s="22">
        <f>SUM(T793:T796)</f>
        <v>1481.98</v>
      </c>
      <c r="K797" s="22"/>
    </row>
    <row r="798" spans="1:22" ht="14.25" x14ac:dyDescent="0.2">
      <c r="A798" s="19"/>
      <c r="B798" s="19"/>
      <c r="C798" s="19" t="s">
        <v>832</v>
      </c>
      <c r="D798" s="20" t="s">
        <v>833</v>
      </c>
      <c r="E798" s="9">
        <f>Source!AQ613</f>
        <v>24</v>
      </c>
      <c r="F798" s="22"/>
      <c r="G798" s="21" t="str">
        <f>Source!DI613</f>
        <v/>
      </c>
      <c r="H798" s="9">
        <f>Source!AV613</f>
        <v>1</v>
      </c>
      <c r="I798" s="9"/>
      <c r="J798" s="22"/>
      <c r="K798" s="22">
        <f>Source!U613</f>
        <v>24</v>
      </c>
    </row>
    <row r="799" spans="1:22" ht="15" x14ac:dyDescent="0.25">
      <c r="A799" s="27"/>
      <c r="B799" s="27"/>
      <c r="C799" s="27"/>
      <c r="D799" s="27"/>
      <c r="E799" s="27"/>
      <c r="F799" s="27"/>
      <c r="G799" s="27"/>
      <c r="H799" s="27"/>
      <c r="I799" s="60">
        <f>J794+J795+J796+J797</f>
        <v>26881.100000000002</v>
      </c>
      <c r="J799" s="60"/>
      <c r="K799" s="28">
        <f>IF(Source!I613&lt;&gt;0, ROUND(I799/Source!I613, 2), 0)</f>
        <v>26881.1</v>
      </c>
      <c r="P799" s="25">
        <f>I799</f>
        <v>26881.100000000002</v>
      </c>
    </row>
    <row r="800" spans="1:22" ht="71.25" x14ac:dyDescent="0.2">
      <c r="A800" s="19">
        <v>74</v>
      </c>
      <c r="B800" s="19" t="str">
        <f>Source!F615</f>
        <v>1.21-2203-2-4/1</v>
      </c>
      <c r="C800" s="19" t="str">
        <f>Source!G615</f>
        <v>Техническое обслуживание силового распределительного пункта с установочными автоматами, число групп 10 /Вводно-распределительное устройство</v>
      </c>
      <c r="D800" s="20" t="str">
        <f>Source!H615</f>
        <v>шт.</v>
      </c>
      <c r="E800" s="9">
        <f>Source!I615</f>
        <v>1</v>
      </c>
      <c r="F800" s="22"/>
      <c r="G800" s="21"/>
      <c r="H800" s="9"/>
      <c r="I800" s="9"/>
      <c r="J800" s="22"/>
      <c r="K800" s="22"/>
      <c r="Q800">
        <f>ROUND((Source!BZ615/100)*ROUND((Source!AF615*Source!AV615)*Source!I615, 2), 2)</f>
        <v>7780.37</v>
      </c>
      <c r="R800">
        <f>Source!X615</f>
        <v>7780.37</v>
      </c>
      <c r="S800">
        <f>ROUND((Source!CA615/100)*ROUND((Source!AF615*Source!AV615)*Source!I615, 2), 2)</f>
        <v>1111.48</v>
      </c>
      <c r="T800">
        <f>Source!Y615</f>
        <v>1111.48</v>
      </c>
      <c r="U800">
        <f>ROUND((175/100)*ROUND((Source!AE615*Source!AV615)*Source!I615, 2), 2)</f>
        <v>0</v>
      </c>
      <c r="V800">
        <f>ROUND((108/100)*ROUND(Source!CS615*Source!I615, 2), 2)</f>
        <v>0</v>
      </c>
    </row>
    <row r="801" spans="1:22" ht="14.25" x14ac:dyDescent="0.2">
      <c r="A801" s="19"/>
      <c r="B801" s="19"/>
      <c r="C801" s="19" t="s">
        <v>825</v>
      </c>
      <c r="D801" s="20"/>
      <c r="E801" s="9"/>
      <c r="F801" s="22">
        <f>Source!AO615</f>
        <v>11114.82</v>
      </c>
      <c r="G801" s="21" t="str">
        <f>Source!DG615</f>
        <v/>
      </c>
      <c r="H801" s="9">
        <f>Source!AV615</f>
        <v>1</v>
      </c>
      <c r="I801" s="9">
        <f>IF(Source!BA615&lt;&gt; 0, Source!BA615, 1)</f>
        <v>1</v>
      </c>
      <c r="J801" s="22">
        <f>Source!S615</f>
        <v>11114.82</v>
      </c>
      <c r="K801" s="22"/>
    </row>
    <row r="802" spans="1:22" ht="14.25" x14ac:dyDescent="0.2">
      <c r="A802" s="19"/>
      <c r="B802" s="19"/>
      <c r="C802" s="19" t="s">
        <v>834</v>
      </c>
      <c r="D802" s="20"/>
      <c r="E802" s="9"/>
      <c r="F802" s="22">
        <f>Source!AL615</f>
        <v>154.13999999999999</v>
      </c>
      <c r="G802" s="21" t="str">
        <f>Source!DD615</f>
        <v/>
      </c>
      <c r="H802" s="9">
        <f>Source!AW615</f>
        <v>1</v>
      </c>
      <c r="I802" s="9">
        <f>IF(Source!BC615&lt;&gt; 0, Source!BC615, 1)</f>
        <v>1</v>
      </c>
      <c r="J802" s="22">
        <f>Source!P615</f>
        <v>154.13999999999999</v>
      </c>
      <c r="K802" s="22"/>
    </row>
    <row r="803" spans="1:22" ht="14.25" x14ac:dyDescent="0.2">
      <c r="A803" s="19"/>
      <c r="B803" s="19"/>
      <c r="C803" s="19" t="s">
        <v>828</v>
      </c>
      <c r="D803" s="20" t="s">
        <v>829</v>
      </c>
      <c r="E803" s="9">
        <f>Source!AT615</f>
        <v>70</v>
      </c>
      <c r="F803" s="22"/>
      <c r="G803" s="21"/>
      <c r="H803" s="9"/>
      <c r="I803" s="9"/>
      <c r="J803" s="22">
        <f>SUM(R800:R802)</f>
        <v>7780.37</v>
      </c>
      <c r="K803" s="22"/>
    </row>
    <row r="804" spans="1:22" ht="14.25" x14ac:dyDescent="0.2">
      <c r="A804" s="19"/>
      <c r="B804" s="19"/>
      <c r="C804" s="19" t="s">
        <v>830</v>
      </c>
      <c r="D804" s="20" t="s">
        <v>829</v>
      </c>
      <c r="E804" s="9">
        <f>Source!AU615</f>
        <v>10</v>
      </c>
      <c r="F804" s="22"/>
      <c r="G804" s="21"/>
      <c r="H804" s="9"/>
      <c r="I804" s="9"/>
      <c r="J804" s="22">
        <f>SUM(T800:T803)</f>
        <v>1111.48</v>
      </c>
      <c r="K804" s="22"/>
    </row>
    <row r="805" spans="1:22" ht="14.25" x14ac:dyDescent="0.2">
      <c r="A805" s="19"/>
      <c r="B805" s="19"/>
      <c r="C805" s="19" t="s">
        <v>832</v>
      </c>
      <c r="D805" s="20" t="s">
        <v>833</v>
      </c>
      <c r="E805" s="9">
        <f>Source!AQ615</f>
        <v>18</v>
      </c>
      <c r="F805" s="22"/>
      <c r="G805" s="21" t="str">
        <f>Source!DI615</f>
        <v/>
      </c>
      <c r="H805" s="9">
        <f>Source!AV615</f>
        <v>1</v>
      </c>
      <c r="I805" s="9"/>
      <c r="J805" s="22"/>
      <c r="K805" s="22">
        <f>Source!U615</f>
        <v>18</v>
      </c>
    </row>
    <row r="806" spans="1:22" ht="15" x14ac:dyDescent="0.25">
      <c r="A806" s="27"/>
      <c r="B806" s="27"/>
      <c r="C806" s="27"/>
      <c r="D806" s="27"/>
      <c r="E806" s="27"/>
      <c r="F806" s="27"/>
      <c r="G806" s="27"/>
      <c r="H806" s="27"/>
      <c r="I806" s="60">
        <f>J801+J802+J803+J804</f>
        <v>20160.809999999998</v>
      </c>
      <c r="J806" s="60"/>
      <c r="K806" s="28">
        <f>IF(Source!I615&lt;&gt;0, ROUND(I806/Source!I615, 2), 0)</f>
        <v>20160.810000000001</v>
      </c>
      <c r="P806" s="25">
        <f>I806</f>
        <v>20160.809999999998</v>
      </c>
    </row>
    <row r="807" spans="1:22" ht="71.25" x14ac:dyDescent="0.2">
      <c r="A807" s="19">
        <v>75</v>
      </c>
      <c r="B807" s="19" t="str">
        <f>Source!F617</f>
        <v>1.21-2203-2-4/1</v>
      </c>
      <c r="C807" s="19" t="str">
        <f>Source!G617</f>
        <v>Техническое обслуживание силового распределительного пункта с установочными автоматами, число групп 10 (Панель пожарных устройств, Щит силовой обогрева кровли )</v>
      </c>
      <c r="D807" s="20" t="str">
        <f>Source!H617</f>
        <v>шт.</v>
      </c>
      <c r="E807" s="9">
        <f>Source!I617</f>
        <v>1</v>
      </c>
      <c r="F807" s="22"/>
      <c r="G807" s="21"/>
      <c r="H807" s="9"/>
      <c r="I807" s="9"/>
      <c r="J807" s="22"/>
      <c r="K807" s="22"/>
      <c r="Q807">
        <f>ROUND((Source!BZ617/100)*ROUND((Source!AF617*Source!AV617)*Source!I617, 2), 2)</f>
        <v>7780.37</v>
      </c>
      <c r="R807">
        <f>Source!X617</f>
        <v>7780.37</v>
      </c>
      <c r="S807">
        <f>ROUND((Source!CA617/100)*ROUND((Source!AF617*Source!AV617)*Source!I617, 2), 2)</f>
        <v>1111.48</v>
      </c>
      <c r="T807">
        <f>Source!Y617</f>
        <v>1111.48</v>
      </c>
      <c r="U807">
        <f>ROUND((175/100)*ROUND((Source!AE617*Source!AV617)*Source!I617, 2), 2)</f>
        <v>0</v>
      </c>
      <c r="V807">
        <f>ROUND((108/100)*ROUND(Source!CS617*Source!I617, 2), 2)</f>
        <v>0</v>
      </c>
    </row>
    <row r="808" spans="1:22" ht="14.25" x14ac:dyDescent="0.2">
      <c r="A808" s="19"/>
      <c r="B808" s="19"/>
      <c r="C808" s="19" t="s">
        <v>825</v>
      </c>
      <c r="D808" s="20"/>
      <c r="E808" s="9"/>
      <c r="F808" s="22">
        <f>Source!AO617</f>
        <v>11114.82</v>
      </c>
      <c r="G808" s="21" t="str">
        <f>Source!DG617</f>
        <v/>
      </c>
      <c r="H808" s="9">
        <f>Source!AV617</f>
        <v>1</v>
      </c>
      <c r="I808" s="9">
        <f>IF(Source!BA617&lt;&gt; 0, Source!BA617, 1)</f>
        <v>1</v>
      </c>
      <c r="J808" s="22">
        <f>Source!S617</f>
        <v>11114.82</v>
      </c>
      <c r="K808" s="22"/>
    </row>
    <row r="809" spans="1:22" ht="14.25" x14ac:dyDescent="0.2">
      <c r="A809" s="19"/>
      <c r="B809" s="19"/>
      <c r="C809" s="19" t="s">
        <v>834</v>
      </c>
      <c r="D809" s="20"/>
      <c r="E809" s="9"/>
      <c r="F809" s="22">
        <f>Source!AL617</f>
        <v>154.13999999999999</v>
      </c>
      <c r="G809" s="21" t="str">
        <f>Source!DD617</f>
        <v/>
      </c>
      <c r="H809" s="9">
        <f>Source!AW617</f>
        <v>1</v>
      </c>
      <c r="I809" s="9">
        <f>IF(Source!BC617&lt;&gt; 0, Source!BC617, 1)</f>
        <v>1</v>
      </c>
      <c r="J809" s="22">
        <f>Source!P617</f>
        <v>154.13999999999999</v>
      </c>
      <c r="K809" s="22"/>
    </row>
    <row r="810" spans="1:22" ht="14.25" x14ac:dyDescent="0.2">
      <c r="A810" s="19"/>
      <c r="B810" s="19"/>
      <c r="C810" s="19" t="s">
        <v>828</v>
      </c>
      <c r="D810" s="20" t="s">
        <v>829</v>
      </c>
      <c r="E810" s="9">
        <f>Source!AT617</f>
        <v>70</v>
      </c>
      <c r="F810" s="22"/>
      <c r="G810" s="21"/>
      <c r="H810" s="9"/>
      <c r="I810" s="9"/>
      <c r="J810" s="22">
        <f>SUM(R807:R809)</f>
        <v>7780.37</v>
      </c>
      <c r="K810" s="22"/>
    </row>
    <row r="811" spans="1:22" ht="14.25" x14ac:dyDescent="0.2">
      <c r="A811" s="19"/>
      <c r="B811" s="19"/>
      <c r="C811" s="19" t="s">
        <v>830</v>
      </c>
      <c r="D811" s="20" t="s">
        <v>829</v>
      </c>
      <c r="E811" s="9">
        <f>Source!AU617</f>
        <v>10</v>
      </c>
      <c r="F811" s="22"/>
      <c r="G811" s="21"/>
      <c r="H811" s="9"/>
      <c r="I811" s="9"/>
      <c r="J811" s="22">
        <f>SUM(T807:T810)</f>
        <v>1111.48</v>
      </c>
      <c r="K811" s="22"/>
    </row>
    <row r="812" spans="1:22" ht="14.25" x14ac:dyDescent="0.2">
      <c r="A812" s="19"/>
      <c r="B812" s="19"/>
      <c r="C812" s="19" t="s">
        <v>832</v>
      </c>
      <c r="D812" s="20" t="s">
        <v>833</v>
      </c>
      <c r="E812" s="9">
        <f>Source!AQ617</f>
        <v>18</v>
      </c>
      <c r="F812" s="22"/>
      <c r="G812" s="21" t="str">
        <f>Source!DI617</f>
        <v/>
      </c>
      <c r="H812" s="9">
        <f>Source!AV617</f>
        <v>1</v>
      </c>
      <c r="I812" s="9"/>
      <c r="J812" s="22"/>
      <c r="K812" s="22">
        <f>Source!U617</f>
        <v>18</v>
      </c>
    </row>
    <row r="813" spans="1:22" ht="15" x14ac:dyDescent="0.25">
      <c r="A813" s="27"/>
      <c r="B813" s="27"/>
      <c r="C813" s="27"/>
      <c r="D813" s="27"/>
      <c r="E813" s="27"/>
      <c r="F813" s="27"/>
      <c r="G813" s="27"/>
      <c r="H813" s="27"/>
      <c r="I813" s="60">
        <f>J808+J809+J810+J811</f>
        <v>20160.809999999998</v>
      </c>
      <c r="J813" s="60"/>
      <c r="K813" s="28">
        <f>IF(Source!I617&lt;&gt;0, ROUND(I813/Source!I617, 2), 0)</f>
        <v>20160.810000000001</v>
      </c>
      <c r="P813" s="25">
        <f>I813</f>
        <v>20160.809999999998</v>
      </c>
    </row>
    <row r="814" spans="1:22" ht="85.5" x14ac:dyDescent="0.2">
      <c r="A814" s="19">
        <v>76</v>
      </c>
      <c r="B814" s="19" t="str">
        <f>Source!F619</f>
        <v>1.21-2203-37-1/1</v>
      </c>
      <c r="C814" s="19" t="str">
        <f>Source!G619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D814" s="20" t="str">
        <f>Source!H619</f>
        <v>шт.</v>
      </c>
      <c r="E814" s="9">
        <f>Source!I619</f>
        <v>6</v>
      </c>
      <c r="F814" s="22"/>
      <c r="G814" s="21"/>
      <c r="H814" s="9"/>
      <c r="I814" s="9"/>
      <c r="J814" s="22"/>
      <c r="K814" s="22"/>
      <c r="Q814">
        <f>ROUND((Source!BZ619/100)*ROUND((Source!AF619*Source!AV619)*Source!I619, 2), 2)</f>
        <v>1416.7</v>
      </c>
      <c r="R814">
        <f>Source!X619</f>
        <v>1416.7</v>
      </c>
      <c r="S814">
        <f>ROUND((Source!CA619/100)*ROUND((Source!AF619*Source!AV619)*Source!I619, 2), 2)</f>
        <v>202.39</v>
      </c>
      <c r="T814">
        <f>Source!Y619</f>
        <v>202.39</v>
      </c>
      <c r="U814">
        <f>ROUND((175/100)*ROUND((Source!AE619*Source!AV619)*Source!I619, 2), 2)</f>
        <v>0</v>
      </c>
      <c r="V814">
        <f>ROUND((108/100)*ROUND(Source!CS619*Source!I619, 2), 2)</f>
        <v>0</v>
      </c>
    </row>
    <row r="815" spans="1:22" x14ac:dyDescent="0.2">
      <c r="C815" s="23" t="str">
        <f>"Объем: "&amp;Source!I619&amp;"=2+"&amp;"2+"&amp;"2"</f>
        <v>Объем: 6=2+2+2</v>
      </c>
    </row>
    <row r="816" spans="1:22" ht="14.25" x14ac:dyDescent="0.2">
      <c r="A816" s="19"/>
      <c r="B816" s="19"/>
      <c r="C816" s="19" t="s">
        <v>825</v>
      </c>
      <c r="D816" s="20"/>
      <c r="E816" s="9"/>
      <c r="F816" s="22">
        <f>Source!AO619</f>
        <v>337.31</v>
      </c>
      <c r="G816" s="21" t="str">
        <f>Source!DG619</f>
        <v/>
      </c>
      <c r="H816" s="9">
        <f>Source!AV619</f>
        <v>1</v>
      </c>
      <c r="I816" s="9">
        <f>IF(Source!BA619&lt;&gt; 0, Source!BA619, 1)</f>
        <v>1</v>
      </c>
      <c r="J816" s="22">
        <f>Source!S619</f>
        <v>2023.86</v>
      </c>
      <c r="K816" s="22"/>
    </row>
    <row r="817" spans="1:22" ht="14.25" x14ac:dyDescent="0.2">
      <c r="A817" s="19"/>
      <c r="B817" s="19"/>
      <c r="C817" s="19" t="s">
        <v>834</v>
      </c>
      <c r="D817" s="20"/>
      <c r="E817" s="9"/>
      <c r="F817" s="22">
        <f>Source!AL619</f>
        <v>1.57</v>
      </c>
      <c r="G817" s="21" t="str">
        <f>Source!DD619</f>
        <v/>
      </c>
      <c r="H817" s="9">
        <f>Source!AW619</f>
        <v>1</v>
      </c>
      <c r="I817" s="9">
        <f>IF(Source!BC619&lt;&gt; 0, Source!BC619, 1)</f>
        <v>1</v>
      </c>
      <c r="J817" s="22">
        <f>Source!P619</f>
        <v>9.42</v>
      </c>
      <c r="K817" s="22"/>
    </row>
    <row r="818" spans="1:22" ht="14.25" x14ac:dyDescent="0.2">
      <c r="A818" s="19"/>
      <c r="B818" s="19"/>
      <c r="C818" s="19" t="s">
        <v>828</v>
      </c>
      <c r="D818" s="20" t="s">
        <v>829</v>
      </c>
      <c r="E818" s="9">
        <f>Source!AT619</f>
        <v>70</v>
      </c>
      <c r="F818" s="22"/>
      <c r="G818" s="21"/>
      <c r="H818" s="9"/>
      <c r="I818" s="9"/>
      <c r="J818" s="22">
        <f>SUM(R814:R817)</f>
        <v>1416.7</v>
      </c>
      <c r="K818" s="22"/>
    </row>
    <row r="819" spans="1:22" ht="14.25" x14ac:dyDescent="0.2">
      <c r="A819" s="19"/>
      <c r="B819" s="19"/>
      <c r="C819" s="19" t="s">
        <v>830</v>
      </c>
      <c r="D819" s="20" t="s">
        <v>829</v>
      </c>
      <c r="E819" s="9">
        <f>Source!AU619</f>
        <v>10</v>
      </c>
      <c r="F819" s="22"/>
      <c r="G819" s="21"/>
      <c r="H819" s="9"/>
      <c r="I819" s="9"/>
      <c r="J819" s="22">
        <f>SUM(T814:T818)</f>
        <v>202.39</v>
      </c>
      <c r="K819" s="22"/>
    </row>
    <row r="820" spans="1:22" ht="14.25" x14ac:dyDescent="0.2">
      <c r="A820" s="19"/>
      <c r="B820" s="19"/>
      <c r="C820" s="19" t="s">
        <v>832</v>
      </c>
      <c r="D820" s="20" t="s">
        <v>833</v>
      </c>
      <c r="E820" s="9">
        <f>Source!AQ619</f>
        <v>0.6</v>
      </c>
      <c r="F820" s="22"/>
      <c r="G820" s="21" t="str">
        <f>Source!DI619</f>
        <v/>
      </c>
      <c r="H820" s="9">
        <f>Source!AV619</f>
        <v>1</v>
      </c>
      <c r="I820" s="9"/>
      <c r="J820" s="22"/>
      <c r="K820" s="22">
        <f>Source!U619</f>
        <v>3.5999999999999996</v>
      </c>
    </row>
    <row r="821" spans="1:22" ht="15" x14ac:dyDescent="0.25">
      <c r="A821" s="27"/>
      <c r="B821" s="27"/>
      <c r="C821" s="27"/>
      <c r="D821" s="27"/>
      <c r="E821" s="27"/>
      <c r="F821" s="27"/>
      <c r="G821" s="27"/>
      <c r="H821" s="27"/>
      <c r="I821" s="60">
        <f>J816+J817+J818+J819</f>
        <v>3652.37</v>
      </c>
      <c r="J821" s="60"/>
      <c r="K821" s="28">
        <f>IF(Source!I619&lt;&gt;0, ROUND(I821/Source!I619, 2), 0)</f>
        <v>608.73</v>
      </c>
      <c r="P821" s="25">
        <f>I821</f>
        <v>3652.37</v>
      </c>
    </row>
    <row r="823" spans="1:22" ht="15" x14ac:dyDescent="0.25">
      <c r="B823" s="56" t="str">
        <f>Source!G622</f>
        <v>Электроустановочные изделия. Корпус  Корпус  7.2.1, 7.2.2, 7.2.3, 7.2.4</v>
      </c>
      <c r="C823" s="56"/>
      <c r="D823" s="56"/>
      <c r="E823" s="56"/>
      <c r="F823" s="56"/>
      <c r="G823" s="56"/>
      <c r="H823" s="56"/>
      <c r="I823" s="56"/>
      <c r="J823" s="56"/>
    </row>
    <row r="824" spans="1:22" ht="71.25" x14ac:dyDescent="0.2">
      <c r="A824" s="19">
        <v>77</v>
      </c>
      <c r="B824" s="19" t="str">
        <f>Source!F624</f>
        <v>1.21-2303-37-1/1</v>
      </c>
      <c r="C824" s="19" t="str">
        <f>Source!G624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D824" s="20" t="str">
        <f>Source!H624</f>
        <v>10 шт.</v>
      </c>
      <c r="E824" s="9">
        <f>Source!I624</f>
        <v>137.4</v>
      </c>
      <c r="F824" s="22"/>
      <c r="G824" s="21"/>
      <c r="H824" s="9"/>
      <c r="I824" s="9"/>
      <c r="J824" s="22"/>
      <c r="K824" s="22"/>
      <c r="Q824">
        <f>ROUND((Source!BZ624/100)*ROUND((Source!AF624*Source!AV624)*Source!I624, 2), 2)</f>
        <v>10690.41</v>
      </c>
      <c r="R824">
        <f>Source!X624</f>
        <v>10690.41</v>
      </c>
      <c r="S824">
        <f>ROUND((Source!CA624/100)*ROUND((Source!AF624*Source!AV624)*Source!I624, 2), 2)</f>
        <v>1527.2</v>
      </c>
      <c r="T824">
        <f>Source!Y624</f>
        <v>1527.2</v>
      </c>
      <c r="U824">
        <f>ROUND((175/100)*ROUND((Source!AE624*Source!AV624)*Source!I624, 2), 2)</f>
        <v>0</v>
      </c>
      <c r="V824">
        <f>ROUND((108/100)*ROUND(Source!CS624*Source!I624, 2), 2)</f>
        <v>0</v>
      </c>
    </row>
    <row r="825" spans="1:22" x14ac:dyDescent="0.2">
      <c r="C825" s="23" t="str">
        <f>"Объем: "&amp;Source!I624&amp;"=(9+"&amp;"360+"&amp;"53+"&amp;"5+"&amp;"7+"&amp;"23+"&amp;"1)*"&amp;"3/"&amp;"10"</f>
        <v>Объем: 137,4=(9+360+53+5+7+23+1)*3/10</v>
      </c>
    </row>
    <row r="826" spans="1:22" ht="14.25" x14ac:dyDescent="0.2">
      <c r="A826" s="19"/>
      <c r="B826" s="19"/>
      <c r="C826" s="19" t="s">
        <v>825</v>
      </c>
      <c r="D826" s="20"/>
      <c r="E826" s="9"/>
      <c r="F826" s="22">
        <f>Source!AO624</f>
        <v>111.15</v>
      </c>
      <c r="G826" s="21" t="str">
        <f>Source!DG624</f>
        <v/>
      </c>
      <c r="H826" s="9">
        <f>Source!AV624</f>
        <v>1</v>
      </c>
      <c r="I826" s="9">
        <f>IF(Source!BA624&lt;&gt; 0, Source!BA624, 1)</f>
        <v>1</v>
      </c>
      <c r="J826" s="22">
        <f>Source!S624</f>
        <v>15272.01</v>
      </c>
      <c r="K826" s="22"/>
    </row>
    <row r="827" spans="1:22" ht="14.25" x14ac:dyDescent="0.2">
      <c r="A827" s="19"/>
      <c r="B827" s="19"/>
      <c r="C827" s="19" t="s">
        <v>834</v>
      </c>
      <c r="D827" s="20"/>
      <c r="E827" s="9"/>
      <c r="F827" s="22">
        <f>Source!AL624</f>
        <v>6.3</v>
      </c>
      <c r="G827" s="21" t="str">
        <f>Source!DD624</f>
        <v/>
      </c>
      <c r="H827" s="9">
        <f>Source!AW624</f>
        <v>1</v>
      </c>
      <c r="I827" s="9">
        <f>IF(Source!BC624&lt;&gt; 0, Source!BC624, 1)</f>
        <v>1</v>
      </c>
      <c r="J827" s="22">
        <f>Source!P624</f>
        <v>865.62</v>
      </c>
      <c r="K827" s="22"/>
    </row>
    <row r="828" spans="1:22" ht="14.25" x14ac:dyDescent="0.2">
      <c r="A828" s="19"/>
      <c r="B828" s="19"/>
      <c r="C828" s="19" t="s">
        <v>828</v>
      </c>
      <c r="D828" s="20" t="s">
        <v>829</v>
      </c>
      <c r="E828" s="9">
        <f>Source!AT624</f>
        <v>70</v>
      </c>
      <c r="F828" s="22"/>
      <c r="G828" s="21"/>
      <c r="H828" s="9"/>
      <c r="I828" s="9"/>
      <c r="J828" s="22">
        <f>SUM(R824:R827)</f>
        <v>10690.41</v>
      </c>
      <c r="K828" s="22"/>
    </row>
    <row r="829" spans="1:22" ht="14.25" x14ac:dyDescent="0.2">
      <c r="A829" s="19"/>
      <c r="B829" s="19"/>
      <c r="C829" s="19" t="s">
        <v>830</v>
      </c>
      <c r="D829" s="20" t="s">
        <v>829</v>
      </c>
      <c r="E829" s="9">
        <f>Source!AU624</f>
        <v>10</v>
      </c>
      <c r="F829" s="22"/>
      <c r="G829" s="21"/>
      <c r="H829" s="9"/>
      <c r="I829" s="9"/>
      <c r="J829" s="22">
        <f>SUM(T824:T828)</f>
        <v>1527.2</v>
      </c>
      <c r="K829" s="22"/>
    </row>
    <row r="830" spans="1:22" ht="14.25" x14ac:dyDescent="0.2">
      <c r="A830" s="19"/>
      <c r="B830" s="19"/>
      <c r="C830" s="19" t="s">
        <v>832</v>
      </c>
      <c r="D830" s="20" t="s">
        <v>833</v>
      </c>
      <c r="E830" s="9">
        <f>Source!AQ624</f>
        <v>0.18</v>
      </c>
      <c r="F830" s="22"/>
      <c r="G830" s="21" t="str">
        <f>Source!DI624</f>
        <v/>
      </c>
      <c r="H830" s="9">
        <f>Source!AV624</f>
        <v>1</v>
      </c>
      <c r="I830" s="9"/>
      <c r="J830" s="22"/>
      <c r="K830" s="22">
        <f>Source!U624</f>
        <v>24.731999999999999</v>
      </c>
    </row>
    <row r="831" spans="1:22" ht="15" x14ac:dyDescent="0.25">
      <c r="A831" s="27"/>
      <c r="B831" s="27"/>
      <c r="C831" s="27"/>
      <c r="D831" s="27"/>
      <c r="E831" s="27"/>
      <c r="F831" s="27"/>
      <c r="G831" s="27"/>
      <c r="H831" s="27"/>
      <c r="I831" s="60">
        <f>J826+J827+J828+J829</f>
        <v>28355.24</v>
      </c>
      <c r="J831" s="60"/>
      <c r="K831" s="28">
        <f>IF(Source!I624&lt;&gt;0, ROUND(I831/Source!I624, 2), 0)</f>
        <v>206.37</v>
      </c>
      <c r="P831" s="25">
        <f>I831</f>
        <v>28355.24</v>
      </c>
    </row>
    <row r="832" spans="1:22" ht="28.5" x14ac:dyDescent="0.2">
      <c r="A832" s="19">
        <v>78</v>
      </c>
      <c r="B832" s="19" t="str">
        <f>Source!F626</f>
        <v>1.23-2303-15-1/1</v>
      </c>
      <c r="C832" s="19" t="str">
        <f>Source!G626</f>
        <v>Техническое обслуживание микропроцессорного терморегулятора</v>
      </c>
      <c r="D832" s="20" t="str">
        <f>Source!H626</f>
        <v>шт.</v>
      </c>
      <c r="E832" s="9">
        <f>Source!I626</f>
        <v>72</v>
      </c>
      <c r="F832" s="22"/>
      <c r="G832" s="21"/>
      <c r="H832" s="9"/>
      <c r="I832" s="9"/>
      <c r="J832" s="22"/>
      <c r="K832" s="22"/>
      <c r="Q832">
        <f>ROUND((Source!BZ626/100)*ROUND((Source!AF626*Source!AV626)*Source!I626, 2), 2)</f>
        <v>33978.67</v>
      </c>
      <c r="R832">
        <f>Source!X626</f>
        <v>33978.67</v>
      </c>
      <c r="S832">
        <f>ROUND((Source!CA626/100)*ROUND((Source!AF626*Source!AV626)*Source!I626, 2), 2)</f>
        <v>4854.1000000000004</v>
      </c>
      <c r="T832">
        <f>Source!Y626</f>
        <v>4854.1000000000004</v>
      </c>
      <c r="U832">
        <f>ROUND((175/100)*ROUND((Source!AE626*Source!AV626)*Source!I626, 2), 2)</f>
        <v>0</v>
      </c>
      <c r="V832">
        <f>ROUND((108/100)*ROUND(Source!CS626*Source!I626, 2), 2)</f>
        <v>0</v>
      </c>
    </row>
    <row r="833" spans="1:22" x14ac:dyDescent="0.2">
      <c r="C833" s="23" t="str">
        <f>"Объем: "&amp;Source!I626&amp;"=24+"&amp;"24+"&amp;"24"</f>
        <v>Объем: 72=24+24+24</v>
      </c>
    </row>
    <row r="834" spans="1:22" ht="14.25" x14ac:dyDescent="0.2">
      <c r="A834" s="19"/>
      <c r="B834" s="19"/>
      <c r="C834" s="19" t="s">
        <v>825</v>
      </c>
      <c r="D834" s="20"/>
      <c r="E834" s="9"/>
      <c r="F834" s="22">
        <f>Source!AO626</f>
        <v>674.18</v>
      </c>
      <c r="G834" s="21" t="str">
        <f>Source!DG626</f>
        <v/>
      </c>
      <c r="H834" s="9">
        <f>Source!AV626</f>
        <v>1</v>
      </c>
      <c r="I834" s="9">
        <f>IF(Source!BA626&lt;&gt; 0, Source!BA626, 1)</f>
        <v>1</v>
      </c>
      <c r="J834" s="22">
        <f>Source!S626</f>
        <v>48540.959999999999</v>
      </c>
      <c r="K834" s="22"/>
    </row>
    <row r="835" spans="1:22" ht="14.25" x14ac:dyDescent="0.2">
      <c r="A835" s="19"/>
      <c r="B835" s="19"/>
      <c r="C835" s="19" t="s">
        <v>834</v>
      </c>
      <c r="D835" s="20"/>
      <c r="E835" s="9"/>
      <c r="F835" s="22">
        <f>Source!AL626</f>
        <v>2.44</v>
      </c>
      <c r="G835" s="21" t="str">
        <f>Source!DD626</f>
        <v/>
      </c>
      <c r="H835" s="9">
        <f>Source!AW626</f>
        <v>1</v>
      </c>
      <c r="I835" s="9">
        <f>IF(Source!BC626&lt;&gt; 0, Source!BC626, 1)</f>
        <v>1</v>
      </c>
      <c r="J835" s="22">
        <f>Source!P626</f>
        <v>175.68</v>
      </c>
      <c r="K835" s="22"/>
    </row>
    <row r="836" spans="1:22" ht="14.25" x14ac:dyDescent="0.2">
      <c r="A836" s="19"/>
      <c r="B836" s="19"/>
      <c r="C836" s="19" t="s">
        <v>828</v>
      </c>
      <c r="D836" s="20" t="s">
        <v>829</v>
      </c>
      <c r="E836" s="9">
        <f>Source!AT626</f>
        <v>70</v>
      </c>
      <c r="F836" s="22"/>
      <c r="G836" s="21"/>
      <c r="H836" s="9"/>
      <c r="I836" s="9"/>
      <c r="J836" s="22">
        <f>SUM(R832:R835)</f>
        <v>33978.67</v>
      </c>
      <c r="K836" s="22"/>
    </row>
    <row r="837" spans="1:22" ht="14.25" x14ac:dyDescent="0.2">
      <c r="A837" s="19"/>
      <c r="B837" s="19"/>
      <c r="C837" s="19" t="s">
        <v>830</v>
      </c>
      <c r="D837" s="20" t="s">
        <v>829</v>
      </c>
      <c r="E837" s="9">
        <f>Source!AU626</f>
        <v>10</v>
      </c>
      <c r="F837" s="22"/>
      <c r="G837" s="21"/>
      <c r="H837" s="9"/>
      <c r="I837" s="9"/>
      <c r="J837" s="22">
        <f>SUM(T832:T836)</f>
        <v>4854.1000000000004</v>
      </c>
      <c r="K837" s="22"/>
    </row>
    <row r="838" spans="1:22" ht="14.25" x14ac:dyDescent="0.2">
      <c r="A838" s="19"/>
      <c r="B838" s="19"/>
      <c r="C838" s="19" t="s">
        <v>832</v>
      </c>
      <c r="D838" s="20" t="s">
        <v>833</v>
      </c>
      <c r="E838" s="9">
        <f>Source!AQ626</f>
        <v>0.95</v>
      </c>
      <c r="F838" s="22"/>
      <c r="G838" s="21" t="str">
        <f>Source!DI626</f>
        <v/>
      </c>
      <c r="H838" s="9">
        <f>Source!AV626</f>
        <v>1</v>
      </c>
      <c r="I838" s="9"/>
      <c r="J838" s="22"/>
      <c r="K838" s="22">
        <f>Source!U626</f>
        <v>68.399999999999991</v>
      </c>
    </row>
    <row r="839" spans="1:22" ht="15" x14ac:dyDescent="0.25">
      <c r="A839" s="27"/>
      <c r="B839" s="27"/>
      <c r="C839" s="27"/>
      <c r="D839" s="27"/>
      <c r="E839" s="27"/>
      <c r="F839" s="27"/>
      <c r="G839" s="27"/>
      <c r="H839" s="27"/>
      <c r="I839" s="60">
        <f>J834+J835+J836+J837</f>
        <v>87549.41</v>
      </c>
      <c r="J839" s="60"/>
      <c r="K839" s="28">
        <f>IF(Source!I626&lt;&gt;0, ROUND(I839/Source!I626, 2), 0)</f>
        <v>1215.96</v>
      </c>
      <c r="P839" s="25">
        <f>I839</f>
        <v>87549.41</v>
      </c>
    </row>
    <row r="841" spans="1:22" ht="15" x14ac:dyDescent="0.25">
      <c r="B841" s="56" t="str">
        <f>Source!G627</f>
        <v>Кабельные изделия Корпус  7.2.1, Корпус 7.2.2, Корпус 7.2.3,  Корпус 7.2.4</v>
      </c>
      <c r="C841" s="56"/>
      <c r="D841" s="56"/>
      <c r="E841" s="56"/>
      <c r="F841" s="56"/>
      <c r="G841" s="56"/>
      <c r="H841" s="56"/>
      <c r="I841" s="56"/>
      <c r="J841" s="56"/>
    </row>
    <row r="842" spans="1:22" ht="57" x14ac:dyDescent="0.2">
      <c r="A842" s="19">
        <v>79</v>
      </c>
      <c r="B842" s="19" t="str">
        <f>Source!F628</f>
        <v>1.21-2103-9-2/1</v>
      </c>
      <c r="C842" s="19" t="str">
        <f>Source!G628</f>
        <v>Техническое обслуживание силовых сетей, проложенных по кирпичным и бетонным основаниям, провод сечением 3х1,5-6 мм2</v>
      </c>
      <c r="D842" s="20" t="str">
        <f>Source!H628</f>
        <v>100 м</v>
      </c>
      <c r="E842" s="9">
        <f>Source!I628</f>
        <v>3.5579999999999998</v>
      </c>
      <c r="F842" s="22"/>
      <c r="G842" s="21"/>
      <c r="H842" s="9"/>
      <c r="I842" s="9"/>
      <c r="J842" s="22"/>
      <c r="K842" s="22"/>
      <c r="Q842">
        <f>ROUND((Source!BZ628/100)*ROUND((Source!AF628*Source!AV628)*Source!I628, 2), 2)</f>
        <v>13332.56</v>
      </c>
      <c r="R842">
        <f>Source!X628</f>
        <v>13332.56</v>
      </c>
      <c r="S842">
        <f>ROUND((Source!CA628/100)*ROUND((Source!AF628*Source!AV628)*Source!I628, 2), 2)</f>
        <v>1904.65</v>
      </c>
      <c r="T842">
        <f>Source!Y628</f>
        <v>1904.65</v>
      </c>
      <c r="U842">
        <f>ROUND((175/100)*ROUND((Source!AE628*Source!AV628)*Source!I628, 2), 2)</f>
        <v>0</v>
      </c>
      <c r="V842">
        <f>ROUND((108/100)*ROUND(Source!CS628*Source!I628, 2), 2)</f>
        <v>0</v>
      </c>
    </row>
    <row r="843" spans="1:22" ht="38.25" x14ac:dyDescent="0.2">
      <c r="C843" s="23" t="str">
        <f>"Объем: "&amp;Source!I628&amp;"=(120+"&amp;"2740+"&amp;"1350+"&amp;"120+"&amp;"2740+"&amp;"1350+"&amp;"120+"&amp;"2740+"&amp;"1350+"&amp;"200+"&amp;"3240+"&amp;"1720)*"&amp;"0,2*"&amp;"0,1/"&amp;"100"</f>
        <v>Объем: 3,558=(120+2740+1350+120+2740+1350+120+2740+1350+200+3240+1720)*0,2*0,1/100</v>
      </c>
    </row>
    <row r="844" spans="1:22" ht="14.25" x14ac:dyDescent="0.2">
      <c r="A844" s="19"/>
      <c r="B844" s="19"/>
      <c r="C844" s="19" t="s">
        <v>825</v>
      </c>
      <c r="D844" s="20"/>
      <c r="E844" s="9"/>
      <c r="F844" s="22">
        <f>Source!AO628</f>
        <v>5353.15</v>
      </c>
      <c r="G844" s="21" t="str">
        <f>Source!DG628</f>
        <v/>
      </c>
      <c r="H844" s="9">
        <f>Source!AV628</f>
        <v>1</v>
      </c>
      <c r="I844" s="9">
        <f>IF(Source!BA628&lt;&gt; 0, Source!BA628, 1)</f>
        <v>1</v>
      </c>
      <c r="J844" s="22">
        <f>Source!S628</f>
        <v>19046.509999999998</v>
      </c>
      <c r="K844" s="22"/>
    </row>
    <row r="845" spans="1:22" ht="14.25" x14ac:dyDescent="0.2">
      <c r="A845" s="19"/>
      <c r="B845" s="19"/>
      <c r="C845" s="19" t="s">
        <v>834</v>
      </c>
      <c r="D845" s="20"/>
      <c r="E845" s="9"/>
      <c r="F845" s="22">
        <f>Source!AL628</f>
        <v>22.51</v>
      </c>
      <c r="G845" s="21" t="str">
        <f>Source!DD628</f>
        <v/>
      </c>
      <c r="H845" s="9">
        <f>Source!AW628</f>
        <v>1</v>
      </c>
      <c r="I845" s="9">
        <f>IF(Source!BC628&lt;&gt; 0, Source!BC628, 1)</f>
        <v>1</v>
      </c>
      <c r="J845" s="22">
        <f>Source!P628</f>
        <v>80.09</v>
      </c>
      <c r="K845" s="22"/>
    </row>
    <row r="846" spans="1:22" ht="14.25" x14ac:dyDescent="0.2">
      <c r="A846" s="19"/>
      <c r="B846" s="19"/>
      <c r="C846" s="19" t="s">
        <v>828</v>
      </c>
      <c r="D846" s="20" t="s">
        <v>829</v>
      </c>
      <c r="E846" s="9">
        <f>Source!AT628</f>
        <v>70</v>
      </c>
      <c r="F846" s="22"/>
      <c r="G846" s="21"/>
      <c r="H846" s="9"/>
      <c r="I846" s="9"/>
      <c r="J846" s="22">
        <f>SUM(R842:R845)</f>
        <v>13332.56</v>
      </c>
      <c r="K846" s="22"/>
    </row>
    <row r="847" spans="1:22" ht="14.25" x14ac:dyDescent="0.2">
      <c r="A847" s="19"/>
      <c r="B847" s="19"/>
      <c r="C847" s="19" t="s">
        <v>830</v>
      </c>
      <c r="D847" s="20" t="s">
        <v>829</v>
      </c>
      <c r="E847" s="9">
        <f>Source!AU628</f>
        <v>10</v>
      </c>
      <c r="F847" s="22"/>
      <c r="G847" s="21"/>
      <c r="H847" s="9"/>
      <c r="I847" s="9"/>
      <c r="J847" s="22">
        <f>SUM(T842:T846)</f>
        <v>1904.65</v>
      </c>
      <c r="K847" s="22"/>
    </row>
    <row r="848" spans="1:22" ht="14.25" x14ac:dyDescent="0.2">
      <c r="A848" s="19"/>
      <c r="B848" s="19"/>
      <c r="C848" s="19" t="s">
        <v>832</v>
      </c>
      <c r="D848" s="20" t="s">
        <v>833</v>
      </c>
      <c r="E848" s="9">
        <f>Source!AQ628</f>
        <v>10</v>
      </c>
      <c r="F848" s="22"/>
      <c r="G848" s="21" t="str">
        <f>Source!DI628</f>
        <v/>
      </c>
      <c r="H848" s="9">
        <f>Source!AV628</f>
        <v>1</v>
      </c>
      <c r="I848" s="9"/>
      <c r="J848" s="22"/>
      <c r="K848" s="22">
        <f>Source!U628</f>
        <v>35.58</v>
      </c>
    </row>
    <row r="849" spans="1:22" ht="15" x14ac:dyDescent="0.25">
      <c r="A849" s="27"/>
      <c r="B849" s="27"/>
      <c r="C849" s="27"/>
      <c r="D849" s="27"/>
      <c r="E849" s="27"/>
      <c r="F849" s="27"/>
      <c r="G849" s="27"/>
      <c r="H849" s="27"/>
      <c r="I849" s="60">
        <f>J844+J845+J846+J847</f>
        <v>34363.81</v>
      </c>
      <c r="J849" s="60"/>
      <c r="K849" s="28">
        <f>IF(Source!I628&lt;&gt;0, ROUND(I849/Source!I628, 2), 0)</f>
        <v>9658.18</v>
      </c>
      <c r="P849" s="25">
        <f>I849</f>
        <v>34363.81</v>
      </c>
    </row>
    <row r="850" spans="1:22" ht="71.25" x14ac:dyDescent="0.2">
      <c r="A850" s="19">
        <v>80</v>
      </c>
      <c r="B850" s="19" t="str">
        <f>Source!F630</f>
        <v>1.21-2103-9-7/1</v>
      </c>
      <c r="C850" s="19" t="str">
        <f>Source!G630</f>
        <v>Техническое обслуживание силовых сетей, проложенных по кирпичным и бетонным основаниям, провод сечением 3х25-35 мм2  / (4х185),  (5х50, 5х70)</v>
      </c>
      <c r="D850" s="20" t="str">
        <f>Source!H630</f>
        <v>100 м</v>
      </c>
      <c r="E850" s="9">
        <f>Source!I630</f>
        <v>1.5456000000000001</v>
      </c>
      <c r="F850" s="22"/>
      <c r="G850" s="21"/>
      <c r="H850" s="9"/>
      <c r="I850" s="9"/>
      <c r="J850" s="22"/>
      <c r="K850" s="22"/>
      <c r="Q850">
        <f>ROUND((Source!BZ630/100)*ROUND((Source!AF630*Source!AV630)*Source!I630, 2), 2)</f>
        <v>8444.27</v>
      </c>
      <c r="R850">
        <f>Source!X630</f>
        <v>8444.27</v>
      </c>
      <c r="S850">
        <f>ROUND((Source!CA630/100)*ROUND((Source!AF630*Source!AV630)*Source!I630, 2), 2)</f>
        <v>1206.32</v>
      </c>
      <c r="T850">
        <f>Source!Y630</f>
        <v>1206.32</v>
      </c>
      <c r="U850">
        <f>ROUND((175/100)*ROUND((Source!AE630*Source!AV630)*Source!I630, 2), 2)</f>
        <v>0</v>
      </c>
      <c r="V850">
        <f>ROUND((108/100)*ROUND(Source!CS630*Source!I630, 2), 2)</f>
        <v>0</v>
      </c>
    </row>
    <row r="851" spans="1:22" ht="38.25" x14ac:dyDescent="0.2">
      <c r="C851" s="23" t="str">
        <f>"Объем: "&amp;Source!I630&amp;"=((1588+"&amp;"1748+"&amp;"2056+"&amp;"2216)+"&amp;"(20+"&amp;"20+"&amp;"20+"&amp;"40+"&amp;"20))*"&amp;"0,2*"&amp;"0,1/"&amp;"100"</f>
        <v>Объем: 1,5456=((1588+1748+2056+2216)+(20+20+20+40+20))*0,2*0,1/100</v>
      </c>
    </row>
    <row r="852" spans="1:22" ht="14.25" x14ac:dyDescent="0.2">
      <c r="A852" s="19"/>
      <c r="B852" s="19"/>
      <c r="C852" s="19" t="s">
        <v>825</v>
      </c>
      <c r="D852" s="20"/>
      <c r="E852" s="9"/>
      <c r="F852" s="22">
        <f>Source!AO630</f>
        <v>7804.89</v>
      </c>
      <c r="G852" s="21" t="str">
        <f>Source!DG630</f>
        <v/>
      </c>
      <c r="H852" s="9">
        <f>Source!AV630</f>
        <v>1</v>
      </c>
      <c r="I852" s="9">
        <f>IF(Source!BA630&lt;&gt; 0, Source!BA630, 1)</f>
        <v>1</v>
      </c>
      <c r="J852" s="22">
        <f>Source!S630</f>
        <v>12063.24</v>
      </c>
      <c r="K852" s="22"/>
    </row>
    <row r="853" spans="1:22" ht="14.25" x14ac:dyDescent="0.2">
      <c r="A853" s="19"/>
      <c r="B853" s="19"/>
      <c r="C853" s="19" t="s">
        <v>834</v>
      </c>
      <c r="D853" s="20"/>
      <c r="E853" s="9"/>
      <c r="F853" s="22">
        <f>Source!AL630</f>
        <v>19.13</v>
      </c>
      <c r="G853" s="21" t="str">
        <f>Source!DD630</f>
        <v/>
      </c>
      <c r="H853" s="9">
        <f>Source!AW630</f>
        <v>1</v>
      </c>
      <c r="I853" s="9">
        <f>IF(Source!BC630&lt;&gt; 0, Source!BC630, 1)</f>
        <v>1</v>
      </c>
      <c r="J853" s="22">
        <f>Source!P630</f>
        <v>29.57</v>
      </c>
      <c r="K853" s="22"/>
    </row>
    <row r="854" spans="1:22" ht="14.25" x14ac:dyDescent="0.2">
      <c r="A854" s="19"/>
      <c r="B854" s="19"/>
      <c r="C854" s="19" t="s">
        <v>828</v>
      </c>
      <c r="D854" s="20" t="s">
        <v>829</v>
      </c>
      <c r="E854" s="9">
        <f>Source!AT630</f>
        <v>70</v>
      </c>
      <c r="F854" s="22"/>
      <c r="G854" s="21"/>
      <c r="H854" s="9"/>
      <c r="I854" s="9"/>
      <c r="J854" s="22">
        <f>SUM(R850:R853)</f>
        <v>8444.27</v>
      </c>
      <c r="K854" s="22"/>
    </row>
    <row r="855" spans="1:22" ht="14.25" x14ac:dyDescent="0.2">
      <c r="A855" s="19"/>
      <c r="B855" s="19"/>
      <c r="C855" s="19" t="s">
        <v>830</v>
      </c>
      <c r="D855" s="20" t="s">
        <v>829</v>
      </c>
      <c r="E855" s="9">
        <f>Source!AU630</f>
        <v>10</v>
      </c>
      <c r="F855" s="22"/>
      <c r="G855" s="21"/>
      <c r="H855" s="9"/>
      <c r="I855" s="9"/>
      <c r="J855" s="22">
        <f>SUM(T850:T854)</f>
        <v>1206.32</v>
      </c>
      <c r="K855" s="22"/>
    </row>
    <row r="856" spans="1:22" ht="14.25" x14ac:dyDescent="0.2">
      <c r="A856" s="19"/>
      <c r="B856" s="19"/>
      <c r="C856" s="19" t="s">
        <v>832</v>
      </c>
      <c r="D856" s="20" t="s">
        <v>833</v>
      </c>
      <c r="E856" s="9">
        <f>Source!AQ630</f>
        <v>14.58</v>
      </c>
      <c r="F856" s="22"/>
      <c r="G856" s="21" t="str">
        <f>Source!DI630</f>
        <v/>
      </c>
      <c r="H856" s="9">
        <f>Source!AV630</f>
        <v>1</v>
      </c>
      <c r="I856" s="9"/>
      <c r="J856" s="22"/>
      <c r="K856" s="22">
        <f>Source!U630</f>
        <v>22.534848</v>
      </c>
    </row>
    <row r="857" spans="1:22" ht="15" x14ac:dyDescent="0.25">
      <c r="A857" s="27"/>
      <c r="B857" s="27"/>
      <c r="C857" s="27"/>
      <c r="D857" s="27"/>
      <c r="E857" s="27"/>
      <c r="F857" s="27"/>
      <c r="G857" s="27"/>
      <c r="H857" s="27"/>
      <c r="I857" s="60">
        <f>J852+J853+J854+J855</f>
        <v>21743.4</v>
      </c>
      <c r="J857" s="60"/>
      <c r="K857" s="28">
        <f>IF(Source!I630&lt;&gt;0, ROUND(I857/Source!I630, 2), 0)</f>
        <v>14067.93</v>
      </c>
      <c r="P857" s="25">
        <f>I857</f>
        <v>21743.4</v>
      </c>
    </row>
    <row r="858" spans="1:22" ht="71.25" x14ac:dyDescent="0.2">
      <c r="A858" s="19">
        <v>81</v>
      </c>
      <c r="B858" s="19" t="str">
        <f>Source!F631</f>
        <v>1.21-2103-9-8/1</v>
      </c>
      <c r="C858" s="19" t="str">
        <f>Source!G631</f>
        <v>Техническое обслуживание силовых сетей, проложенных по кирпичным и бетонным основаниям, добавлять на каждый следующий провод к поз. 21-2103-9-7 / ( (4х185)</v>
      </c>
      <c r="D858" s="20" t="str">
        <f>Source!H631</f>
        <v>100 м</v>
      </c>
      <c r="E858" s="9">
        <f>Source!I631</f>
        <v>1.5216000000000001</v>
      </c>
      <c r="F858" s="22"/>
      <c r="G858" s="21"/>
      <c r="H858" s="9"/>
      <c r="I858" s="9"/>
      <c r="J858" s="22"/>
      <c r="K858" s="22"/>
      <c r="Q858">
        <f>ROUND((Source!BZ631/100)*ROUND((Source!AF631*Source!AV631)*Source!I631, 2), 2)</f>
        <v>1847.36</v>
      </c>
      <c r="R858">
        <f>Source!X631</f>
        <v>1847.36</v>
      </c>
      <c r="S858">
        <f>ROUND((Source!CA631/100)*ROUND((Source!AF631*Source!AV631)*Source!I631, 2), 2)</f>
        <v>263.91000000000003</v>
      </c>
      <c r="T858">
        <f>Source!Y631</f>
        <v>263.91000000000003</v>
      </c>
      <c r="U858">
        <f>ROUND((175/100)*ROUND((Source!AE631*Source!AV631)*Source!I631, 2), 2)</f>
        <v>0</v>
      </c>
      <c r="V858">
        <f>ROUND((108/100)*ROUND(Source!CS631*Source!I631, 2), 2)</f>
        <v>0</v>
      </c>
    </row>
    <row r="859" spans="1:22" ht="25.5" x14ac:dyDescent="0.2">
      <c r="C859" s="23" t="str">
        <f>"Объем: "&amp;Source!I631&amp;"=(1588+"&amp;"1748+"&amp;"2056+"&amp;"2216)*"&amp;"0,2*"&amp;"0,1/"&amp;"100"</f>
        <v>Объем: 1,5216=(1588+1748+2056+2216)*0,2*0,1/100</v>
      </c>
    </row>
    <row r="860" spans="1:22" ht="14.25" x14ac:dyDescent="0.2">
      <c r="A860" s="19"/>
      <c r="B860" s="19"/>
      <c r="C860" s="19" t="s">
        <v>825</v>
      </c>
      <c r="D860" s="20"/>
      <c r="E860" s="9"/>
      <c r="F860" s="22">
        <f>Source!AO631</f>
        <v>1734.42</v>
      </c>
      <c r="G860" s="21" t="str">
        <f>Source!DG631</f>
        <v/>
      </c>
      <c r="H860" s="9">
        <f>Source!AV631</f>
        <v>1</v>
      </c>
      <c r="I860" s="9">
        <f>IF(Source!BA631&lt;&gt; 0, Source!BA631, 1)</f>
        <v>1</v>
      </c>
      <c r="J860" s="22">
        <f>Source!S631</f>
        <v>2639.09</v>
      </c>
      <c r="K860" s="22"/>
    </row>
    <row r="861" spans="1:22" ht="14.25" x14ac:dyDescent="0.2">
      <c r="A861" s="19"/>
      <c r="B861" s="19"/>
      <c r="C861" s="19" t="s">
        <v>834</v>
      </c>
      <c r="D861" s="20"/>
      <c r="E861" s="9"/>
      <c r="F861" s="22">
        <f>Source!AL631</f>
        <v>4.13</v>
      </c>
      <c r="G861" s="21" t="str">
        <f>Source!DD631</f>
        <v/>
      </c>
      <c r="H861" s="9">
        <f>Source!AW631</f>
        <v>1</v>
      </c>
      <c r="I861" s="9">
        <f>IF(Source!BC631&lt;&gt; 0, Source!BC631, 1)</f>
        <v>1</v>
      </c>
      <c r="J861" s="22">
        <f>Source!P631</f>
        <v>6.28</v>
      </c>
      <c r="K861" s="22"/>
    </row>
    <row r="862" spans="1:22" ht="14.25" x14ac:dyDescent="0.2">
      <c r="A862" s="19"/>
      <c r="B862" s="19"/>
      <c r="C862" s="19" t="s">
        <v>828</v>
      </c>
      <c r="D862" s="20" t="s">
        <v>829</v>
      </c>
      <c r="E862" s="9">
        <f>Source!AT631</f>
        <v>70</v>
      </c>
      <c r="F862" s="22"/>
      <c r="G862" s="21"/>
      <c r="H862" s="9"/>
      <c r="I862" s="9"/>
      <c r="J862" s="22">
        <f>SUM(R858:R861)</f>
        <v>1847.36</v>
      </c>
      <c r="K862" s="22"/>
    </row>
    <row r="863" spans="1:22" ht="14.25" x14ac:dyDescent="0.2">
      <c r="A863" s="19"/>
      <c r="B863" s="19"/>
      <c r="C863" s="19" t="s">
        <v>830</v>
      </c>
      <c r="D863" s="20" t="s">
        <v>829</v>
      </c>
      <c r="E863" s="9">
        <f>Source!AU631</f>
        <v>10</v>
      </c>
      <c r="F863" s="22"/>
      <c r="G863" s="21"/>
      <c r="H863" s="9"/>
      <c r="I863" s="9"/>
      <c r="J863" s="22">
        <f>SUM(T858:T862)</f>
        <v>263.91000000000003</v>
      </c>
      <c r="K863" s="22"/>
    </row>
    <row r="864" spans="1:22" ht="14.25" x14ac:dyDescent="0.2">
      <c r="A864" s="19"/>
      <c r="B864" s="19"/>
      <c r="C864" s="19" t="s">
        <v>832</v>
      </c>
      <c r="D864" s="20" t="s">
        <v>833</v>
      </c>
      <c r="E864" s="9">
        <f>Source!AQ631</f>
        <v>3.24</v>
      </c>
      <c r="F864" s="22"/>
      <c r="G864" s="21" t="str">
        <f>Source!DI631</f>
        <v/>
      </c>
      <c r="H864" s="9">
        <f>Source!AV631</f>
        <v>1</v>
      </c>
      <c r="I864" s="9"/>
      <c r="J864" s="22"/>
      <c r="K864" s="22">
        <f>Source!U631</f>
        <v>4.9299840000000001</v>
      </c>
    </row>
    <row r="865" spans="1:22" ht="15" x14ac:dyDescent="0.25">
      <c r="A865" s="27"/>
      <c r="B865" s="27"/>
      <c r="C865" s="27"/>
      <c r="D865" s="27"/>
      <c r="E865" s="27"/>
      <c r="F865" s="27"/>
      <c r="G865" s="27"/>
      <c r="H865" s="27"/>
      <c r="I865" s="60">
        <f>J860+J861+J862+J863</f>
        <v>4756.6400000000003</v>
      </c>
      <c r="J865" s="60"/>
      <c r="K865" s="28">
        <f>IF(Source!I631&lt;&gt;0, ROUND(I865/Source!I631, 2), 0)</f>
        <v>3126.08</v>
      </c>
      <c r="P865" s="25">
        <f>I865</f>
        <v>4756.6400000000003</v>
      </c>
    </row>
    <row r="866" spans="1:22" ht="71.25" x14ac:dyDescent="0.2">
      <c r="A866" s="19">
        <v>82</v>
      </c>
      <c r="B866" s="19" t="str">
        <f>Source!F632</f>
        <v>1.21-2103-9-8/1</v>
      </c>
      <c r="C866" s="19" t="str">
        <f>Source!G632</f>
        <v>Техническое обслуживание силовых сетей, проложенных по кирпичным и бетонным основаниям, добавлять на каждый следующий провод к поз. 21-2103-9-7</v>
      </c>
      <c r="D866" s="20" t="str">
        <f>Source!H632</f>
        <v>100 м</v>
      </c>
      <c r="E866" s="9">
        <f>Source!I632</f>
        <v>2.4E-2</v>
      </c>
      <c r="F866" s="22"/>
      <c r="G866" s="21"/>
      <c r="H866" s="9"/>
      <c r="I866" s="9"/>
      <c r="J866" s="22"/>
      <c r="K866" s="22"/>
      <c r="Q866">
        <f>ROUND((Source!BZ632/100)*ROUND((Source!AF632*Source!AV632)*Source!I632, 2), 2)</f>
        <v>29.14</v>
      </c>
      <c r="R866">
        <f>Source!X632</f>
        <v>29.14</v>
      </c>
      <c r="S866">
        <f>ROUND((Source!CA632/100)*ROUND((Source!AF632*Source!AV632)*Source!I632, 2), 2)</f>
        <v>4.16</v>
      </c>
      <c r="T866">
        <f>Source!Y632</f>
        <v>4.16</v>
      </c>
      <c r="U866">
        <f>ROUND((175/100)*ROUND((Source!AE632*Source!AV632)*Source!I632, 2), 2)</f>
        <v>0</v>
      </c>
      <c r="V866">
        <f>ROUND((108/100)*ROUND(Source!CS632*Source!I632, 2), 2)</f>
        <v>0</v>
      </c>
    </row>
    <row r="867" spans="1:22" x14ac:dyDescent="0.2">
      <c r="C867" s="23" t="str">
        <f>"Объем: "&amp;Source!I632&amp;"=(20+"&amp;"20+"&amp;"20+"&amp;"40+"&amp;"20)*"&amp;"0,2*"&amp;"0,1/"&amp;"100"</f>
        <v>Объем: 0,024=(20+20+20+40+20)*0,2*0,1/100</v>
      </c>
    </row>
    <row r="868" spans="1:22" ht="14.25" x14ac:dyDescent="0.2">
      <c r="A868" s="19"/>
      <c r="B868" s="19"/>
      <c r="C868" s="19" t="s">
        <v>825</v>
      </c>
      <c r="D868" s="20"/>
      <c r="E868" s="9"/>
      <c r="F868" s="22">
        <f>Source!AO632</f>
        <v>1734.42</v>
      </c>
      <c r="G868" s="21" t="str">
        <f>Source!DG632</f>
        <v/>
      </c>
      <c r="H868" s="9">
        <f>Source!AV632</f>
        <v>1</v>
      </c>
      <c r="I868" s="9">
        <f>IF(Source!BA632&lt;&gt; 0, Source!BA632, 1)</f>
        <v>1</v>
      </c>
      <c r="J868" s="22">
        <f>Source!S632</f>
        <v>41.63</v>
      </c>
      <c r="K868" s="22"/>
    </row>
    <row r="869" spans="1:22" ht="14.25" x14ac:dyDescent="0.2">
      <c r="A869" s="19"/>
      <c r="B869" s="19"/>
      <c r="C869" s="19" t="s">
        <v>834</v>
      </c>
      <c r="D869" s="20"/>
      <c r="E869" s="9"/>
      <c r="F869" s="22">
        <f>Source!AL632</f>
        <v>4.13</v>
      </c>
      <c r="G869" s="21" t="str">
        <f>Source!DD632</f>
        <v/>
      </c>
      <c r="H869" s="9">
        <f>Source!AW632</f>
        <v>1</v>
      </c>
      <c r="I869" s="9">
        <f>IF(Source!BC632&lt;&gt; 0, Source!BC632, 1)</f>
        <v>1</v>
      </c>
      <c r="J869" s="22">
        <f>Source!P632</f>
        <v>0.1</v>
      </c>
      <c r="K869" s="22"/>
    </row>
    <row r="870" spans="1:22" ht="14.25" x14ac:dyDescent="0.2">
      <c r="A870" s="19"/>
      <c r="B870" s="19"/>
      <c r="C870" s="19" t="s">
        <v>828</v>
      </c>
      <c r="D870" s="20" t="s">
        <v>829</v>
      </c>
      <c r="E870" s="9">
        <f>Source!AT632</f>
        <v>70</v>
      </c>
      <c r="F870" s="22"/>
      <c r="G870" s="21"/>
      <c r="H870" s="9"/>
      <c r="I870" s="9"/>
      <c r="J870" s="22">
        <f>SUM(R866:R869)</f>
        <v>29.14</v>
      </c>
      <c r="K870" s="22"/>
    </row>
    <row r="871" spans="1:22" ht="14.25" x14ac:dyDescent="0.2">
      <c r="A871" s="19"/>
      <c r="B871" s="19"/>
      <c r="C871" s="19" t="s">
        <v>830</v>
      </c>
      <c r="D871" s="20" t="s">
        <v>829</v>
      </c>
      <c r="E871" s="9">
        <f>Source!AU632</f>
        <v>10</v>
      </c>
      <c r="F871" s="22"/>
      <c r="G871" s="21"/>
      <c r="H871" s="9"/>
      <c r="I871" s="9"/>
      <c r="J871" s="22">
        <f>SUM(T866:T870)</f>
        <v>4.16</v>
      </c>
      <c r="K871" s="22"/>
    </row>
    <row r="872" spans="1:22" ht="14.25" x14ac:dyDescent="0.2">
      <c r="A872" s="19"/>
      <c r="B872" s="19"/>
      <c r="C872" s="19" t="s">
        <v>832</v>
      </c>
      <c r="D872" s="20" t="s">
        <v>833</v>
      </c>
      <c r="E872" s="9">
        <f>Source!AQ632</f>
        <v>3.24</v>
      </c>
      <c r="F872" s="22"/>
      <c r="G872" s="21" t="str">
        <f>Source!DI632</f>
        <v/>
      </c>
      <c r="H872" s="9">
        <f>Source!AV632</f>
        <v>1</v>
      </c>
      <c r="I872" s="9"/>
      <c r="J872" s="22"/>
      <c r="K872" s="22">
        <f>Source!U632</f>
        <v>7.776000000000001E-2</v>
      </c>
    </row>
    <row r="873" spans="1:22" ht="15" x14ac:dyDescent="0.25">
      <c r="A873" s="27"/>
      <c r="B873" s="27"/>
      <c r="C873" s="27"/>
      <c r="D873" s="27"/>
      <c r="E873" s="27"/>
      <c r="F873" s="27"/>
      <c r="G873" s="27"/>
      <c r="H873" s="27"/>
      <c r="I873" s="60">
        <f>J868+J869+J870+J871</f>
        <v>75.03</v>
      </c>
      <c r="J873" s="60"/>
      <c r="K873" s="28">
        <f>IF(Source!I632&lt;&gt;0, ROUND(I873/Source!I632, 2), 0)</f>
        <v>3126.25</v>
      </c>
      <c r="P873" s="25">
        <f>I873</f>
        <v>75.03</v>
      </c>
    </row>
    <row r="874" spans="1:22" ht="57" x14ac:dyDescent="0.2">
      <c r="A874" s="19">
        <v>83</v>
      </c>
      <c r="B874" s="19" t="str">
        <f>Source!F634</f>
        <v>1.21-2103-9-5/1</v>
      </c>
      <c r="C874" s="19" t="str">
        <f>Source!G634</f>
        <v>Техническое обслуживание силовых сетей, проложенных по кирпичным и бетонным основаниям, провод сечением 3х10-16 мм2  / (5х16,  5х10)</v>
      </c>
      <c r="D874" s="20" t="str">
        <f>Source!H634</f>
        <v>100 м</v>
      </c>
      <c r="E874" s="9">
        <f>Source!I634</f>
        <v>4.8000000000000001E-2</v>
      </c>
      <c r="F874" s="22"/>
      <c r="G874" s="21"/>
      <c r="H874" s="9"/>
      <c r="I874" s="9"/>
      <c r="J874" s="22"/>
      <c r="K874" s="22"/>
      <c r="Q874">
        <f>ROUND((Source!BZ634/100)*ROUND((Source!AF634*Source!AV634)*Source!I634, 2), 2)</f>
        <v>213.68</v>
      </c>
      <c r="R874">
        <f>Source!X634</f>
        <v>213.68</v>
      </c>
      <c r="S874">
        <f>ROUND((Source!CA634/100)*ROUND((Source!AF634*Source!AV634)*Source!I634, 2), 2)</f>
        <v>30.53</v>
      </c>
      <c r="T874">
        <f>Source!Y634</f>
        <v>30.53</v>
      </c>
      <c r="U874">
        <f>ROUND((175/100)*ROUND((Source!AE634*Source!AV634)*Source!I634, 2), 2)</f>
        <v>0</v>
      </c>
      <c r="V874">
        <f>ROUND((108/100)*ROUND(Source!CS634*Source!I634, 2), 2)</f>
        <v>0</v>
      </c>
    </row>
    <row r="875" spans="1:22" x14ac:dyDescent="0.2">
      <c r="C875" s="23" t="str">
        <f>"Объем: "&amp;Source!I634&amp;"=(60+"&amp;"60+"&amp;"60+"&amp;"30+"&amp;"30)*"&amp;"0,2*"&amp;"0,1/"&amp;"100"</f>
        <v>Объем: 0,048=(60+60+60+30+30)*0,2*0,1/100</v>
      </c>
    </row>
    <row r="876" spans="1:22" ht="14.25" x14ac:dyDescent="0.2">
      <c r="A876" s="19"/>
      <c r="B876" s="19"/>
      <c r="C876" s="19" t="s">
        <v>825</v>
      </c>
      <c r="D876" s="20"/>
      <c r="E876" s="9"/>
      <c r="F876" s="22">
        <f>Source!AO634</f>
        <v>6359.54</v>
      </c>
      <c r="G876" s="21" t="str">
        <f>Source!DG634</f>
        <v/>
      </c>
      <c r="H876" s="9">
        <f>Source!AV634</f>
        <v>1</v>
      </c>
      <c r="I876" s="9">
        <f>IF(Source!BA634&lt;&gt; 0, Source!BA634, 1)</f>
        <v>1</v>
      </c>
      <c r="J876" s="22">
        <f>Source!S634</f>
        <v>305.26</v>
      </c>
      <c r="K876" s="22"/>
    </row>
    <row r="877" spans="1:22" ht="14.25" x14ac:dyDescent="0.2">
      <c r="A877" s="19"/>
      <c r="B877" s="19"/>
      <c r="C877" s="19" t="s">
        <v>834</v>
      </c>
      <c r="D877" s="20"/>
      <c r="E877" s="9"/>
      <c r="F877" s="22">
        <f>Source!AL634</f>
        <v>15.76</v>
      </c>
      <c r="G877" s="21" t="str">
        <f>Source!DD634</f>
        <v/>
      </c>
      <c r="H877" s="9">
        <f>Source!AW634</f>
        <v>1</v>
      </c>
      <c r="I877" s="9">
        <f>IF(Source!BC634&lt;&gt; 0, Source!BC634, 1)</f>
        <v>1</v>
      </c>
      <c r="J877" s="22">
        <f>Source!P634</f>
        <v>0.76</v>
      </c>
      <c r="K877" s="22"/>
    </row>
    <row r="878" spans="1:22" ht="14.25" x14ac:dyDescent="0.2">
      <c r="A878" s="19"/>
      <c r="B878" s="19"/>
      <c r="C878" s="19" t="s">
        <v>828</v>
      </c>
      <c r="D878" s="20" t="s">
        <v>829</v>
      </c>
      <c r="E878" s="9">
        <f>Source!AT634</f>
        <v>70</v>
      </c>
      <c r="F878" s="22"/>
      <c r="G878" s="21"/>
      <c r="H878" s="9"/>
      <c r="I878" s="9"/>
      <c r="J878" s="22">
        <f>SUM(R874:R877)</f>
        <v>213.68</v>
      </c>
      <c r="K878" s="22"/>
    </row>
    <row r="879" spans="1:22" ht="14.25" x14ac:dyDescent="0.2">
      <c r="A879" s="19"/>
      <c r="B879" s="19"/>
      <c r="C879" s="19" t="s">
        <v>830</v>
      </c>
      <c r="D879" s="20" t="s">
        <v>829</v>
      </c>
      <c r="E879" s="9">
        <f>Source!AU634</f>
        <v>10</v>
      </c>
      <c r="F879" s="22"/>
      <c r="G879" s="21"/>
      <c r="H879" s="9"/>
      <c r="I879" s="9"/>
      <c r="J879" s="22">
        <f>SUM(T874:T878)</f>
        <v>30.53</v>
      </c>
      <c r="K879" s="22"/>
    </row>
    <row r="880" spans="1:22" ht="14.25" x14ac:dyDescent="0.2">
      <c r="A880" s="19"/>
      <c r="B880" s="19"/>
      <c r="C880" s="19" t="s">
        <v>832</v>
      </c>
      <c r="D880" s="20" t="s">
        <v>833</v>
      </c>
      <c r="E880" s="9">
        <f>Source!AQ634</f>
        <v>11.88</v>
      </c>
      <c r="F880" s="22"/>
      <c r="G880" s="21" t="str">
        <f>Source!DI634</f>
        <v/>
      </c>
      <c r="H880" s="9">
        <f>Source!AV634</f>
        <v>1</v>
      </c>
      <c r="I880" s="9"/>
      <c r="J880" s="22"/>
      <c r="K880" s="22">
        <f>Source!U634</f>
        <v>0.57024000000000008</v>
      </c>
    </row>
    <row r="881" spans="1:22" ht="15" x14ac:dyDescent="0.25">
      <c r="A881" s="27"/>
      <c r="B881" s="27"/>
      <c r="C881" s="27"/>
      <c r="D881" s="27"/>
      <c r="E881" s="27"/>
      <c r="F881" s="27"/>
      <c r="G881" s="27"/>
      <c r="H881" s="27"/>
      <c r="I881" s="60">
        <f>J876+J877+J878+J879</f>
        <v>550.23</v>
      </c>
      <c r="J881" s="60"/>
      <c r="K881" s="28">
        <f>IF(Source!I634&lt;&gt;0, ROUND(I881/Source!I634, 2), 0)</f>
        <v>11463.13</v>
      </c>
      <c r="P881" s="25">
        <f>I881</f>
        <v>550.23</v>
      </c>
    </row>
    <row r="882" spans="1:22" ht="71.25" x14ac:dyDescent="0.2">
      <c r="A882" s="19">
        <v>84</v>
      </c>
      <c r="B882" s="19" t="str">
        <f>Source!F635</f>
        <v>1.21-2103-9-6/1</v>
      </c>
      <c r="C882" s="19" t="str">
        <f>Source!G635</f>
        <v>Техническое обслуживание силовых сетей, проложенных по кирпичным и бетонным основаниям, добавлять на каждый последующий провод к поз. 21-2103-9-5  / (5х16,  5х10)</v>
      </c>
      <c r="D882" s="20" t="str">
        <f>Source!H635</f>
        <v>100 м</v>
      </c>
      <c r="E882" s="9">
        <f>Source!I635</f>
        <v>4.8000000000000001E-2</v>
      </c>
      <c r="F882" s="22"/>
      <c r="G882" s="21"/>
      <c r="H882" s="9"/>
      <c r="I882" s="9"/>
      <c r="J882" s="22"/>
      <c r="K882" s="22"/>
      <c r="Q882">
        <f>ROUND((Source!BZ635/100)*ROUND((Source!AF635*Source!AV635)*Source!I635, 2), 2)</f>
        <v>47.49</v>
      </c>
      <c r="R882">
        <f>Source!X635</f>
        <v>47.49</v>
      </c>
      <c r="S882">
        <f>ROUND((Source!CA635/100)*ROUND((Source!AF635*Source!AV635)*Source!I635, 2), 2)</f>
        <v>6.78</v>
      </c>
      <c r="T882">
        <f>Source!Y635</f>
        <v>6.78</v>
      </c>
      <c r="U882">
        <f>ROUND((175/100)*ROUND((Source!AE635*Source!AV635)*Source!I635, 2), 2)</f>
        <v>0</v>
      </c>
      <c r="V882">
        <f>ROUND((108/100)*ROUND(Source!CS635*Source!I635, 2), 2)</f>
        <v>0</v>
      </c>
    </row>
    <row r="883" spans="1:22" x14ac:dyDescent="0.2">
      <c r="C883" s="23" t="str">
        <f>"Объем: "&amp;Source!I635&amp;"=(60+"&amp;"60+"&amp;"60+"&amp;"30+"&amp;"30)*"&amp;"0,2*"&amp;"0,1/"&amp;"100"</f>
        <v>Объем: 0,048=(60+60+60+30+30)*0,2*0,1/100</v>
      </c>
    </row>
    <row r="884" spans="1:22" ht="14.25" x14ac:dyDescent="0.2">
      <c r="A884" s="19"/>
      <c r="B884" s="19"/>
      <c r="C884" s="19" t="s">
        <v>825</v>
      </c>
      <c r="D884" s="20"/>
      <c r="E884" s="9"/>
      <c r="F884" s="22">
        <f>Source!AO635</f>
        <v>1413.23</v>
      </c>
      <c r="G884" s="21" t="str">
        <f>Source!DG635</f>
        <v/>
      </c>
      <c r="H884" s="9">
        <f>Source!AV635</f>
        <v>1</v>
      </c>
      <c r="I884" s="9">
        <f>IF(Source!BA635&lt;&gt; 0, Source!BA635, 1)</f>
        <v>1</v>
      </c>
      <c r="J884" s="22">
        <f>Source!S635</f>
        <v>67.84</v>
      </c>
      <c r="K884" s="22"/>
    </row>
    <row r="885" spans="1:22" ht="14.25" x14ac:dyDescent="0.2">
      <c r="A885" s="19"/>
      <c r="B885" s="19"/>
      <c r="C885" s="19" t="s">
        <v>834</v>
      </c>
      <c r="D885" s="20"/>
      <c r="E885" s="9"/>
      <c r="F885" s="22">
        <f>Source!AL635</f>
        <v>3.38</v>
      </c>
      <c r="G885" s="21" t="str">
        <f>Source!DD635</f>
        <v/>
      </c>
      <c r="H885" s="9">
        <f>Source!AW635</f>
        <v>1</v>
      </c>
      <c r="I885" s="9">
        <f>IF(Source!BC635&lt;&gt; 0, Source!BC635, 1)</f>
        <v>1</v>
      </c>
      <c r="J885" s="22">
        <f>Source!P635</f>
        <v>0.16</v>
      </c>
      <c r="K885" s="22"/>
    </row>
    <row r="886" spans="1:22" ht="14.25" x14ac:dyDescent="0.2">
      <c r="A886" s="19"/>
      <c r="B886" s="19"/>
      <c r="C886" s="19" t="s">
        <v>828</v>
      </c>
      <c r="D886" s="20" t="s">
        <v>829</v>
      </c>
      <c r="E886" s="9">
        <f>Source!AT635</f>
        <v>70</v>
      </c>
      <c r="F886" s="22"/>
      <c r="G886" s="21"/>
      <c r="H886" s="9"/>
      <c r="I886" s="9"/>
      <c r="J886" s="22">
        <f>SUM(R882:R885)</f>
        <v>47.49</v>
      </c>
      <c r="K886" s="22"/>
    </row>
    <row r="887" spans="1:22" ht="14.25" x14ac:dyDescent="0.2">
      <c r="A887" s="19"/>
      <c r="B887" s="19"/>
      <c r="C887" s="19" t="s">
        <v>830</v>
      </c>
      <c r="D887" s="20" t="s">
        <v>829</v>
      </c>
      <c r="E887" s="9">
        <f>Source!AU635</f>
        <v>10</v>
      </c>
      <c r="F887" s="22"/>
      <c r="G887" s="21"/>
      <c r="H887" s="9"/>
      <c r="I887" s="9"/>
      <c r="J887" s="22">
        <f>SUM(T882:T886)</f>
        <v>6.78</v>
      </c>
      <c r="K887" s="22"/>
    </row>
    <row r="888" spans="1:22" ht="14.25" x14ac:dyDescent="0.2">
      <c r="A888" s="19"/>
      <c r="B888" s="19"/>
      <c r="C888" s="19" t="s">
        <v>832</v>
      </c>
      <c r="D888" s="20" t="s">
        <v>833</v>
      </c>
      <c r="E888" s="9">
        <f>Source!AQ635</f>
        <v>2.64</v>
      </c>
      <c r="F888" s="22"/>
      <c r="G888" s="21" t="str">
        <f>Source!DI635</f>
        <v/>
      </c>
      <c r="H888" s="9">
        <f>Source!AV635</f>
        <v>1</v>
      </c>
      <c r="I888" s="9"/>
      <c r="J888" s="22"/>
      <c r="K888" s="22">
        <f>Source!U635</f>
        <v>0.12672</v>
      </c>
    </row>
    <row r="889" spans="1:22" ht="15" x14ac:dyDescent="0.25">
      <c r="A889" s="27"/>
      <c r="B889" s="27"/>
      <c r="C889" s="27"/>
      <c r="D889" s="27"/>
      <c r="E889" s="27"/>
      <c r="F889" s="27"/>
      <c r="G889" s="27"/>
      <c r="H889" s="27"/>
      <c r="I889" s="60">
        <f>J884+J885+J886+J887</f>
        <v>122.27000000000001</v>
      </c>
      <c r="J889" s="60"/>
      <c r="K889" s="28">
        <f>IF(Source!I635&lt;&gt;0, ROUND(I889/Source!I635, 2), 0)</f>
        <v>2547.29</v>
      </c>
      <c r="P889" s="25">
        <f>I889</f>
        <v>122.27000000000001</v>
      </c>
    </row>
    <row r="890" spans="1:22" ht="71.25" x14ac:dyDescent="0.2">
      <c r="A890" s="19">
        <v>85</v>
      </c>
      <c r="B890" s="19" t="str">
        <f>Source!F637</f>
        <v>1.21-2103-9-3/1</v>
      </c>
      <c r="C890" s="19" t="str">
        <f>Source!G637</f>
        <v>Техническое обслуживание силовых сетей, проложенных по кирпичным и бетонным основаниям, провод сечением 4х1,5-6 мм2 / (5х1,5, 5х2,5, 5х4, 5х6)</v>
      </c>
      <c r="D890" s="20" t="str">
        <f>Source!H637</f>
        <v>100 м</v>
      </c>
      <c r="E890" s="9">
        <f>Source!I637</f>
        <v>0.15</v>
      </c>
      <c r="F890" s="22"/>
      <c r="G890" s="21"/>
      <c r="H890" s="9"/>
      <c r="I890" s="9"/>
      <c r="J890" s="22"/>
      <c r="K890" s="22"/>
      <c r="Q890">
        <f>ROUND((Source!BZ637/100)*ROUND((Source!AF637*Source!AV637)*Source!I637, 2), 2)</f>
        <v>630.66</v>
      </c>
      <c r="R890">
        <f>Source!X637</f>
        <v>630.66</v>
      </c>
      <c r="S890">
        <f>ROUND((Source!CA637/100)*ROUND((Source!AF637*Source!AV637)*Source!I637, 2), 2)</f>
        <v>90.09</v>
      </c>
      <c r="T890">
        <f>Source!Y637</f>
        <v>90.09</v>
      </c>
      <c r="U890">
        <f>ROUND((175/100)*ROUND((Source!AE637*Source!AV637)*Source!I637, 2), 2)</f>
        <v>0</v>
      </c>
      <c r="V890">
        <f>ROUND((108/100)*ROUND(Source!CS637*Source!I637, 2), 2)</f>
        <v>0</v>
      </c>
    </row>
    <row r="891" spans="1:22" ht="38.25" x14ac:dyDescent="0.2">
      <c r="C891" s="23" t="str">
        <f>"Объем: "&amp;Source!I637&amp;"=(5+"&amp;"80+"&amp;"60+"&amp;"5+"&amp;"80+"&amp;"60+"&amp;"5+"&amp;"80+"&amp;"60+"&amp;"5+"&amp;"60+"&amp;"130+"&amp;"120)*"&amp;"0,2*"&amp;"0,1/"&amp;"100"</f>
        <v>Объем: 0,15=(5+80+60+5+80+60+5+80+60+5+60+130+120)*0,2*0,1/100</v>
      </c>
    </row>
    <row r="892" spans="1:22" ht="14.25" x14ac:dyDescent="0.2">
      <c r="A892" s="19"/>
      <c r="B892" s="19"/>
      <c r="C892" s="19" t="s">
        <v>825</v>
      </c>
      <c r="D892" s="20"/>
      <c r="E892" s="9"/>
      <c r="F892" s="22">
        <f>Source!AO637</f>
        <v>6006.24</v>
      </c>
      <c r="G892" s="21" t="str">
        <f>Source!DG637</f>
        <v/>
      </c>
      <c r="H892" s="9">
        <f>Source!AV637</f>
        <v>1</v>
      </c>
      <c r="I892" s="9">
        <f>IF(Source!BA637&lt;&gt; 0, Source!BA637, 1)</f>
        <v>1</v>
      </c>
      <c r="J892" s="22">
        <f>Source!S637</f>
        <v>900.94</v>
      </c>
      <c r="K892" s="22"/>
    </row>
    <row r="893" spans="1:22" ht="14.25" x14ac:dyDescent="0.2">
      <c r="A893" s="19"/>
      <c r="B893" s="19"/>
      <c r="C893" s="19" t="s">
        <v>834</v>
      </c>
      <c r="D893" s="20"/>
      <c r="E893" s="9"/>
      <c r="F893" s="22">
        <f>Source!AL637</f>
        <v>14.63</v>
      </c>
      <c r="G893" s="21" t="str">
        <f>Source!DD637</f>
        <v/>
      </c>
      <c r="H893" s="9">
        <f>Source!AW637</f>
        <v>1</v>
      </c>
      <c r="I893" s="9">
        <f>IF(Source!BC637&lt;&gt; 0, Source!BC637, 1)</f>
        <v>1</v>
      </c>
      <c r="J893" s="22">
        <f>Source!P637</f>
        <v>2.19</v>
      </c>
      <c r="K893" s="22"/>
    </row>
    <row r="894" spans="1:22" ht="14.25" x14ac:dyDescent="0.2">
      <c r="A894" s="19"/>
      <c r="B894" s="19"/>
      <c r="C894" s="19" t="s">
        <v>828</v>
      </c>
      <c r="D894" s="20" t="s">
        <v>829</v>
      </c>
      <c r="E894" s="9">
        <f>Source!AT637</f>
        <v>70</v>
      </c>
      <c r="F894" s="22"/>
      <c r="G894" s="21"/>
      <c r="H894" s="9"/>
      <c r="I894" s="9"/>
      <c r="J894" s="22">
        <f>SUM(R890:R893)</f>
        <v>630.66</v>
      </c>
      <c r="K894" s="22"/>
    </row>
    <row r="895" spans="1:22" ht="14.25" x14ac:dyDescent="0.2">
      <c r="A895" s="19"/>
      <c r="B895" s="19"/>
      <c r="C895" s="19" t="s">
        <v>830</v>
      </c>
      <c r="D895" s="20" t="s">
        <v>829</v>
      </c>
      <c r="E895" s="9">
        <f>Source!AU637</f>
        <v>10</v>
      </c>
      <c r="F895" s="22"/>
      <c r="G895" s="21"/>
      <c r="H895" s="9"/>
      <c r="I895" s="9"/>
      <c r="J895" s="22">
        <f>SUM(T890:T894)</f>
        <v>90.09</v>
      </c>
      <c r="K895" s="22"/>
    </row>
    <row r="896" spans="1:22" ht="14.25" x14ac:dyDescent="0.2">
      <c r="A896" s="19"/>
      <c r="B896" s="19"/>
      <c r="C896" s="19" t="s">
        <v>832</v>
      </c>
      <c r="D896" s="20" t="s">
        <v>833</v>
      </c>
      <c r="E896" s="9">
        <f>Source!AQ637</f>
        <v>11.22</v>
      </c>
      <c r="F896" s="22"/>
      <c r="G896" s="21" t="str">
        <f>Source!DI637</f>
        <v/>
      </c>
      <c r="H896" s="9">
        <f>Source!AV637</f>
        <v>1</v>
      </c>
      <c r="I896" s="9"/>
      <c r="J896" s="22"/>
      <c r="K896" s="22">
        <f>Source!U637</f>
        <v>1.6830000000000001</v>
      </c>
    </row>
    <row r="897" spans="1:22" ht="15" x14ac:dyDescent="0.25">
      <c r="A897" s="27"/>
      <c r="B897" s="27"/>
      <c r="C897" s="27"/>
      <c r="D897" s="27"/>
      <c r="E897" s="27"/>
      <c r="F897" s="27"/>
      <c r="G897" s="27"/>
      <c r="H897" s="27"/>
      <c r="I897" s="60">
        <f>J892+J893+J894+J895</f>
        <v>1623.8799999999999</v>
      </c>
      <c r="J897" s="60"/>
      <c r="K897" s="28">
        <f>IF(Source!I637&lt;&gt;0, ROUND(I897/Source!I637, 2), 0)</f>
        <v>10825.87</v>
      </c>
      <c r="P897" s="25">
        <f>I897</f>
        <v>1623.8799999999999</v>
      </c>
    </row>
    <row r="898" spans="1:22" ht="71.25" x14ac:dyDescent="0.2">
      <c r="A898" s="19">
        <v>86</v>
      </c>
      <c r="B898" s="19" t="str">
        <f>Source!F638</f>
        <v>1.21-2103-9-4/1</v>
      </c>
      <c r="C898" s="19" t="str">
        <f>Source!G638</f>
        <v>Техническое обслуживание силовых сетей, проложенных по кирпичным и бетонным основаниям, добавлять на каждый следующий провод к поз. 21-2103-9-3 / (5х1,5, 5х2,5, 5х4, 5х6)</v>
      </c>
      <c r="D898" s="20" t="str">
        <f>Source!H638</f>
        <v>100 м</v>
      </c>
      <c r="E898" s="9">
        <f>Source!I638</f>
        <v>0.15</v>
      </c>
      <c r="F898" s="22"/>
      <c r="G898" s="21"/>
      <c r="H898" s="9"/>
      <c r="I898" s="9"/>
      <c r="J898" s="22"/>
      <c r="K898" s="22"/>
      <c r="Q898">
        <f>ROUND((Source!BZ638/100)*ROUND((Source!AF638*Source!AV638)*Source!I638, 2), 2)</f>
        <v>114.67</v>
      </c>
      <c r="R898">
        <f>Source!X638</f>
        <v>114.67</v>
      </c>
      <c r="S898">
        <f>ROUND((Source!CA638/100)*ROUND((Source!AF638*Source!AV638)*Source!I638, 2), 2)</f>
        <v>16.38</v>
      </c>
      <c r="T898">
        <f>Source!Y638</f>
        <v>16.38</v>
      </c>
      <c r="U898">
        <f>ROUND((175/100)*ROUND((Source!AE638*Source!AV638)*Source!I638, 2), 2)</f>
        <v>0</v>
      </c>
      <c r="V898">
        <f>ROUND((108/100)*ROUND(Source!CS638*Source!I638, 2), 2)</f>
        <v>0</v>
      </c>
    </row>
    <row r="899" spans="1:22" ht="38.25" x14ac:dyDescent="0.2">
      <c r="C899" s="23" t="str">
        <f>"Объем: "&amp;Source!I638&amp;"=(5+"&amp;"80+"&amp;"60+"&amp;"5+"&amp;"80+"&amp;"60+"&amp;"5+"&amp;"80+"&amp;"60+"&amp;"5+"&amp;"60+"&amp;"130+"&amp;"120)*"&amp;"0,2*"&amp;"0,1/"&amp;"100"</f>
        <v>Объем: 0,15=(5+80+60+5+80+60+5+80+60+5+60+130+120)*0,2*0,1/100</v>
      </c>
    </row>
    <row r="900" spans="1:22" ht="14.25" x14ac:dyDescent="0.2">
      <c r="A900" s="19"/>
      <c r="B900" s="19"/>
      <c r="C900" s="19" t="s">
        <v>825</v>
      </c>
      <c r="D900" s="20"/>
      <c r="E900" s="9"/>
      <c r="F900" s="22">
        <f>Source!AO638</f>
        <v>1092.04</v>
      </c>
      <c r="G900" s="21" t="str">
        <f>Source!DG638</f>
        <v/>
      </c>
      <c r="H900" s="9">
        <f>Source!AV638</f>
        <v>1</v>
      </c>
      <c r="I900" s="9">
        <f>IF(Source!BA638&lt;&gt; 0, Source!BA638, 1)</f>
        <v>1</v>
      </c>
      <c r="J900" s="22">
        <f>Source!S638</f>
        <v>163.81</v>
      </c>
      <c r="K900" s="22"/>
    </row>
    <row r="901" spans="1:22" ht="14.25" x14ac:dyDescent="0.2">
      <c r="A901" s="19"/>
      <c r="B901" s="19"/>
      <c r="C901" s="19" t="s">
        <v>828</v>
      </c>
      <c r="D901" s="20" t="s">
        <v>829</v>
      </c>
      <c r="E901" s="9">
        <f>Source!AT638</f>
        <v>70</v>
      </c>
      <c r="F901" s="22"/>
      <c r="G901" s="21"/>
      <c r="H901" s="9"/>
      <c r="I901" s="9"/>
      <c r="J901" s="22">
        <f>SUM(R898:R900)</f>
        <v>114.67</v>
      </c>
      <c r="K901" s="22"/>
    </row>
    <row r="902" spans="1:22" ht="14.25" x14ac:dyDescent="0.2">
      <c r="A902" s="19"/>
      <c r="B902" s="19"/>
      <c r="C902" s="19" t="s">
        <v>830</v>
      </c>
      <c r="D902" s="20" t="s">
        <v>829</v>
      </c>
      <c r="E902" s="9">
        <f>Source!AU638</f>
        <v>10</v>
      </c>
      <c r="F902" s="22"/>
      <c r="G902" s="21"/>
      <c r="H902" s="9"/>
      <c r="I902" s="9"/>
      <c r="J902" s="22">
        <f>SUM(T898:T901)</f>
        <v>16.38</v>
      </c>
      <c r="K902" s="22"/>
    </row>
    <row r="903" spans="1:22" ht="14.25" x14ac:dyDescent="0.2">
      <c r="A903" s="19"/>
      <c r="B903" s="19"/>
      <c r="C903" s="19" t="s">
        <v>832</v>
      </c>
      <c r="D903" s="20" t="s">
        <v>833</v>
      </c>
      <c r="E903" s="9">
        <f>Source!AQ638</f>
        <v>2.04</v>
      </c>
      <c r="F903" s="22"/>
      <c r="G903" s="21" t="str">
        <f>Source!DI638</f>
        <v/>
      </c>
      <c r="H903" s="9">
        <f>Source!AV638</f>
        <v>1</v>
      </c>
      <c r="I903" s="9"/>
      <c r="J903" s="22"/>
      <c r="K903" s="22">
        <f>Source!U638</f>
        <v>0.30599999999999999</v>
      </c>
    </row>
    <row r="904" spans="1:22" ht="15" x14ac:dyDescent="0.25">
      <c r="A904" s="27"/>
      <c r="B904" s="27"/>
      <c r="C904" s="27"/>
      <c r="D904" s="27"/>
      <c r="E904" s="27"/>
      <c r="F904" s="27"/>
      <c r="G904" s="27"/>
      <c r="H904" s="27"/>
      <c r="I904" s="60">
        <f>J900+J901+J902</f>
        <v>294.86</v>
      </c>
      <c r="J904" s="60"/>
      <c r="K904" s="28">
        <f>IF(Source!I638&lt;&gt;0, ROUND(I904/Source!I638, 2), 0)</f>
        <v>1965.73</v>
      </c>
      <c r="P904" s="25">
        <f>I904</f>
        <v>294.86</v>
      </c>
    </row>
    <row r="906" spans="1:22" ht="15" x14ac:dyDescent="0.25">
      <c r="A906" s="59" t="str">
        <f>CONCATENATE("Итого по подразделу: ",IF(Source!G641&lt;&gt;"Новый подраздел", Source!G641, ""))</f>
        <v>Итого по подразделу: Силовое электрооборудование</v>
      </c>
      <c r="B906" s="59"/>
      <c r="C906" s="59"/>
      <c r="D906" s="59"/>
      <c r="E906" s="59"/>
      <c r="F906" s="59"/>
      <c r="G906" s="59"/>
      <c r="H906" s="59"/>
      <c r="I906" s="57">
        <f>SUM(P764:P905)</f>
        <v>455550.4200000001</v>
      </c>
      <c r="J906" s="58"/>
      <c r="K906" s="18"/>
    </row>
    <row r="909" spans="1:22" ht="16.5" x14ac:dyDescent="0.25">
      <c r="A909" s="55" t="str">
        <f>CONCATENATE("Подраздел: ",IF(Source!G671&lt;&gt;"Новый подраздел", Source!G671, ""))</f>
        <v>Подраздел: Электрическое освещение (внутреннее)</v>
      </c>
      <c r="B909" s="55"/>
      <c r="C909" s="55"/>
      <c r="D909" s="55"/>
      <c r="E909" s="55"/>
      <c r="F909" s="55"/>
      <c r="G909" s="55"/>
      <c r="H909" s="55"/>
      <c r="I909" s="55"/>
      <c r="J909" s="55"/>
      <c r="K909" s="55"/>
    </row>
    <row r="911" spans="1:22" ht="15" x14ac:dyDescent="0.25">
      <c r="B911" s="56" t="str">
        <f>Source!G675</f>
        <v>Оборудование светотехническое. Корпус  7.2.1, Корпус 7.2.2, Корпус 7.2.3,  Корпус 7.2.4</v>
      </c>
      <c r="C911" s="56"/>
      <c r="D911" s="56"/>
      <c r="E911" s="56"/>
      <c r="F911" s="56"/>
      <c r="G911" s="56"/>
      <c r="H911" s="56"/>
      <c r="I911" s="56"/>
      <c r="J911" s="56"/>
    </row>
    <row r="912" spans="1:22" ht="150.75" x14ac:dyDescent="0.2">
      <c r="A912" s="19">
        <v>87</v>
      </c>
      <c r="B912" s="19" t="s">
        <v>835</v>
      </c>
      <c r="C912" s="19" t="s">
        <v>836</v>
      </c>
      <c r="D912" s="20" t="str">
        <f>Source!H676</f>
        <v>шт.</v>
      </c>
      <c r="E912" s="9">
        <f>Source!I676</f>
        <v>68</v>
      </c>
      <c r="F912" s="22"/>
      <c r="G912" s="21"/>
      <c r="H912" s="9"/>
      <c r="I912" s="9"/>
      <c r="J912" s="22"/>
      <c r="K912" s="22"/>
      <c r="Q912">
        <f>ROUND((Source!BZ676/100)*ROUND((Source!AF676*Source!AV676)*Source!I676, 2), 2)</f>
        <v>5009.3100000000004</v>
      </c>
      <c r="R912">
        <f>Source!X676</f>
        <v>5009.3100000000004</v>
      </c>
      <c r="S912">
        <f>ROUND((Source!CA676/100)*ROUND((Source!AF676*Source!AV676)*Source!I676, 2), 2)</f>
        <v>715.62</v>
      </c>
      <c r="T912">
        <f>Source!Y676</f>
        <v>715.62</v>
      </c>
      <c r="U912">
        <f>ROUND((175/100)*ROUND((Source!AE676*Source!AV676)*Source!I676, 2), 2)</f>
        <v>0</v>
      </c>
      <c r="V912">
        <f>ROUND((108/100)*ROUND(Source!CS676*Source!I676, 2), 2)</f>
        <v>0</v>
      </c>
    </row>
    <row r="913" spans="1:22" x14ac:dyDescent="0.2">
      <c r="C913" s="23" t="str">
        <f>"Объем: "&amp;Source!I676&amp;"=12+"&amp;"12+"&amp;"12+"&amp;"32"</f>
        <v>Объем: 68=12+12+12+32</v>
      </c>
    </row>
    <row r="914" spans="1:22" ht="14.25" x14ac:dyDescent="0.2">
      <c r="A914" s="19"/>
      <c r="B914" s="19"/>
      <c r="C914" s="19" t="s">
        <v>825</v>
      </c>
      <c r="D914" s="20"/>
      <c r="E914" s="9"/>
      <c r="F914" s="22">
        <f>Source!AO676</f>
        <v>101.19</v>
      </c>
      <c r="G914" s="21" t="str">
        <f>Source!DG676</f>
        <v>)*1,04</v>
      </c>
      <c r="H914" s="9">
        <f>Source!AV676</f>
        <v>1</v>
      </c>
      <c r="I914" s="9">
        <f>IF(Source!BA676&lt;&gt; 0, Source!BA676, 1)</f>
        <v>1</v>
      </c>
      <c r="J914" s="22">
        <f>Source!S676</f>
        <v>7156.16</v>
      </c>
      <c r="K914" s="22"/>
    </row>
    <row r="915" spans="1:22" ht="14.25" x14ac:dyDescent="0.2">
      <c r="A915" s="19"/>
      <c r="B915" s="19"/>
      <c r="C915" s="19" t="s">
        <v>834</v>
      </c>
      <c r="D915" s="20"/>
      <c r="E915" s="9"/>
      <c r="F915" s="22">
        <f>Source!AL676</f>
        <v>1.26</v>
      </c>
      <c r="G915" s="21" t="str">
        <f>Source!DD676</f>
        <v/>
      </c>
      <c r="H915" s="9">
        <f>Source!AW676</f>
        <v>1</v>
      </c>
      <c r="I915" s="9">
        <f>IF(Source!BC676&lt;&gt; 0, Source!BC676, 1)</f>
        <v>1</v>
      </c>
      <c r="J915" s="22">
        <f>Source!P676</f>
        <v>85.68</v>
      </c>
      <c r="K915" s="22"/>
    </row>
    <row r="916" spans="1:22" ht="14.25" x14ac:dyDescent="0.2">
      <c r="A916" s="19"/>
      <c r="B916" s="19"/>
      <c r="C916" s="19" t="s">
        <v>828</v>
      </c>
      <c r="D916" s="20" t="s">
        <v>829</v>
      </c>
      <c r="E916" s="9">
        <f>Source!AT676</f>
        <v>70</v>
      </c>
      <c r="F916" s="22"/>
      <c r="G916" s="21"/>
      <c r="H916" s="9"/>
      <c r="I916" s="9"/>
      <c r="J916" s="22">
        <f>SUM(R912:R915)</f>
        <v>5009.3100000000004</v>
      </c>
      <c r="K916" s="22"/>
    </row>
    <row r="917" spans="1:22" ht="14.25" x14ac:dyDescent="0.2">
      <c r="A917" s="19"/>
      <c r="B917" s="19"/>
      <c r="C917" s="19" t="s">
        <v>830</v>
      </c>
      <c r="D917" s="20" t="s">
        <v>829</v>
      </c>
      <c r="E917" s="9">
        <f>Source!AU676</f>
        <v>10</v>
      </c>
      <c r="F917" s="22"/>
      <c r="G917" s="21"/>
      <c r="H917" s="9"/>
      <c r="I917" s="9"/>
      <c r="J917" s="22">
        <f>SUM(T912:T916)</f>
        <v>715.62</v>
      </c>
      <c r="K917" s="22"/>
    </row>
    <row r="918" spans="1:22" ht="14.25" x14ac:dyDescent="0.2">
      <c r="A918" s="19"/>
      <c r="B918" s="19"/>
      <c r="C918" s="19" t="s">
        <v>832</v>
      </c>
      <c r="D918" s="20" t="s">
        <v>833</v>
      </c>
      <c r="E918" s="9">
        <f>Source!AQ676</f>
        <v>0.18</v>
      </c>
      <c r="F918" s="22"/>
      <c r="G918" s="21" t="str">
        <f>Source!DI676</f>
        <v>)*1,04</v>
      </c>
      <c r="H918" s="9">
        <f>Source!AV676</f>
        <v>1</v>
      </c>
      <c r="I918" s="9"/>
      <c r="J918" s="22"/>
      <c r="K918" s="22">
        <f>Source!U676</f>
        <v>12.7296</v>
      </c>
    </row>
    <row r="919" spans="1:22" ht="15" x14ac:dyDescent="0.25">
      <c r="A919" s="27"/>
      <c r="B919" s="27"/>
      <c r="C919" s="27"/>
      <c r="D919" s="27"/>
      <c r="E919" s="27"/>
      <c r="F919" s="27"/>
      <c r="G919" s="27"/>
      <c r="H919" s="27"/>
      <c r="I919" s="60">
        <f>J914+J915+J916+J917</f>
        <v>12966.770000000002</v>
      </c>
      <c r="J919" s="60"/>
      <c r="K919" s="28">
        <f>IF(Source!I676&lt;&gt;0, ROUND(I919/Source!I676, 2), 0)</f>
        <v>190.69</v>
      </c>
      <c r="P919" s="25">
        <f>I919</f>
        <v>12966.770000000002</v>
      </c>
    </row>
    <row r="920" spans="1:22" ht="108" x14ac:dyDescent="0.2">
      <c r="A920" s="19">
        <v>88</v>
      </c>
      <c r="B920" s="19" t="s">
        <v>837</v>
      </c>
      <c r="C920" s="19" t="s">
        <v>838</v>
      </c>
      <c r="D920" s="20" t="str">
        <f>Source!H677</f>
        <v>шт.</v>
      </c>
      <c r="E920" s="9">
        <f>Source!I677</f>
        <v>55</v>
      </c>
      <c r="F920" s="22"/>
      <c r="G920" s="21"/>
      <c r="H920" s="9"/>
      <c r="I920" s="9"/>
      <c r="J920" s="22"/>
      <c r="K920" s="22"/>
      <c r="Q920">
        <f>ROUND((Source!BZ677/100)*ROUND((Source!AF677*Source!AV677)*Source!I677, 2), 2)</f>
        <v>9003.7900000000009</v>
      </c>
      <c r="R920">
        <f>Source!X677</f>
        <v>9003.7900000000009</v>
      </c>
      <c r="S920">
        <f>ROUND((Source!CA677/100)*ROUND((Source!AF677*Source!AV677)*Source!I677, 2), 2)</f>
        <v>1286.26</v>
      </c>
      <c r="T920">
        <f>Source!Y677</f>
        <v>1286.26</v>
      </c>
      <c r="U920">
        <f>ROUND((175/100)*ROUND((Source!AE677*Source!AV677)*Source!I677, 2), 2)</f>
        <v>0</v>
      </c>
      <c r="V920">
        <f>ROUND((108/100)*ROUND(Source!CS677*Source!I677, 2), 2)</f>
        <v>0</v>
      </c>
    </row>
    <row r="921" spans="1:22" x14ac:dyDescent="0.2">
      <c r="C921" s="23" t="str">
        <f>"Объем: "&amp;Source!I677&amp;"=11+"&amp;"1+"&amp;"11+"&amp;"1+"&amp;"11+"&amp;"1+"&amp;"17+"&amp;"2"</f>
        <v>Объем: 55=11+1+11+1+11+1+17+2</v>
      </c>
    </row>
    <row r="922" spans="1:22" ht="14.25" x14ac:dyDescent="0.2">
      <c r="A922" s="19"/>
      <c r="B922" s="19"/>
      <c r="C922" s="19" t="s">
        <v>825</v>
      </c>
      <c r="D922" s="20"/>
      <c r="E922" s="9"/>
      <c r="F922" s="22">
        <f>Source!AO677</f>
        <v>224.87</v>
      </c>
      <c r="G922" s="21" t="str">
        <f>Source!DG677</f>
        <v>)*1,04</v>
      </c>
      <c r="H922" s="9">
        <f>Source!AV677</f>
        <v>1</v>
      </c>
      <c r="I922" s="9">
        <f>IF(Source!BA677&lt;&gt; 0, Source!BA677, 1)</f>
        <v>1</v>
      </c>
      <c r="J922" s="22">
        <f>Source!S677</f>
        <v>12862.56</v>
      </c>
      <c r="K922" s="22"/>
    </row>
    <row r="923" spans="1:22" ht="14.25" x14ac:dyDescent="0.2">
      <c r="A923" s="19"/>
      <c r="B923" s="19"/>
      <c r="C923" s="19" t="s">
        <v>834</v>
      </c>
      <c r="D923" s="20"/>
      <c r="E923" s="9"/>
      <c r="F923" s="22">
        <f>Source!AL677</f>
        <v>1.26</v>
      </c>
      <c r="G923" s="21" t="str">
        <f>Source!DD677</f>
        <v/>
      </c>
      <c r="H923" s="9">
        <f>Source!AW677</f>
        <v>1</v>
      </c>
      <c r="I923" s="9">
        <f>IF(Source!BC677&lt;&gt; 0, Source!BC677, 1)</f>
        <v>1</v>
      </c>
      <c r="J923" s="22">
        <f>Source!P677</f>
        <v>69.3</v>
      </c>
      <c r="K923" s="22"/>
    </row>
    <row r="924" spans="1:22" ht="14.25" x14ac:dyDescent="0.2">
      <c r="A924" s="19"/>
      <c r="B924" s="19"/>
      <c r="C924" s="19" t="s">
        <v>828</v>
      </c>
      <c r="D924" s="20" t="s">
        <v>829</v>
      </c>
      <c r="E924" s="9">
        <f>Source!AT677</f>
        <v>70</v>
      </c>
      <c r="F924" s="22"/>
      <c r="G924" s="21"/>
      <c r="H924" s="9"/>
      <c r="I924" s="9"/>
      <c r="J924" s="22">
        <f>SUM(R920:R923)</f>
        <v>9003.7900000000009</v>
      </c>
      <c r="K924" s="22"/>
    </row>
    <row r="925" spans="1:22" ht="14.25" x14ac:dyDescent="0.2">
      <c r="A925" s="19"/>
      <c r="B925" s="19"/>
      <c r="C925" s="19" t="s">
        <v>830</v>
      </c>
      <c r="D925" s="20" t="s">
        <v>829</v>
      </c>
      <c r="E925" s="9">
        <f>Source!AU677</f>
        <v>10</v>
      </c>
      <c r="F925" s="22"/>
      <c r="G925" s="21"/>
      <c r="H925" s="9"/>
      <c r="I925" s="9"/>
      <c r="J925" s="22">
        <f>SUM(T920:T924)</f>
        <v>1286.26</v>
      </c>
      <c r="K925" s="22"/>
    </row>
    <row r="926" spans="1:22" ht="14.25" x14ac:dyDescent="0.2">
      <c r="A926" s="19"/>
      <c r="B926" s="19"/>
      <c r="C926" s="19" t="s">
        <v>832</v>
      </c>
      <c r="D926" s="20" t="s">
        <v>833</v>
      </c>
      <c r="E926" s="9">
        <f>Source!AQ677</f>
        <v>0.4</v>
      </c>
      <c r="F926" s="22"/>
      <c r="G926" s="21" t="str">
        <f>Source!DI677</f>
        <v>)*1,04</v>
      </c>
      <c r="H926" s="9">
        <f>Source!AV677</f>
        <v>1</v>
      </c>
      <c r="I926" s="9"/>
      <c r="J926" s="22"/>
      <c r="K926" s="22">
        <f>Source!U677</f>
        <v>22.880000000000003</v>
      </c>
    </row>
    <row r="927" spans="1:22" ht="15" x14ac:dyDescent="0.25">
      <c r="A927" s="27"/>
      <c r="B927" s="27"/>
      <c r="C927" s="27"/>
      <c r="D927" s="27"/>
      <c r="E927" s="27"/>
      <c r="F927" s="27"/>
      <c r="G927" s="27"/>
      <c r="H927" s="27"/>
      <c r="I927" s="60">
        <f>J922+J923+J924+J925</f>
        <v>23221.91</v>
      </c>
      <c r="J927" s="60"/>
      <c r="K927" s="28">
        <f>IF(Source!I677&lt;&gt;0, ROUND(I927/Source!I677, 2), 0)</f>
        <v>422.22</v>
      </c>
      <c r="P927" s="25">
        <f>I927</f>
        <v>23221.91</v>
      </c>
    </row>
    <row r="928" spans="1:22" ht="179.25" x14ac:dyDescent="0.2">
      <c r="A928" s="19">
        <v>89</v>
      </c>
      <c r="B928" s="19" t="s">
        <v>839</v>
      </c>
      <c r="C928" s="19" t="s">
        <v>840</v>
      </c>
      <c r="D928" s="20" t="str">
        <f>Source!H678</f>
        <v>шт.</v>
      </c>
      <c r="E928" s="9">
        <f>Source!I678</f>
        <v>620</v>
      </c>
      <c r="F928" s="22"/>
      <c r="G928" s="21"/>
      <c r="H928" s="9"/>
      <c r="I928" s="9"/>
      <c r="J928" s="22"/>
      <c r="K928" s="22"/>
      <c r="Q928">
        <f>ROUND((Source!BZ678/100)*ROUND((Source!AF678*Source!AV678)*Source!I678, 2), 2)</f>
        <v>76121.86</v>
      </c>
      <c r="R928">
        <f>Source!X678</f>
        <v>76121.86</v>
      </c>
      <c r="S928">
        <f>ROUND((Source!CA678/100)*ROUND((Source!AF678*Source!AV678)*Source!I678, 2), 2)</f>
        <v>10874.55</v>
      </c>
      <c r="T928">
        <f>Source!Y678</f>
        <v>10874.55</v>
      </c>
      <c r="U928">
        <f>ROUND((175/100)*ROUND((Source!AE678*Source!AV678)*Source!I678, 2), 2)</f>
        <v>0</v>
      </c>
      <c r="V928">
        <f>ROUND((108/100)*ROUND(Source!CS678*Source!I678, 2), 2)</f>
        <v>0</v>
      </c>
    </row>
    <row r="929" spans="1:22" x14ac:dyDescent="0.2">
      <c r="C929" s="23" t="str">
        <f>"Объем: "&amp;Source!I678&amp;"=163+"&amp;"36+"&amp;"163+"&amp;"36+"&amp;"163+"&amp;"36+"&amp;"13+"&amp;"10"</f>
        <v>Объем: 620=163+36+163+36+163+36+13+10</v>
      </c>
    </row>
    <row r="930" spans="1:22" ht="14.25" x14ac:dyDescent="0.2">
      <c r="A930" s="19"/>
      <c r="B930" s="19"/>
      <c r="C930" s="19" t="s">
        <v>825</v>
      </c>
      <c r="D930" s="20"/>
      <c r="E930" s="9"/>
      <c r="F930" s="22">
        <f>Source!AO678</f>
        <v>168.65</v>
      </c>
      <c r="G930" s="21" t="str">
        <f>Source!DG678</f>
        <v>)*1,04</v>
      </c>
      <c r="H930" s="9">
        <f>Source!AV678</f>
        <v>1</v>
      </c>
      <c r="I930" s="9">
        <f>IF(Source!BA678&lt;&gt; 0, Source!BA678, 1)</f>
        <v>1</v>
      </c>
      <c r="J930" s="22">
        <f>Source!S678</f>
        <v>108745.52</v>
      </c>
      <c r="K930" s="22"/>
    </row>
    <row r="931" spans="1:22" ht="14.25" x14ac:dyDescent="0.2">
      <c r="A931" s="19"/>
      <c r="B931" s="19"/>
      <c r="C931" s="19" t="s">
        <v>834</v>
      </c>
      <c r="D931" s="20"/>
      <c r="E931" s="9"/>
      <c r="F931" s="22">
        <f>Source!AL678</f>
        <v>0.63</v>
      </c>
      <c r="G931" s="21" t="str">
        <f>Source!DD678</f>
        <v/>
      </c>
      <c r="H931" s="9">
        <f>Source!AW678</f>
        <v>1</v>
      </c>
      <c r="I931" s="9">
        <f>IF(Source!BC678&lt;&gt; 0, Source!BC678, 1)</f>
        <v>1</v>
      </c>
      <c r="J931" s="22">
        <f>Source!P678</f>
        <v>390.6</v>
      </c>
      <c r="K931" s="22"/>
    </row>
    <row r="932" spans="1:22" ht="14.25" x14ac:dyDescent="0.2">
      <c r="A932" s="19"/>
      <c r="B932" s="19"/>
      <c r="C932" s="19" t="s">
        <v>828</v>
      </c>
      <c r="D932" s="20" t="s">
        <v>829</v>
      </c>
      <c r="E932" s="9">
        <f>Source!AT678</f>
        <v>70</v>
      </c>
      <c r="F932" s="22"/>
      <c r="G932" s="21"/>
      <c r="H932" s="9"/>
      <c r="I932" s="9"/>
      <c r="J932" s="22">
        <f>SUM(R928:R931)</f>
        <v>76121.86</v>
      </c>
      <c r="K932" s="22"/>
    </row>
    <row r="933" spans="1:22" ht="14.25" x14ac:dyDescent="0.2">
      <c r="A933" s="19"/>
      <c r="B933" s="19"/>
      <c r="C933" s="19" t="s">
        <v>830</v>
      </c>
      <c r="D933" s="20" t="s">
        <v>829</v>
      </c>
      <c r="E933" s="9">
        <f>Source!AU678</f>
        <v>10</v>
      </c>
      <c r="F933" s="22"/>
      <c r="G933" s="21"/>
      <c r="H933" s="9"/>
      <c r="I933" s="9"/>
      <c r="J933" s="22">
        <f>SUM(T928:T932)</f>
        <v>10874.55</v>
      </c>
      <c r="K933" s="22"/>
    </row>
    <row r="934" spans="1:22" ht="14.25" x14ac:dyDescent="0.2">
      <c r="A934" s="19"/>
      <c r="B934" s="19"/>
      <c r="C934" s="19" t="s">
        <v>832</v>
      </c>
      <c r="D934" s="20" t="s">
        <v>833</v>
      </c>
      <c r="E934" s="9">
        <f>Source!AQ678</f>
        <v>0.3</v>
      </c>
      <c r="F934" s="22"/>
      <c r="G934" s="21" t="str">
        <f>Source!DI678</f>
        <v>)*1,04</v>
      </c>
      <c r="H934" s="9">
        <f>Source!AV678</f>
        <v>1</v>
      </c>
      <c r="I934" s="9"/>
      <c r="J934" s="22"/>
      <c r="K934" s="22">
        <f>Source!U678</f>
        <v>193.44</v>
      </c>
    </row>
    <row r="935" spans="1:22" ht="15" x14ac:dyDescent="0.25">
      <c r="A935" s="27"/>
      <c r="B935" s="27"/>
      <c r="C935" s="27"/>
      <c r="D935" s="27"/>
      <c r="E935" s="27"/>
      <c r="F935" s="27"/>
      <c r="G935" s="27"/>
      <c r="H935" s="27"/>
      <c r="I935" s="60">
        <f>J930+J931+J932+J933</f>
        <v>196132.53</v>
      </c>
      <c r="J935" s="60"/>
      <c r="K935" s="28">
        <f>IF(Source!I678&lt;&gt;0, ROUND(I935/Source!I678, 2), 0)</f>
        <v>316.33999999999997</v>
      </c>
      <c r="P935" s="25">
        <f>I935</f>
        <v>196132.53</v>
      </c>
    </row>
    <row r="936" spans="1:22" ht="93.75" x14ac:dyDescent="0.2">
      <c r="A936" s="19">
        <v>90</v>
      </c>
      <c r="B936" s="19" t="s">
        <v>841</v>
      </c>
      <c r="C936" s="19" t="s">
        <v>842</v>
      </c>
      <c r="D936" s="20" t="str">
        <f>Source!H679</f>
        <v>шт.</v>
      </c>
      <c r="E936" s="9">
        <f>Source!I679</f>
        <v>171</v>
      </c>
      <c r="F936" s="22"/>
      <c r="G936" s="21"/>
      <c r="H936" s="9"/>
      <c r="I936" s="9"/>
      <c r="J936" s="22"/>
      <c r="K936" s="22"/>
      <c r="Q936">
        <f>ROUND((Source!BZ679/100)*ROUND((Source!AF679*Source!AV679)*Source!I679, 2), 2)</f>
        <v>15395.43</v>
      </c>
      <c r="R936">
        <f>Source!X679</f>
        <v>15395.43</v>
      </c>
      <c r="S936">
        <f>ROUND((Source!CA679/100)*ROUND((Source!AF679*Source!AV679)*Source!I679, 2), 2)</f>
        <v>2199.35</v>
      </c>
      <c r="T936">
        <f>Source!Y679</f>
        <v>2199.35</v>
      </c>
      <c r="U936">
        <f>ROUND((175/100)*ROUND((Source!AE679*Source!AV679)*Source!I679, 2), 2)</f>
        <v>0</v>
      </c>
      <c r="V936">
        <f>ROUND((108/100)*ROUND(Source!CS679*Source!I679, 2), 2)</f>
        <v>0</v>
      </c>
    </row>
    <row r="937" spans="1:22" x14ac:dyDescent="0.2">
      <c r="C937" s="23" t="str">
        <f>"Объем: "&amp;Source!I679&amp;"=52+"&amp;"52+"&amp;"52+"&amp;"15"</f>
        <v>Объем: 171=52+52+52+15</v>
      </c>
    </row>
    <row r="938" spans="1:22" ht="14.25" x14ac:dyDescent="0.2">
      <c r="A938" s="19"/>
      <c r="B938" s="19"/>
      <c r="C938" s="19" t="s">
        <v>825</v>
      </c>
      <c r="D938" s="20"/>
      <c r="E938" s="9"/>
      <c r="F938" s="22">
        <f>Source!AO679</f>
        <v>123.67</v>
      </c>
      <c r="G938" s="21" t="str">
        <f>Source!DG679</f>
        <v>)*1,04</v>
      </c>
      <c r="H938" s="9">
        <f>Source!AV679</f>
        <v>1</v>
      </c>
      <c r="I938" s="9">
        <f>IF(Source!BA679&lt;&gt; 0, Source!BA679, 1)</f>
        <v>1</v>
      </c>
      <c r="J938" s="22">
        <f>Source!S679</f>
        <v>21993.47</v>
      </c>
      <c r="K938" s="22"/>
    </row>
    <row r="939" spans="1:22" ht="14.25" x14ac:dyDescent="0.2">
      <c r="A939" s="19"/>
      <c r="B939" s="19"/>
      <c r="C939" s="19" t="s">
        <v>834</v>
      </c>
      <c r="D939" s="20"/>
      <c r="E939" s="9"/>
      <c r="F939" s="22">
        <f>Source!AL679</f>
        <v>1.57</v>
      </c>
      <c r="G939" s="21" t="str">
        <f>Source!DD679</f>
        <v/>
      </c>
      <c r="H939" s="9">
        <f>Source!AW679</f>
        <v>1</v>
      </c>
      <c r="I939" s="9">
        <f>IF(Source!BC679&lt;&gt; 0, Source!BC679, 1)</f>
        <v>1</v>
      </c>
      <c r="J939" s="22">
        <f>Source!P679</f>
        <v>268.47000000000003</v>
      </c>
      <c r="K939" s="22"/>
    </row>
    <row r="940" spans="1:22" ht="14.25" x14ac:dyDescent="0.2">
      <c r="A940" s="19"/>
      <c r="B940" s="19"/>
      <c r="C940" s="19" t="s">
        <v>828</v>
      </c>
      <c r="D940" s="20" t="s">
        <v>829</v>
      </c>
      <c r="E940" s="9">
        <f>Source!AT679</f>
        <v>70</v>
      </c>
      <c r="F940" s="22"/>
      <c r="G940" s="21"/>
      <c r="H940" s="9"/>
      <c r="I940" s="9"/>
      <c r="J940" s="22">
        <f>SUM(R936:R939)</f>
        <v>15395.43</v>
      </c>
      <c r="K940" s="22"/>
    </row>
    <row r="941" spans="1:22" ht="14.25" x14ac:dyDescent="0.2">
      <c r="A941" s="19"/>
      <c r="B941" s="19"/>
      <c r="C941" s="19" t="s">
        <v>830</v>
      </c>
      <c r="D941" s="20" t="s">
        <v>829</v>
      </c>
      <c r="E941" s="9">
        <f>Source!AU679</f>
        <v>10</v>
      </c>
      <c r="F941" s="22"/>
      <c r="G941" s="21"/>
      <c r="H941" s="9"/>
      <c r="I941" s="9"/>
      <c r="J941" s="22">
        <f>SUM(T936:T940)</f>
        <v>2199.35</v>
      </c>
      <c r="K941" s="22"/>
    </row>
    <row r="942" spans="1:22" ht="14.25" x14ac:dyDescent="0.2">
      <c r="A942" s="19"/>
      <c r="B942" s="19"/>
      <c r="C942" s="19" t="s">
        <v>832</v>
      </c>
      <c r="D942" s="20" t="s">
        <v>833</v>
      </c>
      <c r="E942" s="9">
        <f>Source!AQ679</f>
        <v>0.22</v>
      </c>
      <c r="F942" s="22"/>
      <c r="G942" s="21" t="str">
        <f>Source!DI679</f>
        <v>)*1,04</v>
      </c>
      <c r="H942" s="9">
        <f>Source!AV679</f>
        <v>1</v>
      </c>
      <c r="I942" s="9"/>
      <c r="J942" s="22"/>
      <c r="K942" s="22">
        <f>Source!U679</f>
        <v>39.1248</v>
      </c>
    </row>
    <row r="943" spans="1:22" ht="15" x14ac:dyDescent="0.25">
      <c r="A943" s="27"/>
      <c r="B943" s="27"/>
      <c r="C943" s="27"/>
      <c r="D943" s="27"/>
      <c r="E943" s="27"/>
      <c r="F943" s="27"/>
      <c r="G943" s="27"/>
      <c r="H943" s="27"/>
      <c r="I943" s="60">
        <f>J938+J939+J940+J941</f>
        <v>39856.720000000001</v>
      </c>
      <c r="J943" s="60"/>
      <c r="K943" s="28">
        <f>IF(Source!I679&lt;&gt;0, ROUND(I943/Source!I679, 2), 0)</f>
        <v>233.08</v>
      </c>
      <c r="P943" s="25">
        <f>I943</f>
        <v>39856.720000000001</v>
      </c>
    </row>
    <row r="944" spans="1:22" ht="179.25" x14ac:dyDescent="0.2">
      <c r="A944" s="19">
        <v>91</v>
      </c>
      <c r="B944" s="19" t="s">
        <v>835</v>
      </c>
      <c r="C944" s="19" t="s">
        <v>843</v>
      </c>
      <c r="D944" s="20" t="str">
        <f>Source!H680</f>
        <v>шт.</v>
      </c>
      <c r="E944" s="9">
        <f>Source!I680</f>
        <v>64</v>
      </c>
      <c r="F944" s="22"/>
      <c r="G944" s="21"/>
      <c r="H944" s="9"/>
      <c r="I944" s="9"/>
      <c r="J944" s="22"/>
      <c r="K944" s="22"/>
      <c r="Q944">
        <f>ROUND((Source!BZ680/100)*ROUND((Source!AF680*Source!AV680)*Source!I680, 2), 2)</f>
        <v>4714.6499999999996</v>
      </c>
      <c r="R944">
        <f>Source!X680</f>
        <v>4714.6499999999996</v>
      </c>
      <c r="S944">
        <f>ROUND((Source!CA680/100)*ROUND((Source!AF680*Source!AV680)*Source!I680, 2), 2)</f>
        <v>673.52</v>
      </c>
      <c r="T944">
        <f>Source!Y680</f>
        <v>673.52</v>
      </c>
      <c r="U944">
        <f>ROUND((175/100)*ROUND((Source!AE680*Source!AV680)*Source!I680, 2), 2)</f>
        <v>0</v>
      </c>
      <c r="V944">
        <f>ROUND((108/100)*ROUND(Source!CS680*Source!I680, 2), 2)</f>
        <v>0</v>
      </c>
    </row>
    <row r="945" spans="1:22" x14ac:dyDescent="0.2">
      <c r="C945" s="23" t="str">
        <f>"Объем: "&amp;Source!I680&amp;"=16+"&amp;"16+"&amp;"16+"&amp;"16"</f>
        <v>Объем: 64=16+16+16+16</v>
      </c>
    </row>
    <row r="946" spans="1:22" ht="14.25" x14ac:dyDescent="0.2">
      <c r="A946" s="19"/>
      <c r="B946" s="19"/>
      <c r="C946" s="19" t="s">
        <v>825</v>
      </c>
      <c r="D946" s="20"/>
      <c r="E946" s="9"/>
      <c r="F946" s="22">
        <f>Source!AO680</f>
        <v>101.19</v>
      </c>
      <c r="G946" s="21" t="str">
        <f>Source!DG680</f>
        <v>)*1,04</v>
      </c>
      <c r="H946" s="9">
        <f>Source!AV680</f>
        <v>1</v>
      </c>
      <c r="I946" s="9">
        <f>IF(Source!BA680&lt;&gt; 0, Source!BA680, 1)</f>
        <v>1</v>
      </c>
      <c r="J946" s="22">
        <f>Source!S680</f>
        <v>6735.21</v>
      </c>
      <c r="K946" s="22"/>
    </row>
    <row r="947" spans="1:22" ht="14.25" x14ac:dyDescent="0.2">
      <c r="A947" s="19"/>
      <c r="B947" s="19"/>
      <c r="C947" s="19" t="s">
        <v>834</v>
      </c>
      <c r="D947" s="20"/>
      <c r="E947" s="9"/>
      <c r="F947" s="22">
        <f>Source!AL680</f>
        <v>1.26</v>
      </c>
      <c r="G947" s="21" t="str">
        <f>Source!DD680</f>
        <v/>
      </c>
      <c r="H947" s="9">
        <f>Source!AW680</f>
        <v>1</v>
      </c>
      <c r="I947" s="9">
        <f>IF(Source!BC680&lt;&gt; 0, Source!BC680, 1)</f>
        <v>1</v>
      </c>
      <c r="J947" s="22">
        <f>Source!P680</f>
        <v>80.64</v>
      </c>
      <c r="K947" s="22"/>
    </row>
    <row r="948" spans="1:22" ht="14.25" x14ac:dyDescent="0.2">
      <c r="A948" s="19"/>
      <c r="B948" s="19"/>
      <c r="C948" s="19" t="s">
        <v>828</v>
      </c>
      <c r="D948" s="20" t="s">
        <v>829</v>
      </c>
      <c r="E948" s="9">
        <f>Source!AT680</f>
        <v>70</v>
      </c>
      <c r="F948" s="22"/>
      <c r="G948" s="21"/>
      <c r="H948" s="9"/>
      <c r="I948" s="9"/>
      <c r="J948" s="22">
        <f>SUM(R944:R947)</f>
        <v>4714.6499999999996</v>
      </c>
      <c r="K948" s="22"/>
    </row>
    <row r="949" spans="1:22" ht="14.25" x14ac:dyDescent="0.2">
      <c r="A949" s="19"/>
      <c r="B949" s="19"/>
      <c r="C949" s="19" t="s">
        <v>830</v>
      </c>
      <c r="D949" s="20" t="s">
        <v>829</v>
      </c>
      <c r="E949" s="9">
        <f>Source!AU680</f>
        <v>10</v>
      </c>
      <c r="F949" s="22"/>
      <c r="G949" s="21"/>
      <c r="H949" s="9"/>
      <c r="I949" s="9"/>
      <c r="J949" s="22">
        <f>SUM(T944:T948)</f>
        <v>673.52</v>
      </c>
      <c r="K949" s="22"/>
    </row>
    <row r="950" spans="1:22" ht="14.25" x14ac:dyDescent="0.2">
      <c r="A950" s="19"/>
      <c r="B950" s="19"/>
      <c r="C950" s="19" t="s">
        <v>832</v>
      </c>
      <c r="D950" s="20" t="s">
        <v>833</v>
      </c>
      <c r="E950" s="9">
        <f>Source!AQ680</f>
        <v>0.18</v>
      </c>
      <c r="F950" s="22"/>
      <c r="G950" s="21" t="str">
        <f>Source!DI680</f>
        <v>)*1,04</v>
      </c>
      <c r="H950" s="9">
        <f>Source!AV680</f>
        <v>1</v>
      </c>
      <c r="I950" s="9"/>
      <c r="J950" s="22"/>
      <c r="K950" s="22">
        <f>Source!U680</f>
        <v>11.9808</v>
      </c>
    </row>
    <row r="951" spans="1:22" ht="15" x14ac:dyDescent="0.25">
      <c r="A951" s="27"/>
      <c r="B951" s="27"/>
      <c r="C951" s="27"/>
      <c r="D951" s="27"/>
      <c r="E951" s="27"/>
      <c r="F951" s="27"/>
      <c r="G951" s="27"/>
      <c r="H951" s="27"/>
      <c r="I951" s="60">
        <f>J946+J947+J948+J949</f>
        <v>12204.02</v>
      </c>
      <c r="J951" s="60"/>
      <c r="K951" s="28">
        <f>IF(Source!I680&lt;&gt;0, ROUND(I951/Source!I680, 2), 0)</f>
        <v>190.69</v>
      </c>
      <c r="P951" s="25">
        <f>I951</f>
        <v>12204.02</v>
      </c>
    </row>
    <row r="952" spans="1:22" ht="165" x14ac:dyDescent="0.2">
      <c r="A952" s="19">
        <v>92</v>
      </c>
      <c r="B952" s="19" t="s">
        <v>839</v>
      </c>
      <c r="C952" s="19" t="s">
        <v>844</v>
      </c>
      <c r="D952" s="20" t="str">
        <f>Source!H681</f>
        <v>шт.</v>
      </c>
      <c r="E952" s="9">
        <f>Source!I681</f>
        <v>188</v>
      </c>
      <c r="F952" s="22"/>
      <c r="G952" s="21"/>
      <c r="H952" s="9"/>
      <c r="I952" s="9"/>
      <c r="J952" s="22"/>
      <c r="K952" s="22"/>
      <c r="Q952">
        <f>ROUND((Source!BZ681/100)*ROUND((Source!AF681*Source!AV681)*Source!I681, 2), 2)</f>
        <v>23082.12</v>
      </c>
      <c r="R952">
        <f>Source!X681</f>
        <v>23082.12</v>
      </c>
      <c r="S952">
        <f>ROUND((Source!CA681/100)*ROUND((Source!AF681*Source!AV681)*Source!I681, 2), 2)</f>
        <v>3297.45</v>
      </c>
      <c r="T952">
        <f>Source!Y681</f>
        <v>3297.45</v>
      </c>
      <c r="U952">
        <f>ROUND((175/100)*ROUND((Source!AE681*Source!AV681)*Source!I681, 2), 2)</f>
        <v>0</v>
      </c>
      <c r="V952">
        <f>ROUND((108/100)*ROUND(Source!CS681*Source!I681, 2), 2)</f>
        <v>0</v>
      </c>
    </row>
    <row r="953" spans="1:22" x14ac:dyDescent="0.2">
      <c r="C953" s="23" t="str">
        <f>"Объем: "&amp;Source!I681&amp;"=46+"&amp;"46+"&amp;"46+"&amp;"4+"&amp;"2+"&amp;"44"</f>
        <v>Объем: 188=46+46+46+4+2+44</v>
      </c>
    </row>
    <row r="954" spans="1:22" ht="14.25" x14ac:dyDescent="0.2">
      <c r="A954" s="19"/>
      <c r="B954" s="19"/>
      <c r="C954" s="19" t="s">
        <v>825</v>
      </c>
      <c r="D954" s="20"/>
      <c r="E954" s="9"/>
      <c r="F954" s="22">
        <f>Source!AO681</f>
        <v>168.65</v>
      </c>
      <c r="G954" s="21" t="str">
        <f>Source!DG681</f>
        <v>)*1,04</v>
      </c>
      <c r="H954" s="9">
        <f>Source!AV681</f>
        <v>1</v>
      </c>
      <c r="I954" s="9">
        <f>IF(Source!BA681&lt;&gt; 0, Source!BA681, 1)</f>
        <v>1</v>
      </c>
      <c r="J954" s="22">
        <f>Source!S681</f>
        <v>32974.449999999997</v>
      </c>
      <c r="K954" s="22"/>
    </row>
    <row r="955" spans="1:22" ht="14.25" x14ac:dyDescent="0.2">
      <c r="A955" s="19"/>
      <c r="B955" s="19"/>
      <c r="C955" s="19" t="s">
        <v>834</v>
      </c>
      <c r="D955" s="20"/>
      <c r="E955" s="9"/>
      <c r="F955" s="22">
        <f>Source!AL681</f>
        <v>0.63</v>
      </c>
      <c r="G955" s="21" t="str">
        <f>Source!DD681</f>
        <v/>
      </c>
      <c r="H955" s="9">
        <f>Source!AW681</f>
        <v>1</v>
      </c>
      <c r="I955" s="9">
        <f>IF(Source!BC681&lt;&gt; 0, Source!BC681, 1)</f>
        <v>1</v>
      </c>
      <c r="J955" s="22">
        <f>Source!P681</f>
        <v>118.44</v>
      </c>
      <c r="K955" s="22"/>
    </row>
    <row r="956" spans="1:22" ht="14.25" x14ac:dyDescent="0.2">
      <c r="A956" s="19"/>
      <c r="B956" s="19"/>
      <c r="C956" s="19" t="s">
        <v>828</v>
      </c>
      <c r="D956" s="20" t="s">
        <v>829</v>
      </c>
      <c r="E956" s="9">
        <f>Source!AT681</f>
        <v>70</v>
      </c>
      <c r="F956" s="22"/>
      <c r="G956" s="21"/>
      <c r="H956" s="9"/>
      <c r="I956" s="9"/>
      <c r="J956" s="22">
        <f>SUM(R952:R955)</f>
        <v>23082.12</v>
      </c>
      <c r="K956" s="22"/>
    </row>
    <row r="957" spans="1:22" ht="14.25" x14ac:dyDescent="0.2">
      <c r="A957" s="19"/>
      <c r="B957" s="19"/>
      <c r="C957" s="19" t="s">
        <v>830</v>
      </c>
      <c r="D957" s="20" t="s">
        <v>829</v>
      </c>
      <c r="E957" s="9">
        <f>Source!AU681</f>
        <v>10</v>
      </c>
      <c r="F957" s="22"/>
      <c r="G957" s="21"/>
      <c r="H957" s="9"/>
      <c r="I957" s="9"/>
      <c r="J957" s="22">
        <f>SUM(T952:T956)</f>
        <v>3297.45</v>
      </c>
      <c r="K957" s="22"/>
    </row>
    <row r="958" spans="1:22" ht="14.25" x14ac:dyDescent="0.2">
      <c r="A958" s="19"/>
      <c r="B958" s="19"/>
      <c r="C958" s="19" t="s">
        <v>832</v>
      </c>
      <c r="D958" s="20" t="s">
        <v>833</v>
      </c>
      <c r="E958" s="9">
        <f>Source!AQ681</f>
        <v>0.3</v>
      </c>
      <c r="F958" s="22"/>
      <c r="G958" s="21" t="str">
        <f>Source!DI681</f>
        <v>)*1,04</v>
      </c>
      <c r="H958" s="9">
        <f>Source!AV681</f>
        <v>1</v>
      </c>
      <c r="I958" s="9"/>
      <c r="J958" s="22"/>
      <c r="K958" s="22">
        <f>Source!U681</f>
        <v>58.655999999999999</v>
      </c>
    </row>
    <row r="959" spans="1:22" ht="15" x14ac:dyDescent="0.25">
      <c r="A959" s="27"/>
      <c r="B959" s="27"/>
      <c r="C959" s="27"/>
      <c r="D959" s="27"/>
      <c r="E959" s="27"/>
      <c r="F959" s="27"/>
      <c r="G959" s="27"/>
      <c r="H959" s="27"/>
      <c r="I959" s="60">
        <f>J954+J955+J956+J957</f>
        <v>59472.459999999992</v>
      </c>
      <c r="J959" s="60"/>
      <c r="K959" s="28">
        <f>IF(Source!I681&lt;&gt;0, ROUND(I959/Source!I681, 2), 0)</f>
        <v>316.33999999999997</v>
      </c>
      <c r="P959" s="25">
        <f>I959</f>
        <v>59472.459999999992</v>
      </c>
    </row>
    <row r="960" spans="1:22" ht="165" x14ac:dyDescent="0.2">
      <c r="A960" s="19">
        <v>93</v>
      </c>
      <c r="B960" s="19" t="s">
        <v>835</v>
      </c>
      <c r="C960" s="19" t="s">
        <v>845</v>
      </c>
      <c r="D960" s="20" t="str">
        <f>Source!H682</f>
        <v>шт.</v>
      </c>
      <c r="E960" s="9">
        <f>Source!I682</f>
        <v>54</v>
      </c>
      <c r="F960" s="22"/>
      <c r="G960" s="21"/>
      <c r="H960" s="9"/>
      <c r="I960" s="9"/>
      <c r="J960" s="22"/>
      <c r="K960" s="22"/>
      <c r="Q960">
        <f>ROUND((Source!BZ682/100)*ROUND((Source!AF682*Source!AV682)*Source!I682, 2), 2)</f>
        <v>3977.98</v>
      </c>
      <c r="R960">
        <f>Source!X682</f>
        <v>3977.98</v>
      </c>
      <c r="S960">
        <f>ROUND((Source!CA682/100)*ROUND((Source!AF682*Source!AV682)*Source!I682, 2), 2)</f>
        <v>568.28</v>
      </c>
      <c r="T960">
        <f>Source!Y682</f>
        <v>568.28</v>
      </c>
      <c r="U960">
        <f>ROUND((175/100)*ROUND((Source!AE682*Source!AV682)*Source!I682, 2), 2)</f>
        <v>0</v>
      </c>
      <c r="V960">
        <f>ROUND((108/100)*ROUND(Source!CS682*Source!I682, 2), 2)</f>
        <v>0</v>
      </c>
    </row>
    <row r="961" spans="1:22" x14ac:dyDescent="0.2">
      <c r="C961" s="23" t="str">
        <f>"Объем: "&amp;Source!I682&amp;"=18+"&amp;"18+"&amp;"18"</f>
        <v>Объем: 54=18+18+18</v>
      </c>
    </row>
    <row r="962" spans="1:22" ht="14.25" x14ac:dyDescent="0.2">
      <c r="A962" s="19"/>
      <c r="B962" s="19"/>
      <c r="C962" s="19" t="s">
        <v>825</v>
      </c>
      <c r="D962" s="20"/>
      <c r="E962" s="9"/>
      <c r="F962" s="22">
        <f>Source!AO682</f>
        <v>101.19</v>
      </c>
      <c r="G962" s="21" t="str">
        <f>Source!DG682</f>
        <v>)*1,04</v>
      </c>
      <c r="H962" s="9">
        <f>Source!AV682</f>
        <v>1</v>
      </c>
      <c r="I962" s="9">
        <f>IF(Source!BA682&lt;&gt; 0, Source!BA682, 1)</f>
        <v>1</v>
      </c>
      <c r="J962" s="22">
        <f>Source!S682</f>
        <v>5682.83</v>
      </c>
      <c r="K962" s="22"/>
    </row>
    <row r="963" spans="1:22" ht="14.25" x14ac:dyDescent="0.2">
      <c r="A963" s="19"/>
      <c r="B963" s="19"/>
      <c r="C963" s="19" t="s">
        <v>834</v>
      </c>
      <c r="D963" s="20"/>
      <c r="E963" s="9"/>
      <c r="F963" s="22">
        <f>Source!AL682</f>
        <v>1.26</v>
      </c>
      <c r="G963" s="21" t="str">
        <f>Source!DD682</f>
        <v/>
      </c>
      <c r="H963" s="9">
        <f>Source!AW682</f>
        <v>1</v>
      </c>
      <c r="I963" s="9">
        <f>IF(Source!BC682&lt;&gt; 0, Source!BC682, 1)</f>
        <v>1</v>
      </c>
      <c r="J963" s="22">
        <f>Source!P682</f>
        <v>68.040000000000006</v>
      </c>
      <c r="K963" s="22"/>
    </row>
    <row r="964" spans="1:22" ht="14.25" x14ac:dyDescent="0.2">
      <c r="A964" s="19"/>
      <c r="B964" s="19"/>
      <c r="C964" s="19" t="s">
        <v>828</v>
      </c>
      <c r="D964" s="20" t="s">
        <v>829</v>
      </c>
      <c r="E964" s="9">
        <f>Source!AT682</f>
        <v>70</v>
      </c>
      <c r="F964" s="22"/>
      <c r="G964" s="21"/>
      <c r="H964" s="9"/>
      <c r="I964" s="9"/>
      <c r="J964" s="22">
        <f>SUM(R960:R963)</f>
        <v>3977.98</v>
      </c>
      <c r="K964" s="22"/>
    </row>
    <row r="965" spans="1:22" ht="14.25" x14ac:dyDescent="0.2">
      <c r="A965" s="19"/>
      <c r="B965" s="19"/>
      <c r="C965" s="19" t="s">
        <v>830</v>
      </c>
      <c r="D965" s="20" t="s">
        <v>829</v>
      </c>
      <c r="E965" s="9">
        <f>Source!AU682</f>
        <v>10</v>
      </c>
      <c r="F965" s="22"/>
      <c r="G965" s="21"/>
      <c r="H965" s="9"/>
      <c r="I965" s="9"/>
      <c r="J965" s="22">
        <f>SUM(T960:T964)</f>
        <v>568.28</v>
      </c>
      <c r="K965" s="22"/>
    </row>
    <row r="966" spans="1:22" ht="14.25" x14ac:dyDescent="0.2">
      <c r="A966" s="19"/>
      <c r="B966" s="19"/>
      <c r="C966" s="19" t="s">
        <v>832</v>
      </c>
      <c r="D966" s="20" t="s">
        <v>833</v>
      </c>
      <c r="E966" s="9">
        <f>Source!AQ682</f>
        <v>0.18</v>
      </c>
      <c r="F966" s="22"/>
      <c r="G966" s="21" t="str">
        <f>Source!DI682</f>
        <v>)*1,04</v>
      </c>
      <c r="H966" s="9">
        <f>Source!AV682</f>
        <v>1</v>
      </c>
      <c r="I966" s="9"/>
      <c r="J966" s="22"/>
      <c r="K966" s="22">
        <f>Source!U682</f>
        <v>10.1088</v>
      </c>
    </row>
    <row r="967" spans="1:22" ht="15" x14ac:dyDescent="0.25">
      <c r="A967" s="27"/>
      <c r="B967" s="27"/>
      <c r="C967" s="27"/>
      <c r="D967" s="27"/>
      <c r="E967" s="27"/>
      <c r="F967" s="27"/>
      <c r="G967" s="27"/>
      <c r="H967" s="27"/>
      <c r="I967" s="60">
        <f>J962+J963+J964+J965</f>
        <v>10297.130000000001</v>
      </c>
      <c r="J967" s="60"/>
      <c r="K967" s="28">
        <f>IF(Source!I682&lt;&gt;0, ROUND(I967/Source!I682, 2), 0)</f>
        <v>190.69</v>
      </c>
      <c r="P967" s="25">
        <f>I967</f>
        <v>10297.130000000001</v>
      </c>
    </row>
    <row r="968" spans="1:22" ht="193.5" x14ac:dyDescent="0.2">
      <c r="A968" s="19">
        <v>94</v>
      </c>
      <c r="B968" s="19" t="s">
        <v>839</v>
      </c>
      <c r="C968" s="19" t="s">
        <v>846</v>
      </c>
      <c r="D968" s="20" t="str">
        <f>Source!H683</f>
        <v>шт.</v>
      </c>
      <c r="E968" s="9">
        <f>Source!I683</f>
        <v>13</v>
      </c>
      <c r="F968" s="22"/>
      <c r="G968" s="21"/>
      <c r="H968" s="9"/>
      <c r="I968" s="9"/>
      <c r="J968" s="22"/>
      <c r="K968" s="22"/>
      <c r="Q968">
        <f>ROUND((Source!BZ683/100)*ROUND((Source!AF683*Source!AV683)*Source!I683, 2), 2)</f>
        <v>1596.11</v>
      </c>
      <c r="R968">
        <f>Source!X683</f>
        <v>1596.11</v>
      </c>
      <c r="S968">
        <f>ROUND((Source!CA683/100)*ROUND((Source!AF683*Source!AV683)*Source!I683, 2), 2)</f>
        <v>228.02</v>
      </c>
      <c r="T968">
        <f>Source!Y683</f>
        <v>228.02</v>
      </c>
      <c r="U968">
        <f>ROUND((175/100)*ROUND((Source!AE683*Source!AV683)*Source!I683, 2), 2)</f>
        <v>0</v>
      </c>
      <c r="V968">
        <f>ROUND((108/100)*ROUND(Source!CS683*Source!I683, 2), 2)</f>
        <v>0</v>
      </c>
    </row>
    <row r="969" spans="1:22" x14ac:dyDescent="0.2">
      <c r="C969" s="23" t="str">
        <f>"Объем: "&amp;Source!I683&amp;"=2+"&amp;"2+"&amp;"2+"&amp;"3+"&amp;"4"</f>
        <v>Объем: 13=2+2+2+3+4</v>
      </c>
    </row>
    <row r="970" spans="1:22" ht="14.25" x14ac:dyDescent="0.2">
      <c r="A970" s="19"/>
      <c r="B970" s="19"/>
      <c r="C970" s="19" t="s">
        <v>825</v>
      </c>
      <c r="D970" s="20"/>
      <c r="E970" s="9"/>
      <c r="F970" s="22">
        <f>Source!AO683</f>
        <v>168.65</v>
      </c>
      <c r="G970" s="21" t="str">
        <f>Source!DG683</f>
        <v>)*1,04</v>
      </c>
      <c r="H970" s="9">
        <f>Source!AV683</f>
        <v>1</v>
      </c>
      <c r="I970" s="9">
        <f>IF(Source!BA683&lt;&gt; 0, Source!BA683, 1)</f>
        <v>1</v>
      </c>
      <c r="J970" s="22">
        <f>Source!S683</f>
        <v>2280.15</v>
      </c>
      <c r="K970" s="22"/>
    </row>
    <row r="971" spans="1:22" ht="14.25" x14ac:dyDescent="0.2">
      <c r="A971" s="19"/>
      <c r="B971" s="19"/>
      <c r="C971" s="19" t="s">
        <v>834</v>
      </c>
      <c r="D971" s="20"/>
      <c r="E971" s="9"/>
      <c r="F971" s="22">
        <f>Source!AL683</f>
        <v>0.63</v>
      </c>
      <c r="G971" s="21" t="str">
        <f>Source!DD683</f>
        <v/>
      </c>
      <c r="H971" s="9">
        <f>Source!AW683</f>
        <v>1</v>
      </c>
      <c r="I971" s="9">
        <f>IF(Source!BC683&lt;&gt; 0, Source!BC683, 1)</f>
        <v>1</v>
      </c>
      <c r="J971" s="22">
        <f>Source!P683</f>
        <v>8.19</v>
      </c>
      <c r="K971" s="22"/>
    </row>
    <row r="972" spans="1:22" ht="14.25" x14ac:dyDescent="0.2">
      <c r="A972" s="19"/>
      <c r="B972" s="19"/>
      <c r="C972" s="19" t="s">
        <v>828</v>
      </c>
      <c r="D972" s="20" t="s">
        <v>829</v>
      </c>
      <c r="E972" s="9">
        <f>Source!AT683</f>
        <v>70</v>
      </c>
      <c r="F972" s="22"/>
      <c r="G972" s="21"/>
      <c r="H972" s="9"/>
      <c r="I972" s="9"/>
      <c r="J972" s="22">
        <f>SUM(R968:R971)</f>
        <v>1596.11</v>
      </c>
      <c r="K972" s="22"/>
    </row>
    <row r="973" spans="1:22" ht="14.25" x14ac:dyDescent="0.2">
      <c r="A973" s="19"/>
      <c r="B973" s="19"/>
      <c r="C973" s="19" t="s">
        <v>830</v>
      </c>
      <c r="D973" s="20" t="s">
        <v>829</v>
      </c>
      <c r="E973" s="9">
        <f>Source!AU683</f>
        <v>10</v>
      </c>
      <c r="F973" s="22"/>
      <c r="G973" s="21"/>
      <c r="H973" s="9"/>
      <c r="I973" s="9"/>
      <c r="J973" s="22">
        <f>SUM(T968:T972)</f>
        <v>228.02</v>
      </c>
      <c r="K973" s="22"/>
    </row>
    <row r="974" spans="1:22" ht="14.25" x14ac:dyDescent="0.2">
      <c r="A974" s="19"/>
      <c r="B974" s="19"/>
      <c r="C974" s="19" t="s">
        <v>832</v>
      </c>
      <c r="D974" s="20" t="s">
        <v>833</v>
      </c>
      <c r="E974" s="9">
        <f>Source!AQ683</f>
        <v>0.3</v>
      </c>
      <c r="F974" s="22"/>
      <c r="G974" s="21" t="str">
        <f>Source!DI683</f>
        <v>)*1,04</v>
      </c>
      <c r="H974" s="9">
        <f>Source!AV683</f>
        <v>1</v>
      </c>
      <c r="I974" s="9"/>
      <c r="J974" s="22"/>
      <c r="K974" s="22">
        <f>Source!U683</f>
        <v>4.056</v>
      </c>
    </row>
    <row r="975" spans="1:22" ht="15" x14ac:dyDescent="0.25">
      <c r="A975" s="27"/>
      <c r="B975" s="27"/>
      <c r="C975" s="27"/>
      <c r="D975" s="27"/>
      <c r="E975" s="27"/>
      <c r="F975" s="27"/>
      <c r="G975" s="27"/>
      <c r="H975" s="27"/>
      <c r="I975" s="60">
        <f>J970+J971+J972+J973</f>
        <v>4112.47</v>
      </c>
      <c r="J975" s="60"/>
      <c r="K975" s="28">
        <f>IF(Source!I683&lt;&gt;0, ROUND(I975/Source!I683, 2), 0)</f>
        <v>316.33999999999997</v>
      </c>
      <c r="P975" s="25">
        <f>I975</f>
        <v>4112.47</v>
      </c>
    </row>
    <row r="976" spans="1:22" ht="122.25" x14ac:dyDescent="0.2">
      <c r="A976" s="19">
        <v>95</v>
      </c>
      <c r="B976" s="19" t="s">
        <v>841</v>
      </c>
      <c r="C976" s="19" t="s">
        <v>847</v>
      </c>
      <c r="D976" s="20" t="str">
        <f>Source!H684</f>
        <v>шт.</v>
      </c>
      <c r="E976" s="9">
        <f>Source!I684</f>
        <v>137</v>
      </c>
      <c r="F976" s="22"/>
      <c r="G976" s="21"/>
      <c r="H976" s="9"/>
      <c r="I976" s="9"/>
      <c r="J976" s="22"/>
      <c r="K976" s="22"/>
      <c r="Q976">
        <f>ROUND((Source!BZ684/100)*ROUND((Source!AF684*Source!AV684)*Source!I684, 2), 2)</f>
        <v>12334.35</v>
      </c>
      <c r="R976">
        <f>Source!X684</f>
        <v>12334.35</v>
      </c>
      <c r="S976">
        <f>ROUND((Source!CA684/100)*ROUND((Source!AF684*Source!AV684)*Source!I684, 2), 2)</f>
        <v>1762.05</v>
      </c>
      <c r="T976">
        <f>Source!Y684</f>
        <v>1762.05</v>
      </c>
      <c r="U976">
        <f>ROUND((175/100)*ROUND((Source!AE684*Source!AV684)*Source!I684, 2), 2)</f>
        <v>0</v>
      </c>
      <c r="V976">
        <f>ROUND((108/100)*ROUND(Source!CS684*Source!I684, 2), 2)</f>
        <v>0</v>
      </c>
    </row>
    <row r="977" spans="1:22" x14ac:dyDescent="0.2">
      <c r="C977" s="23" t="str">
        <f>"Объем: "&amp;Source!I684&amp;"=2+"&amp;"12+"&amp;"6+"&amp;"2+"&amp;"12+"&amp;"6+"&amp;"2+"&amp;"12+"&amp;"6+"&amp;"7+"&amp;"70"</f>
        <v>Объем: 137=2+12+6+2+12+6+2+12+6+7+70</v>
      </c>
    </row>
    <row r="978" spans="1:22" ht="14.25" x14ac:dyDescent="0.2">
      <c r="A978" s="19"/>
      <c r="B978" s="19"/>
      <c r="C978" s="19" t="s">
        <v>825</v>
      </c>
      <c r="D978" s="20"/>
      <c r="E978" s="9"/>
      <c r="F978" s="22">
        <f>Source!AO684</f>
        <v>123.67</v>
      </c>
      <c r="G978" s="21" t="str">
        <f>Source!DG684</f>
        <v>)*1,04</v>
      </c>
      <c r="H978" s="9">
        <f>Source!AV684</f>
        <v>1</v>
      </c>
      <c r="I978" s="9">
        <f>IF(Source!BA684&lt;&gt; 0, Source!BA684, 1)</f>
        <v>1</v>
      </c>
      <c r="J978" s="22">
        <f>Source!S684</f>
        <v>17620.5</v>
      </c>
      <c r="K978" s="22"/>
    </row>
    <row r="979" spans="1:22" ht="14.25" x14ac:dyDescent="0.2">
      <c r="A979" s="19"/>
      <c r="B979" s="19"/>
      <c r="C979" s="19" t="s">
        <v>834</v>
      </c>
      <c r="D979" s="20"/>
      <c r="E979" s="9"/>
      <c r="F979" s="22">
        <f>Source!AL684</f>
        <v>1.57</v>
      </c>
      <c r="G979" s="21" t="str">
        <f>Source!DD684</f>
        <v/>
      </c>
      <c r="H979" s="9">
        <f>Source!AW684</f>
        <v>1</v>
      </c>
      <c r="I979" s="9">
        <f>IF(Source!BC684&lt;&gt; 0, Source!BC684, 1)</f>
        <v>1</v>
      </c>
      <c r="J979" s="22">
        <f>Source!P684</f>
        <v>215.09</v>
      </c>
      <c r="K979" s="22"/>
    </row>
    <row r="980" spans="1:22" ht="14.25" x14ac:dyDescent="0.2">
      <c r="A980" s="19"/>
      <c r="B980" s="19"/>
      <c r="C980" s="19" t="s">
        <v>828</v>
      </c>
      <c r="D980" s="20" t="s">
        <v>829</v>
      </c>
      <c r="E980" s="9">
        <f>Source!AT684</f>
        <v>70</v>
      </c>
      <c r="F980" s="22"/>
      <c r="G980" s="21"/>
      <c r="H980" s="9"/>
      <c r="I980" s="9"/>
      <c r="J980" s="22">
        <f>SUM(R976:R979)</f>
        <v>12334.35</v>
      </c>
      <c r="K980" s="22"/>
    </row>
    <row r="981" spans="1:22" ht="14.25" x14ac:dyDescent="0.2">
      <c r="A981" s="19"/>
      <c r="B981" s="19"/>
      <c r="C981" s="19" t="s">
        <v>830</v>
      </c>
      <c r="D981" s="20" t="s">
        <v>829</v>
      </c>
      <c r="E981" s="9">
        <f>Source!AU684</f>
        <v>10</v>
      </c>
      <c r="F981" s="22"/>
      <c r="G981" s="21"/>
      <c r="H981" s="9"/>
      <c r="I981" s="9"/>
      <c r="J981" s="22">
        <f>SUM(T976:T980)</f>
        <v>1762.05</v>
      </c>
      <c r="K981" s="22"/>
    </row>
    <row r="982" spans="1:22" ht="14.25" x14ac:dyDescent="0.2">
      <c r="A982" s="19"/>
      <c r="B982" s="19"/>
      <c r="C982" s="19" t="s">
        <v>832</v>
      </c>
      <c r="D982" s="20" t="s">
        <v>833</v>
      </c>
      <c r="E982" s="9">
        <f>Source!AQ684</f>
        <v>0.22</v>
      </c>
      <c r="F982" s="22"/>
      <c r="G982" s="21" t="str">
        <f>Source!DI684</f>
        <v>)*1,04</v>
      </c>
      <c r="H982" s="9">
        <f>Source!AV684</f>
        <v>1</v>
      </c>
      <c r="I982" s="9"/>
      <c r="J982" s="22"/>
      <c r="K982" s="22">
        <f>Source!U684</f>
        <v>31.345600000000001</v>
      </c>
    </row>
    <row r="983" spans="1:22" ht="15" x14ac:dyDescent="0.25">
      <c r="A983" s="27"/>
      <c r="B983" s="27"/>
      <c r="C983" s="27"/>
      <c r="D983" s="27"/>
      <c r="E983" s="27"/>
      <c r="F983" s="27"/>
      <c r="G983" s="27"/>
      <c r="H983" s="27"/>
      <c r="I983" s="60">
        <f>J978+J979+J980+J981</f>
        <v>31931.99</v>
      </c>
      <c r="J983" s="60"/>
      <c r="K983" s="28">
        <f>IF(Source!I684&lt;&gt;0, ROUND(I983/Source!I684, 2), 0)</f>
        <v>233.08</v>
      </c>
      <c r="P983" s="25">
        <f>I983</f>
        <v>31931.99</v>
      </c>
    </row>
    <row r="984" spans="1:22" ht="108" x14ac:dyDescent="0.2">
      <c r="A984" s="19">
        <v>96</v>
      </c>
      <c r="B984" s="19" t="s">
        <v>848</v>
      </c>
      <c r="C984" s="19" t="s">
        <v>849</v>
      </c>
      <c r="D984" s="20" t="str">
        <f>Source!H685</f>
        <v>шт.</v>
      </c>
      <c r="E984" s="9">
        <f>Source!I685</f>
        <v>20</v>
      </c>
      <c r="F984" s="22"/>
      <c r="G984" s="21"/>
      <c r="H984" s="9"/>
      <c r="I984" s="9"/>
      <c r="J984" s="22"/>
      <c r="K984" s="22"/>
      <c r="Q984">
        <f>ROUND((Source!BZ685/100)*ROUND((Source!AF685*Source!AV685)*Source!I685, 2), 2)</f>
        <v>1800.64</v>
      </c>
      <c r="R984">
        <f>Source!X685</f>
        <v>1800.64</v>
      </c>
      <c r="S984">
        <f>ROUND((Source!CA685/100)*ROUND((Source!AF685*Source!AV685)*Source!I685, 2), 2)</f>
        <v>257.23</v>
      </c>
      <c r="T984">
        <f>Source!Y685</f>
        <v>257.23</v>
      </c>
      <c r="U984">
        <f>ROUND((175/100)*ROUND((Source!AE685*Source!AV685)*Source!I685, 2), 2)</f>
        <v>0</v>
      </c>
      <c r="V984">
        <f>ROUND((108/100)*ROUND(Source!CS685*Source!I685, 2), 2)</f>
        <v>0</v>
      </c>
    </row>
    <row r="985" spans="1:22" ht="14.25" x14ac:dyDescent="0.2">
      <c r="A985" s="19"/>
      <c r="B985" s="19"/>
      <c r="C985" s="19" t="s">
        <v>825</v>
      </c>
      <c r="D985" s="20"/>
      <c r="E985" s="9"/>
      <c r="F985" s="22">
        <f>Source!AO685</f>
        <v>123.67</v>
      </c>
      <c r="G985" s="21" t="str">
        <f>Source!DG685</f>
        <v>)*1,04</v>
      </c>
      <c r="H985" s="9">
        <f>Source!AV685</f>
        <v>1</v>
      </c>
      <c r="I985" s="9">
        <f>IF(Source!BA685&lt;&gt; 0, Source!BA685, 1)</f>
        <v>1</v>
      </c>
      <c r="J985" s="22">
        <f>Source!S685</f>
        <v>2572.34</v>
      </c>
      <c r="K985" s="22"/>
    </row>
    <row r="986" spans="1:22" ht="14.25" x14ac:dyDescent="0.2">
      <c r="A986" s="19"/>
      <c r="B986" s="19"/>
      <c r="C986" s="19" t="s">
        <v>834</v>
      </c>
      <c r="D986" s="20"/>
      <c r="E986" s="9"/>
      <c r="F986" s="22">
        <f>Source!AL685</f>
        <v>1.57</v>
      </c>
      <c r="G986" s="21" t="str">
        <f>Source!DD685</f>
        <v/>
      </c>
      <c r="H986" s="9">
        <f>Source!AW685</f>
        <v>1</v>
      </c>
      <c r="I986" s="9">
        <f>IF(Source!BC685&lt;&gt; 0, Source!BC685, 1)</f>
        <v>1</v>
      </c>
      <c r="J986" s="22">
        <f>Source!P685</f>
        <v>31.4</v>
      </c>
      <c r="K986" s="22"/>
    </row>
    <row r="987" spans="1:22" ht="14.25" x14ac:dyDescent="0.2">
      <c r="A987" s="19"/>
      <c r="B987" s="19"/>
      <c r="C987" s="19" t="s">
        <v>828</v>
      </c>
      <c r="D987" s="20" t="s">
        <v>829</v>
      </c>
      <c r="E987" s="9">
        <f>Source!AT685</f>
        <v>70</v>
      </c>
      <c r="F987" s="22"/>
      <c r="G987" s="21"/>
      <c r="H987" s="9"/>
      <c r="I987" s="9"/>
      <c r="J987" s="22">
        <f>SUM(R984:R986)</f>
        <v>1800.64</v>
      </c>
      <c r="K987" s="22"/>
    </row>
    <row r="988" spans="1:22" ht="14.25" x14ac:dyDescent="0.2">
      <c r="A988" s="19"/>
      <c r="B988" s="19"/>
      <c r="C988" s="19" t="s">
        <v>830</v>
      </c>
      <c r="D988" s="20" t="s">
        <v>829</v>
      </c>
      <c r="E988" s="9">
        <f>Source!AU685</f>
        <v>10</v>
      </c>
      <c r="F988" s="22"/>
      <c r="G988" s="21"/>
      <c r="H988" s="9"/>
      <c r="I988" s="9"/>
      <c r="J988" s="22">
        <f>SUM(T984:T987)</f>
        <v>257.23</v>
      </c>
      <c r="K988" s="22"/>
    </row>
    <row r="989" spans="1:22" ht="14.25" x14ac:dyDescent="0.2">
      <c r="A989" s="19"/>
      <c r="B989" s="19"/>
      <c r="C989" s="19" t="s">
        <v>832</v>
      </c>
      <c r="D989" s="20" t="s">
        <v>833</v>
      </c>
      <c r="E989" s="9">
        <f>Source!AQ685</f>
        <v>0.22</v>
      </c>
      <c r="F989" s="22"/>
      <c r="G989" s="21" t="str">
        <f>Source!DI685</f>
        <v>)*1,04</v>
      </c>
      <c r="H989" s="9">
        <f>Source!AV685</f>
        <v>1</v>
      </c>
      <c r="I989" s="9"/>
      <c r="J989" s="22"/>
      <c r="K989" s="22">
        <f>Source!U685</f>
        <v>4.5760000000000005</v>
      </c>
    </row>
    <row r="990" spans="1:22" ht="15" x14ac:dyDescent="0.25">
      <c r="A990" s="27"/>
      <c r="B990" s="27"/>
      <c r="C990" s="27"/>
      <c r="D990" s="27"/>
      <c r="E990" s="27"/>
      <c r="F990" s="27"/>
      <c r="G990" s="27"/>
      <c r="H990" s="27"/>
      <c r="I990" s="60">
        <f>J985+J986+J987+J988</f>
        <v>4661.6100000000006</v>
      </c>
      <c r="J990" s="60"/>
      <c r="K990" s="28">
        <f>IF(Source!I685&lt;&gt;0, ROUND(I990/Source!I685, 2), 0)</f>
        <v>233.08</v>
      </c>
      <c r="P990" s="25">
        <f>I990</f>
        <v>4661.6100000000006</v>
      </c>
    </row>
    <row r="992" spans="1:22" ht="15" x14ac:dyDescent="0.25">
      <c r="A992" s="59" t="str">
        <f>CONCATENATE("Итого по подразделу: ",IF(Source!G687&lt;&gt;"Новый подраздел", Source!G687, ""))</f>
        <v>Итого по подразделу: Электрическое освещение (внутреннее)</v>
      </c>
      <c r="B992" s="59"/>
      <c r="C992" s="59"/>
      <c r="D992" s="59"/>
      <c r="E992" s="59"/>
      <c r="F992" s="59"/>
      <c r="G992" s="59"/>
      <c r="H992" s="59"/>
      <c r="I992" s="57">
        <f>SUM(P909:P991)</f>
        <v>394857.61</v>
      </c>
      <c r="J992" s="58"/>
      <c r="K992" s="18"/>
    </row>
    <row r="995" spans="1:29" ht="16.5" x14ac:dyDescent="0.25">
      <c r="A995" s="55" t="str">
        <f>CONCATENATE("Подраздел: ",IF(Source!G717&lt;&gt;"Новый подраздел", Source!G717, ""))</f>
        <v>Подраздел: Система электрического обогрева кровли и водостоков.</v>
      </c>
      <c r="B995" s="55"/>
      <c r="C995" s="55"/>
      <c r="D995" s="55"/>
      <c r="E995" s="55"/>
      <c r="F995" s="55"/>
      <c r="G995" s="55"/>
      <c r="H995" s="55"/>
      <c r="I995" s="55"/>
      <c r="J995" s="55"/>
      <c r="K995" s="55"/>
    </row>
    <row r="997" spans="1:29" ht="15" x14ac:dyDescent="0.25">
      <c r="B997" s="56" t="str">
        <f>Source!G721</f>
        <v>Система электрического обогрева кровли и водостоков Корпус  7.2.1, Корпус 7.2.2, Корпус 7.2.3,  Корпус 7.2.4</v>
      </c>
      <c r="C997" s="56"/>
      <c r="D997" s="56"/>
      <c r="E997" s="56"/>
      <c r="F997" s="56"/>
      <c r="G997" s="56"/>
      <c r="H997" s="56"/>
      <c r="I997" s="56"/>
      <c r="J997" s="56"/>
      <c r="AC997" s="31" t="str">
        <f>Source!G721</f>
        <v>Система электрического обогрева кровли и водостоков Корпус  7.2.1, Корпус 7.2.2, Корпус 7.2.3,  Корпус 7.2.4</v>
      </c>
    </row>
    <row r="998" spans="1:29" ht="85.5" x14ac:dyDescent="0.2">
      <c r="A998" s="19">
        <v>97</v>
      </c>
      <c r="B998" s="19" t="str">
        <f>Source!F722</f>
        <v>1.23-2103-9-8/1</v>
      </c>
      <c r="C998" s="19" t="str">
        <f>Source!G722</f>
        <v>Техническое обслуживание приборов для измерения температуры, термопреобразователи сопротивления, тип: ТСП-0879, ТСП-1079, ТСМ-0879, ТСМ-0979 /Термопреобразователь ДТС014-РТ1000.В2.25/1</v>
      </c>
      <c r="D998" s="20" t="str">
        <f>Source!H722</f>
        <v>шт.</v>
      </c>
      <c r="E998" s="9">
        <f>Source!I722</f>
        <v>4</v>
      </c>
      <c r="F998" s="22"/>
      <c r="G998" s="21"/>
      <c r="H998" s="9"/>
      <c r="I998" s="9"/>
      <c r="J998" s="22"/>
      <c r="K998" s="22"/>
      <c r="Q998">
        <f>ROUND((Source!BZ722/100)*ROUND((Source!AF722*Source!AV722)*Source!I722, 2), 2)</f>
        <v>2835.5</v>
      </c>
      <c r="R998">
        <f>Source!X722</f>
        <v>2835.5</v>
      </c>
      <c r="S998">
        <f>ROUND((Source!CA722/100)*ROUND((Source!AF722*Source!AV722)*Source!I722, 2), 2)</f>
        <v>405.07</v>
      </c>
      <c r="T998">
        <f>Source!Y722</f>
        <v>405.07</v>
      </c>
      <c r="U998">
        <f>ROUND((175/100)*ROUND((Source!AE722*Source!AV722)*Source!I722, 2), 2)</f>
        <v>0</v>
      </c>
      <c r="V998">
        <f>ROUND((108/100)*ROUND(Source!CS722*Source!I722, 2), 2)</f>
        <v>0</v>
      </c>
    </row>
    <row r="999" spans="1:29" x14ac:dyDescent="0.2">
      <c r="C999" s="23" t="str">
        <f>"Объем: "&amp;Source!I722&amp;"=1+"&amp;"1+"&amp;"1+"&amp;"1"</f>
        <v>Объем: 4=1+1+1+1</v>
      </c>
    </row>
    <row r="1000" spans="1:29" ht="14.25" x14ac:dyDescent="0.2">
      <c r="A1000" s="19"/>
      <c r="B1000" s="19"/>
      <c r="C1000" s="19" t="s">
        <v>825</v>
      </c>
      <c r="D1000" s="20"/>
      <c r="E1000" s="9"/>
      <c r="F1000" s="22">
        <f>Source!AO722</f>
        <v>506.34</v>
      </c>
      <c r="G1000" s="21" t="str">
        <f>Source!DG722</f>
        <v>)*2</v>
      </c>
      <c r="H1000" s="9">
        <f>Source!AV722</f>
        <v>1</v>
      </c>
      <c r="I1000" s="9">
        <f>IF(Source!BA722&lt;&gt; 0, Source!BA722, 1)</f>
        <v>1</v>
      </c>
      <c r="J1000" s="22">
        <f>Source!S722</f>
        <v>4050.72</v>
      </c>
      <c r="K1000" s="22"/>
    </row>
    <row r="1001" spans="1:29" ht="14.25" x14ac:dyDescent="0.2">
      <c r="A1001" s="19"/>
      <c r="B1001" s="19"/>
      <c r="C1001" s="19" t="s">
        <v>828</v>
      </c>
      <c r="D1001" s="20" t="s">
        <v>829</v>
      </c>
      <c r="E1001" s="9">
        <f>Source!AT722</f>
        <v>70</v>
      </c>
      <c r="F1001" s="22"/>
      <c r="G1001" s="21"/>
      <c r="H1001" s="9"/>
      <c r="I1001" s="9"/>
      <c r="J1001" s="22">
        <f>SUM(R998:R1000)</f>
        <v>2835.5</v>
      </c>
      <c r="K1001" s="22"/>
    </row>
    <row r="1002" spans="1:29" ht="14.25" x14ac:dyDescent="0.2">
      <c r="A1002" s="19"/>
      <c r="B1002" s="19"/>
      <c r="C1002" s="19" t="s">
        <v>830</v>
      </c>
      <c r="D1002" s="20" t="s">
        <v>829</v>
      </c>
      <c r="E1002" s="9">
        <f>Source!AU722</f>
        <v>10</v>
      </c>
      <c r="F1002" s="22"/>
      <c r="G1002" s="21"/>
      <c r="H1002" s="9"/>
      <c r="I1002" s="9"/>
      <c r="J1002" s="22">
        <f>SUM(T998:T1001)</f>
        <v>405.07</v>
      </c>
      <c r="K1002" s="22"/>
    </row>
    <row r="1003" spans="1:29" ht="14.25" x14ac:dyDescent="0.2">
      <c r="A1003" s="19"/>
      <c r="B1003" s="19"/>
      <c r="C1003" s="19" t="s">
        <v>832</v>
      </c>
      <c r="D1003" s="20" t="s">
        <v>833</v>
      </c>
      <c r="E1003" s="9">
        <f>Source!AQ722</f>
        <v>0.82</v>
      </c>
      <c r="F1003" s="22"/>
      <c r="G1003" s="21" t="str">
        <f>Source!DI722</f>
        <v>)*2</v>
      </c>
      <c r="H1003" s="9">
        <f>Source!AV722</f>
        <v>1</v>
      </c>
      <c r="I1003" s="9"/>
      <c r="J1003" s="22"/>
      <c r="K1003" s="22">
        <f>Source!U722</f>
        <v>6.56</v>
      </c>
    </row>
    <row r="1004" spans="1:29" ht="15" x14ac:dyDescent="0.25">
      <c r="A1004" s="27"/>
      <c r="B1004" s="27"/>
      <c r="C1004" s="27"/>
      <c r="D1004" s="27"/>
      <c r="E1004" s="27"/>
      <c r="F1004" s="27"/>
      <c r="G1004" s="27"/>
      <c r="H1004" s="27"/>
      <c r="I1004" s="60">
        <f>J1000+J1001+J1002</f>
        <v>7291.2899999999991</v>
      </c>
      <c r="J1004" s="60"/>
      <c r="K1004" s="28">
        <f>IF(Source!I722&lt;&gt;0, ROUND(I1004/Source!I722, 2), 0)</f>
        <v>1822.82</v>
      </c>
      <c r="P1004" s="25">
        <f>I1004</f>
        <v>7291.2899999999991</v>
      </c>
    </row>
    <row r="1005" spans="1:29" ht="42.75" x14ac:dyDescent="0.2">
      <c r="A1005" s="19">
        <v>98</v>
      </c>
      <c r="B1005" s="19" t="str">
        <f>Source!F723</f>
        <v>1.23-2103-15-1/1</v>
      </c>
      <c r="C1005" s="19" t="str">
        <f>Source!G723</f>
        <v>Техническое обслуживание сигнализатора уровня /Датчик осадков КСТ-020 3,0</v>
      </c>
      <c r="D1005" s="20" t="str">
        <f>Source!H723</f>
        <v>шт.</v>
      </c>
      <c r="E1005" s="9">
        <f>Source!I723</f>
        <v>4</v>
      </c>
      <c r="F1005" s="22"/>
      <c r="G1005" s="21"/>
      <c r="H1005" s="9"/>
      <c r="I1005" s="9"/>
      <c r="J1005" s="22"/>
      <c r="K1005" s="22"/>
      <c r="Q1005">
        <f>ROUND((Source!BZ723/100)*ROUND((Source!AF723*Source!AV723)*Source!I723, 2), 2)</f>
        <v>4273.42</v>
      </c>
      <c r="R1005">
        <f>Source!X723</f>
        <v>4273.42</v>
      </c>
      <c r="S1005">
        <f>ROUND((Source!CA723/100)*ROUND((Source!AF723*Source!AV723)*Source!I723, 2), 2)</f>
        <v>610.49</v>
      </c>
      <c r="T1005">
        <f>Source!Y723</f>
        <v>610.49</v>
      </c>
      <c r="U1005">
        <f>ROUND((175/100)*ROUND((Source!AE723*Source!AV723)*Source!I723, 2), 2)</f>
        <v>0</v>
      </c>
      <c r="V1005">
        <f>ROUND((108/100)*ROUND(Source!CS723*Source!I723, 2), 2)</f>
        <v>0</v>
      </c>
    </row>
    <row r="1006" spans="1:29" x14ac:dyDescent="0.2">
      <c r="C1006" s="23" t="str">
        <f>"Объем: "&amp;Source!I723&amp;"=1+"&amp;"1+"&amp;"1+"&amp;"1"</f>
        <v>Объем: 4=1+1+1+1</v>
      </c>
    </row>
    <row r="1007" spans="1:29" ht="14.25" x14ac:dyDescent="0.2">
      <c r="A1007" s="19"/>
      <c r="B1007" s="19"/>
      <c r="C1007" s="19" t="s">
        <v>825</v>
      </c>
      <c r="D1007" s="20"/>
      <c r="E1007" s="9"/>
      <c r="F1007" s="22">
        <f>Source!AO723</f>
        <v>763.11</v>
      </c>
      <c r="G1007" s="21" t="str">
        <f>Source!DG723</f>
        <v>)*2</v>
      </c>
      <c r="H1007" s="9">
        <f>Source!AV723</f>
        <v>1</v>
      </c>
      <c r="I1007" s="9">
        <f>IF(Source!BA723&lt;&gt; 0, Source!BA723, 1)</f>
        <v>1</v>
      </c>
      <c r="J1007" s="22">
        <f>Source!S723</f>
        <v>6104.88</v>
      </c>
      <c r="K1007" s="22"/>
    </row>
    <row r="1008" spans="1:29" ht="14.25" x14ac:dyDescent="0.2">
      <c r="A1008" s="19"/>
      <c r="B1008" s="19"/>
      <c r="C1008" s="19" t="s">
        <v>834</v>
      </c>
      <c r="D1008" s="20"/>
      <c r="E1008" s="9"/>
      <c r="F1008" s="22">
        <f>Source!AL723</f>
        <v>22.54</v>
      </c>
      <c r="G1008" s="21" t="str">
        <f>Source!DD723</f>
        <v>)*2</v>
      </c>
      <c r="H1008" s="9">
        <f>Source!AW723</f>
        <v>1</v>
      </c>
      <c r="I1008" s="9">
        <f>IF(Source!BC723&lt;&gt; 0, Source!BC723, 1)</f>
        <v>1</v>
      </c>
      <c r="J1008" s="22">
        <f>Source!P723</f>
        <v>180.32</v>
      </c>
      <c r="K1008" s="22"/>
    </row>
    <row r="1009" spans="1:22" ht="14.25" x14ac:dyDescent="0.2">
      <c r="A1009" s="19"/>
      <c r="B1009" s="19"/>
      <c r="C1009" s="19" t="s">
        <v>828</v>
      </c>
      <c r="D1009" s="20" t="s">
        <v>829</v>
      </c>
      <c r="E1009" s="9">
        <f>Source!AT723</f>
        <v>70</v>
      </c>
      <c r="F1009" s="22"/>
      <c r="G1009" s="21"/>
      <c r="H1009" s="9"/>
      <c r="I1009" s="9"/>
      <c r="J1009" s="22">
        <f>SUM(R1005:R1008)</f>
        <v>4273.42</v>
      </c>
      <c r="K1009" s="22"/>
    </row>
    <row r="1010" spans="1:22" ht="14.25" x14ac:dyDescent="0.2">
      <c r="A1010" s="19"/>
      <c r="B1010" s="19"/>
      <c r="C1010" s="19" t="s">
        <v>830</v>
      </c>
      <c r="D1010" s="20" t="s">
        <v>829</v>
      </c>
      <c r="E1010" s="9">
        <f>Source!AU723</f>
        <v>10</v>
      </c>
      <c r="F1010" s="22"/>
      <c r="G1010" s="21"/>
      <c r="H1010" s="9"/>
      <c r="I1010" s="9"/>
      <c r="J1010" s="22">
        <f>SUM(T1005:T1009)</f>
        <v>610.49</v>
      </c>
      <c r="K1010" s="22"/>
    </row>
    <row r="1011" spans="1:22" ht="14.25" x14ac:dyDescent="0.2">
      <c r="A1011" s="19"/>
      <c r="B1011" s="19"/>
      <c r="C1011" s="19" t="s">
        <v>832</v>
      </c>
      <c r="D1011" s="20" t="s">
        <v>833</v>
      </c>
      <c r="E1011" s="9">
        <f>Source!AQ723</f>
        <v>0.92</v>
      </c>
      <c r="F1011" s="22"/>
      <c r="G1011" s="21" t="str">
        <f>Source!DI723</f>
        <v>)*2</v>
      </c>
      <c r="H1011" s="9">
        <f>Source!AV723</f>
        <v>1</v>
      </c>
      <c r="I1011" s="9"/>
      <c r="J1011" s="22"/>
      <c r="K1011" s="22">
        <f>Source!U723</f>
        <v>7.36</v>
      </c>
    </row>
    <row r="1012" spans="1:22" ht="15" x14ac:dyDescent="0.25">
      <c r="A1012" s="27"/>
      <c r="B1012" s="27"/>
      <c r="C1012" s="27"/>
      <c r="D1012" s="27"/>
      <c r="E1012" s="27"/>
      <c r="F1012" s="27"/>
      <c r="G1012" s="27"/>
      <c r="H1012" s="27"/>
      <c r="I1012" s="60">
        <f>J1007+J1008+J1009+J1010</f>
        <v>11169.109999999999</v>
      </c>
      <c r="J1012" s="60"/>
      <c r="K1012" s="28">
        <f>IF(Source!I723&lt;&gt;0, ROUND(I1012/Source!I723, 2), 0)</f>
        <v>2792.28</v>
      </c>
      <c r="P1012" s="25">
        <f>I1012</f>
        <v>11169.109999999999</v>
      </c>
    </row>
    <row r="1013" spans="1:22" ht="57" x14ac:dyDescent="0.2">
      <c r="A1013" s="19">
        <v>99</v>
      </c>
      <c r="B1013" s="19" t="str">
        <f>Source!F724</f>
        <v>1.21-2103-9-2/1</v>
      </c>
      <c r="C1013" s="19" t="str">
        <f>Source!G724</f>
        <v>Техническое обслуживание силовых сетей, проложенных по кирпичным и бетонным основаниям, провод сечением 3х1,5-6 мм2</v>
      </c>
      <c r="D1013" s="20" t="str">
        <f>Source!H724</f>
        <v>100 м</v>
      </c>
      <c r="E1013" s="9">
        <f>Source!I724</f>
        <v>0.28320000000000001</v>
      </c>
      <c r="F1013" s="22"/>
      <c r="G1013" s="21"/>
      <c r="H1013" s="9"/>
      <c r="I1013" s="9"/>
      <c r="J1013" s="22"/>
      <c r="K1013" s="22"/>
      <c r="Q1013">
        <f>ROUND((Source!BZ724/100)*ROUND((Source!AF724*Source!AV724)*Source!I724, 2), 2)</f>
        <v>1061.21</v>
      </c>
      <c r="R1013">
        <f>Source!X724</f>
        <v>1061.21</v>
      </c>
      <c r="S1013">
        <f>ROUND((Source!CA724/100)*ROUND((Source!AF724*Source!AV724)*Source!I724, 2), 2)</f>
        <v>151.6</v>
      </c>
      <c r="T1013">
        <f>Source!Y724</f>
        <v>151.6</v>
      </c>
      <c r="U1013">
        <f>ROUND((175/100)*ROUND((Source!AE724*Source!AV724)*Source!I724, 2), 2)</f>
        <v>0</v>
      </c>
      <c r="V1013">
        <f>ROUND((108/100)*ROUND(Source!CS724*Source!I724, 2), 2)</f>
        <v>0</v>
      </c>
    </row>
    <row r="1014" spans="1:22" ht="25.5" x14ac:dyDescent="0.2">
      <c r="C1014" s="23" t="str">
        <f>"Объем: "&amp;Source!I724&amp;"=(354+"&amp;"354+"&amp;"354+"&amp;"354)*"&amp;"0,2*"&amp;"0,1/"&amp;"100"</f>
        <v>Объем: 0,2832=(354+354+354+354)*0,2*0,1/100</v>
      </c>
    </row>
    <row r="1015" spans="1:22" ht="14.25" x14ac:dyDescent="0.2">
      <c r="A1015" s="19"/>
      <c r="B1015" s="19"/>
      <c r="C1015" s="19" t="s">
        <v>825</v>
      </c>
      <c r="D1015" s="20"/>
      <c r="E1015" s="9"/>
      <c r="F1015" s="22">
        <f>Source!AO724</f>
        <v>5353.15</v>
      </c>
      <c r="G1015" s="21" t="str">
        <f>Source!DG724</f>
        <v/>
      </c>
      <c r="H1015" s="9">
        <f>Source!AV724</f>
        <v>1</v>
      </c>
      <c r="I1015" s="9">
        <f>IF(Source!BA724&lt;&gt; 0, Source!BA724, 1)</f>
        <v>1</v>
      </c>
      <c r="J1015" s="22">
        <f>Source!S724</f>
        <v>1516.01</v>
      </c>
      <c r="K1015" s="22"/>
    </row>
    <row r="1016" spans="1:22" ht="14.25" x14ac:dyDescent="0.2">
      <c r="A1016" s="19"/>
      <c r="B1016" s="19"/>
      <c r="C1016" s="19" t="s">
        <v>834</v>
      </c>
      <c r="D1016" s="20"/>
      <c r="E1016" s="9"/>
      <c r="F1016" s="22">
        <f>Source!AL724</f>
        <v>22.51</v>
      </c>
      <c r="G1016" s="21" t="str">
        <f>Source!DD724</f>
        <v/>
      </c>
      <c r="H1016" s="9">
        <f>Source!AW724</f>
        <v>1</v>
      </c>
      <c r="I1016" s="9">
        <f>IF(Source!BC724&lt;&gt; 0, Source!BC724, 1)</f>
        <v>1</v>
      </c>
      <c r="J1016" s="22">
        <f>Source!P724</f>
        <v>6.37</v>
      </c>
      <c r="K1016" s="22"/>
    </row>
    <row r="1017" spans="1:22" ht="14.25" x14ac:dyDescent="0.2">
      <c r="A1017" s="19"/>
      <c r="B1017" s="19"/>
      <c r="C1017" s="19" t="s">
        <v>828</v>
      </c>
      <c r="D1017" s="20" t="s">
        <v>829</v>
      </c>
      <c r="E1017" s="9">
        <f>Source!AT724</f>
        <v>70</v>
      </c>
      <c r="F1017" s="22"/>
      <c r="G1017" s="21"/>
      <c r="H1017" s="9"/>
      <c r="I1017" s="9"/>
      <c r="J1017" s="22">
        <f>SUM(R1013:R1016)</f>
        <v>1061.21</v>
      </c>
      <c r="K1017" s="22"/>
    </row>
    <row r="1018" spans="1:22" ht="14.25" x14ac:dyDescent="0.2">
      <c r="A1018" s="19"/>
      <c r="B1018" s="19"/>
      <c r="C1018" s="19" t="s">
        <v>830</v>
      </c>
      <c r="D1018" s="20" t="s">
        <v>829</v>
      </c>
      <c r="E1018" s="9">
        <f>Source!AU724</f>
        <v>10</v>
      </c>
      <c r="F1018" s="22"/>
      <c r="G1018" s="21"/>
      <c r="H1018" s="9"/>
      <c r="I1018" s="9"/>
      <c r="J1018" s="22">
        <f>SUM(T1013:T1017)</f>
        <v>151.6</v>
      </c>
      <c r="K1018" s="22"/>
    </row>
    <row r="1019" spans="1:22" ht="14.25" x14ac:dyDescent="0.2">
      <c r="A1019" s="19"/>
      <c r="B1019" s="19"/>
      <c r="C1019" s="19" t="s">
        <v>832</v>
      </c>
      <c r="D1019" s="20" t="s">
        <v>833</v>
      </c>
      <c r="E1019" s="9">
        <f>Source!AQ724</f>
        <v>10</v>
      </c>
      <c r="F1019" s="22"/>
      <c r="G1019" s="21" t="str">
        <f>Source!DI724</f>
        <v/>
      </c>
      <c r="H1019" s="9">
        <f>Source!AV724</f>
        <v>1</v>
      </c>
      <c r="I1019" s="9"/>
      <c r="J1019" s="22"/>
      <c r="K1019" s="22">
        <f>Source!U724</f>
        <v>2.8319999999999999</v>
      </c>
    </row>
    <row r="1020" spans="1:22" ht="15" x14ac:dyDescent="0.25">
      <c r="A1020" s="27"/>
      <c r="B1020" s="27"/>
      <c r="C1020" s="27"/>
      <c r="D1020" s="27"/>
      <c r="E1020" s="27"/>
      <c r="F1020" s="27"/>
      <c r="G1020" s="27"/>
      <c r="H1020" s="27"/>
      <c r="I1020" s="60">
        <f>J1015+J1016+J1017+J1018</f>
        <v>2735.19</v>
      </c>
      <c r="J1020" s="60"/>
      <c r="K1020" s="28">
        <f>IF(Source!I724&lt;&gt;0, ROUND(I1020/Source!I724, 2), 0)</f>
        <v>9658.16</v>
      </c>
      <c r="P1020" s="25">
        <f>I1020</f>
        <v>2735.19</v>
      </c>
    </row>
    <row r="1021" spans="1:22" ht="57" x14ac:dyDescent="0.2">
      <c r="A1021" s="19">
        <v>100</v>
      </c>
      <c r="B1021" s="19" t="str">
        <f>Source!F726</f>
        <v>1.21-2103-9-2/1</v>
      </c>
      <c r="C1021" s="19" t="str">
        <f>Source!G726</f>
        <v>Техническое обслуживание силовых сетей, проложенных по кирпичным и бетонным основаниям, провод сечением 3х1,5-6 мм2</v>
      </c>
      <c r="D1021" s="20" t="str">
        <f>Source!H726</f>
        <v>100 м</v>
      </c>
      <c r="E1021" s="9">
        <f>Source!I726</f>
        <v>0.128</v>
      </c>
      <c r="F1021" s="22"/>
      <c r="G1021" s="21"/>
      <c r="H1021" s="9"/>
      <c r="I1021" s="9"/>
      <c r="J1021" s="22"/>
      <c r="K1021" s="22"/>
      <c r="Q1021">
        <f>ROUND((Source!BZ726/100)*ROUND((Source!AF726*Source!AV726)*Source!I726, 2), 2)</f>
        <v>479.64</v>
      </c>
      <c r="R1021">
        <f>Source!X726</f>
        <v>479.64</v>
      </c>
      <c r="S1021">
        <f>ROUND((Source!CA726/100)*ROUND((Source!AF726*Source!AV726)*Source!I726, 2), 2)</f>
        <v>68.52</v>
      </c>
      <c r="T1021">
        <f>Source!Y726</f>
        <v>68.52</v>
      </c>
      <c r="U1021">
        <f>ROUND((175/100)*ROUND((Source!AE726*Source!AV726)*Source!I726, 2), 2)</f>
        <v>0</v>
      </c>
      <c r="V1021">
        <f>ROUND((108/100)*ROUND(Source!CS726*Source!I726, 2), 2)</f>
        <v>0</v>
      </c>
    </row>
    <row r="1022" spans="1:22" ht="38.25" x14ac:dyDescent="0.2">
      <c r="C1022" s="23" t="str">
        <f>"Объем: "&amp;Source!I726&amp;"=(120+"&amp;"40+"&amp;"120+"&amp;"40+"&amp;"120+"&amp;"40+"&amp;"120+"&amp;"40)*"&amp;"0,2*"&amp;"0,1/"&amp;"100"</f>
        <v>Объем: 0,128=(120+40+120+40+120+40+120+40)*0,2*0,1/100</v>
      </c>
    </row>
    <row r="1023" spans="1:22" ht="14.25" x14ac:dyDescent="0.2">
      <c r="A1023" s="19"/>
      <c r="B1023" s="19"/>
      <c r="C1023" s="19" t="s">
        <v>825</v>
      </c>
      <c r="D1023" s="20"/>
      <c r="E1023" s="9"/>
      <c r="F1023" s="22">
        <f>Source!AO726</f>
        <v>5353.15</v>
      </c>
      <c r="G1023" s="21" t="str">
        <f>Source!DG726</f>
        <v/>
      </c>
      <c r="H1023" s="9">
        <f>Source!AV726</f>
        <v>1</v>
      </c>
      <c r="I1023" s="9">
        <f>IF(Source!BA726&lt;&gt; 0, Source!BA726, 1)</f>
        <v>1</v>
      </c>
      <c r="J1023" s="22">
        <f>Source!S726</f>
        <v>685.2</v>
      </c>
      <c r="K1023" s="22"/>
    </row>
    <row r="1024" spans="1:22" ht="14.25" x14ac:dyDescent="0.2">
      <c r="A1024" s="19"/>
      <c r="B1024" s="19"/>
      <c r="C1024" s="19" t="s">
        <v>834</v>
      </c>
      <c r="D1024" s="20"/>
      <c r="E1024" s="9"/>
      <c r="F1024" s="22">
        <f>Source!AL726</f>
        <v>22.51</v>
      </c>
      <c r="G1024" s="21" t="str">
        <f>Source!DD726</f>
        <v/>
      </c>
      <c r="H1024" s="9">
        <f>Source!AW726</f>
        <v>1</v>
      </c>
      <c r="I1024" s="9">
        <f>IF(Source!BC726&lt;&gt; 0, Source!BC726, 1)</f>
        <v>1</v>
      </c>
      <c r="J1024" s="22">
        <f>Source!P726</f>
        <v>2.88</v>
      </c>
      <c r="K1024" s="22"/>
    </row>
    <row r="1025" spans="1:22" ht="14.25" x14ac:dyDescent="0.2">
      <c r="A1025" s="19"/>
      <c r="B1025" s="19"/>
      <c r="C1025" s="19" t="s">
        <v>828</v>
      </c>
      <c r="D1025" s="20" t="s">
        <v>829</v>
      </c>
      <c r="E1025" s="9">
        <f>Source!AT726</f>
        <v>70</v>
      </c>
      <c r="F1025" s="22"/>
      <c r="G1025" s="21"/>
      <c r="H1025" s="9"/>
      <c r="I1025" s="9"/>
      <c r="J1025" s="22">
        <f>SUM(R1021:R1024)</f>
        <v>479.64</v>
      </c>
      <c r="K1025" s="22"/>
    </row>
    <row r="1026" spans="1:22" ht="14.25" x14ac:dyDescent="0.2">
      <c r="A1026" s="19"/>
      <c r="B1026" s="19"/>
      <c r="C1026" s="19" t="s">
        <v>830</v>
      </c>
      <c r="D1026" s="20" t="s">
        <v>829</v>
      </c>
      <c r="E1026" s="9">
        <f>Source!AU726</f>
        <v>10</v>
      </c>
      <c r="F1026" s="22"/>
      <c r="G1026" s="21"/>
      <c r="H1026" s="9"/>
      <c r="I1026" s="9"/>
      <c r="J1026" s="22">
        <f>SUM(T1021:T1025)</f>
        <v>68.52</v>
      </c>
      <c r="K1026" s="22"/>
    </row>
    <row r="1027" spans="1:22" ht="14.25" x14ac:dyDescent="0.2">
      <c r="A1027" s="19"/>
      <c r="B1027" s="19"/>
      <c r="C1027" s="19" t="s">
        <v>832</v>
      </c>
      <c r="D1027" s="20" t="s">
        <v>833</v>
      </c>
      <c r="E1027" s="9">
        <f>Source!AQ726</f>
        <v>10</v>
      </c>
      <c r="F1027" s="22"/>
      <c r="G1027" s="21" t="str">
        <f>Source!DI726</f>
        <v/>
      </c>
      <c r="H1027" s="9">
        <f>Source!AV726</f>
        <v>1</v>
      </c>
      <c r="I1027" s="9"/>
      <c r="J1027" s="22"/>
      <c r="K1027" s="22">
        <f>Source!U726</f>
        <v>1.28</v>
      </c>
    </row>
    <row r="1028" spans="1:22" ht="15" x14ac:dyDescent="0.25">
      <c r="A1028" s="27"/>
      <c r="B1028" s="27"/>
      <c r="C1028" s="27"/>
      <c r="D1028" s="27"/>
      <c r="E1028" s="27"/>
      <c r="F1028" s="27"/>
      <c r="G1028" s="27"/>
      <c r="H1028" s="27"/>
      <c r="I1028" s="60">
        <f>J1023+J1024+J1025+J1026</f>
        <v>1236.24</v>
      </c>
      <c r="J1028" s="60"/>
      <c r="K1028" s="28">
        <f>IF(Source!I726&lt;&gt;0, ROUND(I1028/Source!I726, 2), 0)</f>
        <v>9658.1299999999992</v>
      </c>
      <c r="P1028" s="25">
        <f>I1028</f>
        <v>1236.24</v>
      </c>
    </row>
    <row r="1030" spans="1:22" ht="15" x14ac:dyDescent="0.25">
      <c r="A1030" s="59" t="str">
        <f>CONCATENATE("Итого по подразделу: ",IF(Source!G729&lt;&gt;"Новый подраздел", Source!G729, ""))</f>
        <v>Итого по подразделу: Система электрического обогрева кровли и водостоков.</v>
      </c>
      <c r="B1030" s="59"/>
      <c r="C1030" s="59"/>
      <c r="D1030" s="59"/>
      <c r="E1030" s="59"/>
      <c r="F1030" s="59"/>
      <c r="G1030" s="59"/>
      <c r="H1030" s="59"/>
      <c r="I1030" s="57">
        <f>SUM(P995:P1029)</f>
        <v>22431.829999999998</v>
      </c>
      <c r="J1030" s="58"/>
      <c r="K1030" s="18"/>
    </row>
    <row r="1033" spans="1:22" ht="16.5" x14ac:dyDescent="0.25">
      <c r="A1033" s="55" t="str">
        <f>CONCATENATE("Подраздел: ",IF(Source!G759&lt;&gt;"Новый подраздел", Source!G759, ""))</f>
        <v>Подраздел: Молниезащита, заземление и уравнивание потенциалов</v>
      </c>
      <c r="B1033" s="55"/>
      <c r="C1033" s="55"/>
      <c r="D1033" s="55"/>
      <c r="E1033" s="55"/>
      <c r="F1033" s="55"/>
      <c r="G1033" s="55"/>
      <c r="H1033" s="55"/>
      <c r="I1033" s="55"/>
      <c r="J1033" s="55"/>
      <c r="K1033" s="55"/>
    </row>
    <row r="1035" spans="1:22" ht="15" x14ac:dyDescent="0.25">
      <c r="B1035" s="56" t="str">
        <f>Source!G763</f>
        <v>Система молниезащиты  Корпус  7.2.1, Корпус 7.2.2, Корпус 7.2.3,  Корпус 7.2.4</v>
      </c>
      <c r="C1035" s="56"/>
      <c r="D1035" s="56"/>
      <c r="E1035" s="56"/>
      <c r="F1035" s="56"/>
      <c r="G1035" s="56"/>
      <c r="H1035" s="56"/>
      <c r="I1035" s="56"/>
      <c r="J1035" s="56"/>
    </row>
    <row r="1036" spans="1:22" ht="71.25" x14ac:dyDescent="0.2">
      <c r="A1036" s="19">
        <v>101</v>
      </c>
      <c r="B1036" s="19" t="str">
        <f>Source!F764</f>
        <v>1.21-2103-3-1/1</v>
      </c>
      <c r="C1036" s="19" t="str">
        <f>Source!G764</f>
        <v>Техническое обслуживание сетей заземления магистральных / Вертикальный заземлитель из уголка 50х50х5 мм, Полоса 40х4 мм, Пруток 8 мм</v>
      </c>
      <c r="D1036" s="20" t="str">
        <f>Source!H764</f>
        <v>100 м</v>
      </c>
      <c r="E1036" s="9">
        <f>Source!I764</f>
        <v>1.746</v>
      </c>
      <c r="F1036" s="22"/>
      <c r="G1036" s="21"/>
      <c r="H1036" s="9"/>
      <c r="I1036" s="9"/>
      <c r="J1036" s="22"/>
      <c r="K1036" s="22"/>
      <c r="Q1036">
        <f>ROUND((Source!BZ764/100)*ROUND((Source!AF764*Source!AV764)*Source!I764, 2), 2)</f>
        <v>7262.31</v>
      </c>
      <c r="R1036">
        <f>Source!X764</f>
        <v>7262.31</v>
      </c>
      <c r="S1036">
        <f>ROUND((Source!CA764/100)*ROUND((Source!AF764*Source!AV764)*Source!I764, 2), 2)</f>
        <v>1037.47</v>
      </c>
      <c r="T1036">
        <f>Source!Y764</f>
        <v>1037.47</v>
      </c>
      <c r="U1036">
        <f>ROUND((175/100)*ROUND((Source!AE764*Source!AV764)*Source!I764, 2), 2)</f>
        <v>0</v>
      </c>
      <c r="V1036">
        <f>ROUND((108/100)*ROUND(Source!CS764*Source!I764, 2), 2)</f>
        <v>0</v>
      </c>
    </row>
    <row r="1037" spans="1:22" ht="38.25" x14ac:dyDescent="0.2">
      <c r="C1037" s="23" t="str">
        <f>"Объем: "&amp;Source!I764&amp;"=((6+"&amp;"6+"&amp;"6+"&amp;"4)*"&amp;"3+"&amp;"200+"&amp;"220+"&amp;"200+"&amp;"220+"&amp;"200+"&amp;"220+"&amp;"200+"&amp;"220)*"&amp;"0,1/"&amp;"100"</f>
        <v>Объем: 1,746=((6+6+6+4)*3+200+220+200+220+200+220+200+220)*0,1/100</v>
      </c>
    </row>
    <row r="1038" spans="1:22" ht="14.25" x14ac:dyDescent="0.2">
      <c r="A1038" s="19"/>
      <c r="B1038" s="19"/>
      <c r="C1038" s="19" t="s">
        <v>825</v>
      </c>
      <c r="D1038" s="20"/>
      <c r="E1038" s="9"/>
      <c r="F1038" s="22">
        <f>Source!AO764</f>
        <v>5942</v>
      </c>
      <c r="G1038" s="21" t="str">
        <f>Source!DG764</f>
        <v/>
      </c>
      <c r="H1038" s="9">
        <f>Source!AV764</f>
        <v>1</v>
      </c>
      <c r="I1038" s="9">
        <f>IF(Source!BA764&lt;&gt; 0, Source!BA764, 1)</f>
        <v>1</v>
      </c>
      <c r="J1038" s="22">
        <f>Source!S764</f>
        <v>10374.73</v>
      </c>
      <c r="K1038" s="22"/>
    </row>
    <row r="1039" spans="1:22" ht="14.25" x14ac:dyDescent="0.2">
      <c r="A1039" s="19"/>
      <c r="B1039" s="19"/>
      <c r="C1039" s="19" t="s">
        <v>834</v>
      </c>
      <c r="D1039" s="20"/>
      <c r="E1039" s="9"/>
      <c r="F1039" s="22">
        <f>Source!AL764</f>
        <v>22.51</v>
      </c>
      <c r="G1039" s="21" t="str">
        <f>Source!DD764</f>
        <v/>
      </c>
      <c r="H1039" s="9">
        <f>Source!AW764</f>
        <v>1</v>
      </c>
      <c r="I1039" s="9">
        <f>IF(Source!BC764&lt;&gt; 0, Source!BC764, 1)</f>
        <v>1</v>
      </c>
      <c r="J1039" s="22">
        <f>Source!P764</f>
        <v>39.299999999999997</v>
      </c>
      <c r="K1039" s="22"/>
    </row>
    <row r="1040" spans="1:22" ht="14.25" x14ac:dyDescent="0.2">
      <c r="A1040" s="19"/>
      <c r="B1040" s="19"/>
      <c r="C1040" s="19" t="s">
        <v>828</v>
      </c>
      <c r="D1040" s="20" t="s">
        <v>829</v>
      </c>
      <c r="E1040" s="9">
        <f>Source!AT764</f>
        <v>70</v>
      </c>
      <c r="F1040" s="22"/>
      <c r="G1040" s="21"/>
      <c r="H1040" s="9"/>
      <c r="I1040" s="9"/>
      <c r="J1040" s="22">
        <f>SUM(R1036:R1039)</f>
        <v>7262.31</v>
      </c>
      <c r="K1040" s="22"/>
    </row>
    <row r="1041" spans="1:22" ht="14.25" x14ac:dyDescent="0.2">
      <c r="A1041" s="19"/>
      <c r="B1041" s="19"/>
      <c r="C1041" s="19" t="s">
        <v>830</v>
      </c>
      <c r="D1041" s="20" t="s">
        <v>829</v>
      </c>
      <c r="E1041" s="9">
        <f>Source!AU764</f>
        <v>10</v>
      </c>
      <c r="F1041" s="22"/>
      <c r="G1041" s="21"/>
      <c r="H1041" s="9"/>
      <c r="I1041" s="9"/>
      <c r="J1041" s="22">
        <f>SUM(T1036:T1040)</f>
        <v>1037.47</v>
      </c>
      <c r="K1041" s="22"/>
    </row>
    <row r="1042" spans="1:22" ht="14.25" x14ac:dyDescent="0.2">
      <c r="A1042" s="19"/>
      <c r="B1042" s="19"/>
      <c r="C1042" s="19" t="s">
        <v>832</v>
      </c>
      <c r="D1042" s="20" t="s">
        <v>833</v>
      </c>
      <c r="E1042" s="9">
        <f>Source!AQ764</f>
        <v>11.1</v>
      </c>
      <c r="F1042" s="22"/>
      <c r="G1042" s="21" t="str">
        <f>Source!DI764</f>
        <v/>
      </c>
      <c r="H1042" s="9">
        <f>Source!AV764</f>
        <v>1</v>
      </c>
      <c r="I1042" s="9"/>
      <c r="J1042" s="22"/>
      <c r="K1042" s="22">
        <f>Source!U764</f>
        <v>19.380599999999998</v>
      </c>
    </row>
    <row r="1043" spans="1:22" ht="15" x14ac:dyDescent="0.25">
      <c r="A1043" s="27"/>
      <c r="B1043" s="27"/>
      <c r="C1043" s="27"/>
      <c r="D1043" s="27"/>
      <c r="E1043" s="27"/>
      <c r="F1043" s="27"/>
      <c r="G1043" s="27"/>
      <c r="H1043" s="27"/>
      <c r="I1043" s="60">
        <f>J1038+J1039+J1040+J1041</f>
        <v>18713.810000000001</v>
      </c>
      <c r="J1043" s="60"/>
      <c r="K1043" s="28">
        <f>IF(Source!I764&lt;&gt;0, ROUND(I1043/Source!I764, 2), 0)</f>
        <v>10718.1</v>
      </c>
      <c r="P1043" s="25">
        <f>I1043</f>
        <v>18713.810000000001</v>
      </c>
    </row>
    <row r="1045" spans="1:22" ht="15" x14ac:dyDescent="0.25">
      <c r="A1045" s="59" t="str">
        <f>CONCATENATE("Итого по подразделу: ",IF(Source!G768&lt;&gt;"Новый подраздел", Source!G768, ""))</f>
        <v>Итого по подразделу: Молниезащита, заземление и уравнивание потенциалов</v>
      </c>
      <c r="B1045" s="59"/>
      <c r="C1045" s="59"/>
      <c r="D1045" s="59"/>
      <c r="E1045" s="59"/>
      <c r="F1045" s="59"/>
      <c r="G1045" s="59"/>
      <c r="H1045" s="59"/>
      <c r="I1045" s="57">
        <f>SUM(P1033:P1044)</f>
        <v>18713.810000000001</v>
      </c>
      <c r="J1045" s="58"/>
      <c r="K1045" s="18"/>
    </row>
    <row r="1048" spans="1:22" ht="16.5" x14ac:dyDescent="0.25">
      <c r="A1048" s="55" t="str">
        <f>CONCATENATE("Подраздел: ",IF(Source!G798&lt;&gt;"Новый подраздел", Source!G798, ""))</f>
        <v>Подраздел: Архитектурное освещение фасада</v>
      </c>
      <c r="B1048" s="55"/>
      <c r="C1048" s="55"/>
      <c r="D1048" s="55"/>
      <c r="E1048" s="55"/>
      <c r="F1048" s="55"/>
      <c r="G1048" s="55"/>
      <c r="H1048" s="55"/>
      <c r="I1048" s="55"/>
      <c r="J1048" s="55"/>
      <c r="K1048" s="55"/>
    </row>
    <row r="1050" spans="1:22" ht="15" x14ac:dyDescent="0.25">
      <c r="B1050" s="56" t="str">
        <f>Source!G802</f>
        <v>Корпус  7.2.1, Корпус 7.2.2, Корпус 7.2.3,  Корпус 7.2.4</v>
      </c>
      <c r="C1050" s="56"/>
      <c r="D1050" s="56"/>
      <c r="E1050" s="56"/>
      <c r="F1050" s="56"/>
      <c r="G1050" s="56"/>
      <c r="H1050" s="56"/>
      <c r="I1050" s="56"/>
      <c r="J1050" s="56"/>
    </row>
    <row r="1051" spans="1:22" ht="57" x14ac:dyDescent="0.2">
      <c r="A1051" s="19">
        <v>102</v>
      </c>
      <c r="B1051" s="19" t="str">
        <f>Source!F803</f>
        <v>1.20-2203-1-3/1</v>
      </c>
      <c r="C1051" s="19" t="str">
        <f>Source!G803</f>
        <v>Техническое обслуживание щита осветительного группового с установочными автоматами, число групп 6 / Щит фасадного освещения</v>
      </c>
      <c r="D1051" s="20" t="str">
        <f>Source!H803</f>
        <v>шт.</v>
      </c>
      <c r="E1051" s="9">
        <f>Source!I803</f>
        <v>4</v>
      </c>
      <c r="F1051" s="22"/>
      <c r="G1051" s="21"/>
      <c r="H1051" s="9"/>
      <c r="I1051" s="9"/>
      <c r="J1051" s="22"/>
      <c r="K1051" s="22"/>
      <c r="Q1051">
        <f>ROUND((Source!BZ803/100)*ROUND((Source!AF803*Source!AV803)*Source!I803, 2), 2)</f>
        <v>10373.83</v>
      </c>
      <c r="R1051">
        <f>Source!X803</f>
        <v>10373.83</v>
      </c>
      <c r="S1051">
        <f>ROUND((Source!CA803/100)*ROUND((Source!AF803*Source!AV803)*Source!I803, 2), 2)</f>
        <v>1481.98</v>
      </c>
      <c r="T1051">
        <f>Source!Y803</f>
        <v>1481.98</v>
      </c>
      <c r="U1051">
        <f>ROUND((175/100)*ROUND((Source!AE803*Source!AV803)*Source!I803, 2), 2)</f>
        <v>0</v>
      </c>
      <c r="V1051">
        <f>ROUND((108/100)*ROUND(Source!CS803*Source!I803, 2), 2)</f>
        <v>0</v>
      </c>
    </row>
    <row r="1052" spans="1:22" x14ac:dyDescent="0.2">
      <c r="C1052" s="23" t="str">
        <f>"Объем: "&amp;Source!I803&amp;"=1+"&amp;"1+"&amp;"1+"&amp;"1"</f>
        <v>Объем: 4=1+1+1+1</v>
      </c>
    </row>
    <row r="1053" spans="1:22" ht="14.25" x14ac:dyDescent="0.2">
      <c r="A1053" s="19"/>
      <c r="B1053" s="19"/>
      <c r="C1053" s="19" t="s">
        <v>825</v>
      </c>
      <c r="D1053" s="20"/>
      <c r="E1053" s="9"/>
      <c r="F1053" s="22">
        <f>Source!AO803</f>
        <v>3704.94</v>
      </c>
      <c r="G1053" s="21" t="str">
        <f>Source!DG803</f>
        <v/>
      </c>
      <c r="H1053" s="9">
        <f>Source!AV803</f>
        <v>1</v>
      </c>
      <c r="I1053" s="9">
        <f>IF(Source!BA803&lt;&gt; 0, Source!BA803, 1)</f>
        <v>1</v>
      </c>
      <c r="J1053" s="22">
        <f>Source!S803</f>
        <v>14819.76</v>
      </c>
      <c r="K1053" s="22"/>
    </row>
    <row r="1054" spans="1:22" ht="14.25" x14ac:dyDescent="0.2">
      <c r="A1054" s="19"/>
      <c r="B1054" s="19"/>
      <c r="C1054" s="19" t="s">
        <v>834</v>
      </c>
      <c r="D1054" s="20"/>
      <c r="E1054" s="9"/>
      <c r="F1054" s="22">
        <f>Source!AL803</f>
        <v>55.07</v>
      </c>
      <c r="G1054" s="21" t="str">
        <f>Source!DD803</f>
        <v/>
      </c>
      <c r="H1054" s="9">
        <f>Source!AW803</f>
        <v>1</v>
      </c>
      <c r="I1054" s="9">
        <f>IF(Source!BC803&lt;&gt; 0, Source!BC803, 1)</f>
        <v>1</v>
      </c>
      <c r="J1054" s="22">
        <f>Source!P803</f>
        <v>220.28</v>
      </c>
      <c r="K1054" s="22"/>
    </row>
    <row r="1055" spans="1:22" ht="14.25" x14ac:dyDescent="0.2">
      <c r="A1055" s="19"/>
      <c r="B1055" s="19"/>
      <c r="C1055" s="19" t="s">
        <v>828</v>
      </c>
      <c r="D1055" s="20" t="s">
        <v>829</v>
      </c>
      <c r="E1055" s="9">
        <f>Source!AT803</f>
        <v>70</v>
      </c>
      <c r="F1055" s="22"/>
      <c r="G1055" s="21"/>
      <c r="H1055" s="9"/>
      <c r="I1055" s="9"/>
      <c r="J1055" s="22">
        <f>SUM(R1051:R1054)</f>
        <v>10373.83</v>
      </c>
      <c r="K1055" s="22"/>
    </row>
    <row r="1056" spans="1:22" ht="14.25" x14ac:dyDescent="0.2">
      <c r="A1056" s="19"/>
      <c r="B1056" s="19"/>
      <c r="C1056" s="19" t="s">
        <v>830</v>
      </c>
      <c r="D1056" s="20" t="s">
        <v>829</v>
      </c>
      <c r="E1056" s="9">
        <f>Source!AU803</f>
        <v>10</v>
      </c>
      <c r="F1056" s="22"/>
      <c r="G1056" s="21"/>
      <c r="H1056" s="9"/>
      <c r="I1056" s="9"/>
      <c r="J1056" s="22">
        <f>SUM(T1051:T1055)</f>
        <v>1481.98</v>
      </c>
      <c r="K1056" s="22"/>
    </row>
    <row r="1057" spans="1:22" ht="14.25" x14ac:dyDescent="0.2">
      <c r="A1057" s="19"/>
      <c r="B1057" s="19"/>
      <c r="C1057" s="19" t="s">
        <v>832</v>
      </c>
      <c r="D1057" s="20" t="s">
        <v>833</v>
      </c>
      <c r="E1057" s="9">
        <f>Source!AQ803</f>
        <v>6</v>
      </c>
      <c r="F1057" s="22"/>
      <c r="G1057" s="21" t="str">
        <f>Source!DI803</f>
        <v/>
      </c>
      <c r="H1057" s="9">
        <f>Source!AV803</f>
        <v>1</v>
      </c>
      <c r="I1057" s="9"/>
      <c r="J1057" s="22"/>
      <c r="K1057" s="22">
        <f>Source!U803</f>
        <v>24</v>
      </c>
    </row>
    <row r="1058" spans="1:22" ht="15" x14ac:dyDescent="0.25">
      <c r="A1058" s="27"/>
      <c r="B1058" s="27"/>
      <c r="C1058" s="27"/>
      <c r="D1058" s="27"/>
      <c r="E1058" s="27"/>
      <c r="F1058" s="27"/>
      <c r="G1058" s="27"/>
      <c r="H1058" s="27"/>
      <c r="I1058" s="60">
        <f>J1053+J1054+J1055+J1056</f>
        <v>26895.850000000002</v>
      </c>
      <c r="J1058" s="60"/>
      <c r="K1058" s="28">
        <f>IF(Source!I803&lt;&gt;0, ROUND(I1058/Source!I803, 2), 0)</f>
        <v>6723.96</v>
      </c>
      <c r="P1058" s="25">
        <f>I1058</f>
        <v>26895.850000000002</v>
      </c>
    </row>
    <row r="1059" spans="1:22" ht="57" x14ac:dyDescent="0.2">
      <c r="A1059" s="19">
        <v>103</v>
      </c>
      <c r="B1059" s="19" t="str">
        <f>Source!F805</f>
        <v>1.23-2103-3-1/1</v>
      </c>
      <c r="C1059" s="19" t="str">
        <f>Source!G805</f>
        <v>Техническое обслуживание реле времени, реле теплового / Реле времени астрономическое PCZ—525—3</v>
      </c>
      <c r="D1059" s="20" t="str">
        <f>Source!H805</f>
        <v>шт.</v>
      </c>
      <c r="E1059" s="9">
        <f>Source!I805</f>
        <v>4</v>
      </c>
      <c r="F1059" s="22"/>
      <c r="G1059" s="21"/>
      <c r="H1059" s="9"/>
      <c r="I1059" s="9"/>
      <c r="J1059" s="22"/>
      <c r="K1059" s="22"/>
      <c r="Q1059">
        <f>ROUND((Source!BZ805/100)*ROUND((Source!AF805*Source!AV805)*Source!I805, 2), 2)</f>
        <v>4149.54</v>
      </c>
      <c r="R1059">
        <f>Source!X805</f>
        <v>4149.54</v>
      </c>
      <c r="S1059">
        <f>ROUND((Source!CA805/100)*ROUND((Source!AF805*Source!AV805)*Source!I805, 2), 2)</f>
        <v>592.79</v>
      </c>
      <c r="T1059">
        <f>Source!Y805</f>
        <v>592.79</v>
      </c>
      <c r="U1059">
        <f>ROUND((175/100)*ROUND((Source!AE805*Source!AV805)*Source!I805, 2), 2)</f>
        <v>0</v>
      </c>
      <c r="V1059">
        <f>ROUND((108/100)*ROUND(Source!CS805*Source!I805, 2), 2)</f>
        <v>0</v>
      </c>
    </row>
    <row r="1060" spans="1:22" x14ac:dyDescent="0.2">
      <c r="C1060" s="23" t="str">
        <f>"Объем: "&amp;Source!I805&amp;"=1+"&amp;"1+"&amp;"1+"&amp;"1"</f>
        <v>Объем: 4=1+1+1+1</v>
      </c>
    </row>
    <row r="1061" spans="1:22" ht="14.25" x14ac:dyDescent="0.2">
      <c r="A1061" s="19"/>
      <c r="B1061" s="19"/>
      <c r="C1061" s="19" t="s">
        <v>825</v>
      </c>
      <c r="D1061" s="20"/>
      <c r="E1061" s="9"/>
      <c r="F1061" s="22">
        <f>Source!AO805</f>
        <v>740.99</v>
      </c>
      <c r="G1061" s="21" t="str">
        <f>Source!DG805</f>
        <v>)*2</v>
      </c>
      <c r="H1061" s="9">
        <f>Source!AV805</f>
        <v>1</v>
      </c>
      <c r="I1061" s="9">
        <f>IF(Source!BA805&lt;&gt; 0, Source!BA805, 1)</f>
        <v>1</v>
      </c>
      <c r="J1061" s="22">
        <f>Source!S805</f>
        <v>5927.92</v>
      </c>
      <c r="K1061" s="22"/>
    </row>
    <row r="1062" spans="1:22" ht="14.25" x14ac:dyDescent="0.2">
      <c r="A1062" s="19"/>
      <c r="B1062" s="19"/>
      <c r="C1062" s="19" t="s">
        <v>834</v>
      </c>
      <c r="D1062" s="20"/>
      <c r="E1062" s="9"/>
      <c r="F1062" s="22">
        <f>Source!AL805</f>
        <v>1.79</v>
      </c>
      <c r="G1062" s="21" t="str">
        <f>Source!DD805</f>
        <v>)*2</v>
      </c>
      <c r="H1062" s="9">
        <f>Source!AW805</f>
        <v>1</v>
      </c>
      <c r="I1062" s="9">
        <f>IF(Source!BC805&lt;&gt; 0, Source!BC805, 1)</f>
        <v>1</v>
      </c>
      <c r="J1062" s="22">
        <f>Source!P805</f>
        <v>14.32</v>
      </c>
      <c r="K1062" s="22"/>
    </row>
    <row r="1063" spans="1:22" ht="14.25" x14ac:dyDescent="0.2">
      <c r="A1063" s="19"/>
      <c r="B1063" s="19"/>
      <c r="C1063" s="19" t="s">
        <v>828</v>
      </c>
      <c r="D1063" s="20" t="s">
        <v>829</v>
      </c>
      <c r="E1063" s="9">
        <f>Source!AT805</f>
        <v>70</v>
      </c>
      <c r="F1063" s="22"/>
      <c r="G1063" s="21"/>
      <c r="H1063" s="9"/>
      <c r="I1063" s="9"/>
      <c r="J1063" s="22">
        <f>SUM(R1059:R1062)</f>
        <v>4149.54</v>
      </c>
      <c r="K1063" s="22"/>
    </row>
    <row r="1064" spans="1:22" ht="14.25" x14ac:dyDescent="0.2">
      <c r="A1064" s="19"/>
      <c r="B1064" s="19"/>
      <c r="C1064" s="19" t="s">
        <v>830</v>
      </c>
      <c r="D1064" s="20" t="s">
        <v>829</v>
      </c>
      <c r="E1064" s="9">
        <f>Source!AU805</f>
        <v>10</v>
      </c>
      <c r="F1064" s="22"/>
      <c r="G1064" s="21"/>
      <c r="H1064" s="9"/>
      <c r="I1064" s="9"/>
      <c r="J1064" s="22">
        <f>SUM(T1059:T1063)</f>
        <v>592.79</v>
      </c>
      <c r="K1064" s="22"/>
    </row>
    <row r="1065" spans="1:22" ht="14.25" x14ac:dyDescent="0.2">
      <c r="A1065" s="19"/>
      <c r="B1065" s="19"/>
      <c r="C1065" s="19" t="s">
        <v>832</v>
      </c>
      <c r="D1065" s="20" t="s">
        <v>833</v>
      </c>
      <c r="E1065" s="9">
        <f>Source!AQ805</f>
        <v>1.2</v>
      </c>
      <c r="F1065" s="22"/>
      <c r="G1065" s="21" t="str">
        <f>Source!DI805</f>
        <v>)*2</v>
      </c>
      <c r="H1065" s="9">
        <f>Source!AV805</f>
        <v>1</v>
      </c>
      <c r="I1065" s="9"/>
      <c r="J1065" s="22"/>
      <c r="K1065" s="22">
        <f>Source!U805</f>
        <v>9.6</v>
      </c>
    </row>
    <row r="1066" spans="1:22" ht="15" x14ac:dyDescent="0.25">
      <c r="A1066" s="27"/>
      <c r="B1066" s="27"/>
      <c r="C1066" s="27"/>
      <c r="D1066" s="27"/>
      <c r="E1066" s="27"/>
      <c r="F1066" s="27"/>
      <c r="G1066" s="27"/>
      <c r="H1066" s="27"/>
      <c r="I1066" s="60">
        <f>J1061+J1062+J1063+J1064</f>
        <v>10684.57</v>
      </c>
      <c r="J1066" s="60"/>
      <c r="K1066" s="28">
        <f>IF(Source!I805&lt;&gt;0, ROUND(I1066/Source!I805, 2), 0)</f>
        <v>2671.14</v>
      </c>
      <c r="P1066" s="25">
        <f>I1066</f>
        <v>10684.57</v>
      </c>
    </row>
    <row r="1067" spans="1:22" ht="42.75" x14ac:dyDescent="0.2">
      <c r="A1067" s="19">
        <v>104</v>
      </c>
      <c r="B1067" s="19" t="str">
        <f>Source!F807</f>
        <v>1.21-2303-18-1/1</v>
      </c>
      <c r="C1067" s="19" t="str">
        <f>Source!G807</f>
        <v>Техническое обслуживание переключателя универсального, число секций до 8</v>
      </c>
      <c r="D1067" s="20" t="str">
        <f>Source!H807</f>
        <v>шт.</v>
      </c>
      <c r="E1067" s="9">
        <f>Source!I807</f>
        <v>4</v>
      </c>
      <c r="F1067" s="22"/>
      <c r="G1067" s="21"/>
      <c r="H1067" s="9"/>
      <c r="I1067" s="9"/>
      <c r="J1067" s="22"/>
      <c r="K1067" s="22"/>
      <c r="Q1067">
        <f>ROUND((Source!BZ807/100)*ROUND((Source!AF807*Source!AV807)*Source!I807, 2), 2)</f>
        <v>518.70000000000005</v>
      </c>
      <c r="R1067">
        <f>Source!X807</f>
        <v>518.70000000000005</v>
      </c>
      <c r="S1067">
        <f>ROUND((Source!CA807/100)*ROUND((Source!AF807*Source!AV807)*Source!I807, 2), 2)</f>
        <v>74.099999999999994</v>
      </c>
      <c r="T1067">
        <f>Source!Y807</f>
        <v>74.099999999999994</v>
      </c>
      <c r="U1067">
        <f>ROUND((175/100)*ROUND((Source!AE807*Source!AV807)*Source!I807, 2), 2)</f>
        <v>0</v>
      </c>
      <c r="V1067">
        <f>ROUND((108/100)*ROUND(Source!CS807*Source!I807, 2), 2)</f>
        <v>0</v>
      </c>
    </row>
    <row r="1068" spans="1:22" x14ac:dyDescent="0.2">
      <c r="C1068" s="23" t="str">
        <f>"Объем: "&amp;Source!I807&amp;"=1+"&amp;"1+"&amp;"1+"&amp;"1"</f>
        <v>Объем: 4=1+1+1+1</v>
      </c>
    </row>
    <row r="1069" spans="1:22" ht="14.25" x14ac:dyDescent="0.2">
      <c r="A1069" s="19"/>
      <c r="B1069" s="19"/>
      <c r="C1069" s="19" t="s">
        <v>825</v>
      </c>
      <c r="D1069" s="20"/>
      <c r="E1069" s="9"/>
      <c r="F1069" s="22">
        <f>Source!AO807</f>
        <v>185.25</v>
      </c>
      <c r="G1069" s="21" t="str">
        <f>Source!DG807</f>
        <v/>
      </c>
      <c r="H1069" s="9">
        <f>Source!AV807</f>
        <v>1</v>
      </c>
      <c r="I1069" s="9">
        <f>IF(Source!BA807&lt;&gt; 0, Source!BA807, 1)</f>
        <v>1</v>
      </c>
      <c r="J1069" s="22">
        <f>Source!S807</f>
        <v>741</v>
      </c>
      <c r="K1069" s="22"/>
    </row>
    <row r="1070" spans="1:22" ht="14.25" x14ac:dyDescent="0.2">
      <c r="A1070" s="19"/>
      <c r="B1070" s="19"/>
      <c r="C1070" s="19" t="s">
        <v>828</v>
      </c>
      <c r="D1070" s="20" t="s">
        <v>829</v>
      </c>
      <c r="E1070" s="9">
        <f>Source!AT807</f>
        <v>70</v>
      </c>
      <c r="F1070" s="22"/>
      <c r="G1070" s="21"/>
      <c r="H1070" s="9"/>
      <c r="I1070" s="9"/>
      <c r="J1070" s="22">
        <f>SUM(R1067:R1069)</f>
        <v>518.70000000000005</v>
      </c>
      <c r="K1070" s="22"/>
    </row>
    <row r="1071" spans="1:22" ht="14.25" x14ac:dyDescent="0.2">
      <c r="A1071" s="19"/>
      <c r="B1071" s="19"/>
      <c r="C1071" s="19" t="s">
        <v>830</v>
      </c>
      <c r="D1071" s="20" t="s">
        <v>829</v>
      </c>
      <c r="E1071" s="9">
        <f>Source!AU807</f>
        <v>10</v>
      </c>
      <c r="F1071" s="22"/>
      <c r="G1071" s="21"/>
      <c r="H1071" s="9"/>
      <c r="I1071" s="9"/>
      <c r="J1071" s="22">
        <f>SUM(T1067:T1070)</f>
        <v>74.099999999999994</v>
      </c>
      <c r="K1071" s="22"/>
    </row>
    <row r="1072" spans="1:22" ht="14.25" x14ac:dyDescent="0.2">
      <c r="A1072" s="19"/>
      <c r="B1072" s="19"/>
      <c r="C1072" s="19" t="s">
        <v>832</v>
      </c>
      <c r="D1072" s="20" t="s">
        <v>833</v>
      </c>
      <c r="E1072" s="9">
        <f>Source!AQ807</f>
        <v>0.3</v>
      </c>
      <c r="F1072" s="22"/>
      <c r="G1072" s="21" t="str">
        <f>Source!DI807</f>
        <v/>
      </c>
      <c r="H1072" s="9">
        <f>Source!AV807</f>
        <v>1</v>
      </c>
      <c r="I1072" s="9"/>
      <c r="J1072" s="22"/>
      <c r="K1072" s="22">
        <f>Source!U807</f>
        <v>1.2</v>
      </c>
    </row>
    <row r="1073" spans="1:22" ht="15" x14ac:dyDescent="0.25">
      <c r="A1073" s="27"/>
      <c r="B1073" s="27"/>
      <c r="C1073" s="27"/>
      <c r="D1073" s="27"/>
      <c r="E1073" s="27"/>
      <c r="F1073" s="27"/>
      <c r="G1073" s="27"/>
      <c r="H1073" s="27"/>
      <c r="I1073" s="60">
        <f>J1069+J1070+J1071</f>
        <v>1333.8</v>
      </c>
      <c r="J1073" s="60"/>
      <c r="K1073" s="28">
        <f>IF(Source!I807&lt;&gt;0, ROUND(I1073/Source!I807, 2), 0)</f>
        <v>333.45</v>
      </c>
      <c r="P1073" s="25">
        <f>I1073</f>
        <v>1333.8</v>
      </c>
    </row>
    <row r="1074" spans="1:22" ht="42.75" x14ac:dyDescent="0.2">
      <c r="A1074" s="19">
        <v>105</v>
      </c>
      <c r="B1074" s="19" t="str">
        <f>Source!F808</f>
        <v>1.23-2203-3-1/1</v>
      </c>
      <c r="C1074" s="19" t="str">
        <f>Source!G808</f>
        <v>Техническое обслуживание светосигнальной арматуры с лампой накаливания, светодиодом</v>
      </c>
      <c r="D1074" s="20" t="str">
        <f>Source!H808</f>
        <v>10 шт.</v>
      </c>
      <c r="E1074" s="9">
        <f>Source!I808</f>
        <v>0.8</v>
      </c>
      <c r="F1074" s="22"/>
      <c r="G1074" s="21"/>
      <c r="H1074" s="9"/>
      <c r="I1074" s="9"/>
      <c r="J1074" s="22"/>
      <c r="K1074" s="22"/>
      <c r="Q1074">
        <f>ROUND((Source!BZ808/100)*ROUND((Source!AF808*Source!AV808)*Source!I808, 2), 2)</f>
        <v>953.78</v>
      </c>
      <c r="R1074">
        <f>Source!X808</f>
        <v>953.78</v>
      </c>
      <c r="S1074">
        <f>ROUND((Source!CA808/100)*ROUND((Source!AF808*Source!AV808)*Source!I808, 2), 2)</f>
        <v>136.25</v>
      </c>
      <c r="T1074">
        <f>Source!Y808</f>
        <v>136.25</v>
      </c>
      <c r="U1074">
        <f>ROUND((175/100)*ROUND((Source!AE808*Source!AV808)*Source!I808, 2), 2)</f>
        <v>0</v>
      </c>
      <c r="V1074">
        <f>ROUND((108/100)*ROUND(Source!CS808*Source!I808, 2), 2)</f>
        <v>0</v>
      </c>
    </row>
    <row r="1075" spans="1:22" x14ac:dyDescent="0.2">
      <c r="C1075" s="23" t="str">
        <f>"Объем: "&amp;Source!I808&amp;"=((1+"&amp;"1)*"&amp;"4)/"&amp;"10"</f>
        <v>Объем: 0,8=((1+1)*4)/10</v>
      </c>
    </row>
    <row r="1076" spans="1:22" ht="14.25" x14ac:dyDescent="0.2">
      <c r="A1076" s="19"/>
      <c r="B1076" s="19"/>
      <c r="C1076" s="19" t="s">
        <v>825</v>
      </c>
      <c r="D1076" s="20"/>
      <c r="E1076" s="9"/>
      <c r="F1076" s="22">
        <f>Source!AO808</f>
        <v>1703.18</v>
      </c>
      <c r="G1076" s="21" t="str">
        <f>Source!DG808</f>
        <v/>
      </c>
      <c r="H1076" s="9">
        <f>Source!AV808</f>
        <v>1</v>
      </c>
      <c r="I1076" s="9">
        <f>IF(Source!BA808&lt;&gt; 0, Source!BA808, 1)</f>
        <v>1</v>
      </c>
      <c r="J1076" s="22">
        <f>Source!S808</f>
        <v>1362.54</v>
      </c>
      <c r="K1076" s="22"/>
    </row>
    <row r="1077" spans="1:22" ht="14.25" x14ac:dyDescent="0.2">
      <c r="A1077" s="19"/>
      <c r="B1077" s="19"/>
      <c r="C1077" s="19" t="s">
        <v>834</v>
      </c>
      <c r="D1077" s="20"/>
      <c r="E1077" s="9"/>
      <c r="F1077" s="22">
        <f>Source!AL808</f>
        <v>80.67</v>
      </c>
      <c r="G1077" s="21" t="str">
        <f>Source!DD808</f>
        <v/>
      </c>
      <c r="H1077" s="9">
        <f>Source!AW808</f>
        <v>1</v>
      </c>
      <c r="I1077" s="9">
        <f>IF(Source!BC808&lt;&gt; 0, Source!BC808, 1)</f>
        <v>1</v>
      </c>
      <c r="J1077" s="22">
        <f>Source!P808</f>
        <v>64.540000000000006</v>
      </c>
      <c r="K1077" s="22"/>
    </row>
    <row r="1078" spans="1:22" ht="14.25" x14ac:dyDescent="0.2">
      <c r="A1078" s="19"/>
      <c r="B1078" s="19"/>
      <c r="C1078" s="19" t="s">
        <v>828</v>
      </c>
      <c r="D1078" s="20" t="s">
        <v>829</v>
      </c>
      <c r="E1078" s="9">
        <f>Source!AT808</f>
        <v>70</v>
      </c>
      <c r="F1078" s="22"/>
      <c r="G1078" s="21"/>
      <c r="H1078" s="9"/>
      <c r="I1078" s="9"/>
      <c r="J1078" s="22">
        <f>SUM(R1074:R1077)</f>
        <v>953.78</v>
      </c>
      <c r="K1078" s="22"/>
    </row>
    <row r="1079" spans="1:22" ht="14.25" x14ac:dyDescent="0.2">
      <c r="A1079" s="19"/>
      <c r="B1079" s="19"/>
      <c r="C1079" s="19" t="s">
        <v>830</v>
      </c>
      <c r="D1079" s="20" t="s">
        <v>829</v>
      </c>
      <c r="E1079" s="9">
        <f>Source!AU808</f>
        <v>10</v>
      </c>
      <c r="F1079" s="22"/>
      <c r="G1079" s="21"/>
      <c r="H1079" s="9"/>
      <c r="I1079" s="9"/>
      <c r="J1079" s="22">
        <f>SUM(T1074:T1078)</f>
        <v>136.25</v>
      </c>
      <c r="K1079" s="22"/>
    </row>
    <row r="1080" spans="1:22" ht="14.25" x14ac:dyDescent="0.2">
      <c r="A1080" s="19"/>
      <c r="B1080" s="19"/>
      <c r="C1080" s="19" t="s">
        <v>832</v>
      </c>
      <c r="D1080" s="20" t="s">
        <v>833</v>
      </c>
      <c r="E1080" s="9">
        <f>Source!AQ808</f>
        <v>2.4</v>
      </c>
      <c r="F1080" s="22"/>
      <c r="G1080" s="21" t="str">
        <f>Source!DI808</f>
        <v/>
      </c>
      <c r="H1080" s="9">
        <f>Source!AV808</f>
        <v>1</v>
      </c>
      <c r="I1080" s="9"/>
      <c r="J1080" s="22"/>
      <c r="K1080" s="22">
        <f>Source!U808</f>
        <v>1.92</v>
      </c>
    </row>
    <row r="1081" spans="1:22" ht="15" x14ac:dyDescent="0.25">
      <c r="A1081" s="27"/>
      <c r="B1081" s="27"/>
      <c r="C1081" s="27"/>
      <c r="D1081" s="27"/>
      <c r="E1081" s="27"/>
      <c r="F1081" s="27"/>
      <c r="G1081" s="27"/>
      <c r="H1081" s="27"/>
      <c r="I1081" s="60">
        <f>J1076+J1077+J1078+J1079</f>
        <v>2517.1099999999997</v>
      </c>
      <c r="J1081" s="60"/>
      <c r="K1081" s="28">
        <f>IF(Source!I808&lt;&gt;0, ROUND(I1081/Source!I808, 2), 0)</f>
        <v>3146.39</v>
      </c>
      <c r="P1081" s="25">
        <f>I1081</f>
        <v>2517.1099999999997</v>
      </c>
    </row>
    <row r="1082" spans="1:22" ht="114" x14ac:dyDescent="0.2">
      <c r="A1082" s="19">
        <v>106</v>
      </c>
      <c r="B1082" s="19" t="str">
        <f>Source!F809</f>
        <v>1.20-2103-24-1/1</v>
      </c>
      <c r="C1082" s="19" t="str">
        <f>Source!G809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</v>
      </c>
      <c r="D1082" s="20" t="str">
        <f>Source!H809</f>
        <v>шт.</v>
      </c>
      <c r="E1082" s="9">
        <f>Source!I809</f>
        <v>182</v>
      </c>
      <c r="F1082" s="22"/>
      <c r="G1082" s="21"/>
      <c r="H1082" s="9"/>
      <c r="I1082" s="9"/>
      <c r="J1082" s="22"/>
      <c r="K1082" s="22"/>
      <c r="Q1082">
        <f>ROUND((Source!BZ809/100)*ROUND((Source!AF809*Source!AV809)*Source!I809, 2), 2)</f>
        <v>21486.01</v>
      </c>
      <c r="R1082">
        <f>Source!X809</f>
        <v>21486.01</v>
      </c>
      <c r="S1082">
        <f>ROUND((Source!CA809/100)*ROUND((Source!AF809*Source!AV809)*Source!I809, 2), 2)</f>
        <v>3069.43</v>
      </c>
      <c r="T1082">
        <f>Source!Y809</f>
        <v>3069.43</v>
      </c>
      <c r="U1082">
        <f>ROUND((175/100)*ROUND((Source!AE809*Source!AV809)*Source!I809, 2), 2)</f>
        <v>0</v>
      </c>
      <c r="V1082">
        <f>ROUND((108/100)*ROUND(Source!CS809*Source!I809, 2), 2)</f>
        <v>0</v>
      </c>
    </row>
    <row r="1083" spans="1:22" x14ac:dyDescent="0.2">
      <c r="C1083" s="23" t="str">
        <f>"Объем: "&amp;Source!I809&amp;"=40+"&amp;"142"</f>
        <v>Объем: 182=40+142</v>
      </c>
    </row>
    <row r="1084" spans="1:22" ht="14.25" x14ac:dyDescent="0.2">
      <c r="A1084" s="19"/>
      <c r="B1084" s="19"/>
      <c r="C1084" s="19" t="s">
        <v>825</v>
      </c>
      <c r="D1084" s="20"/>
      <c r="E1084" s="9"/>
      <c r="F1084" s="22">
        <f>Source!AO809</f>
        <v>168.65</v>
      </c>
      <c r="G1084" s="21" t="str">
        <f>Source!DG809</f>
        <v/>
      </c>
      <c r="H1084" s="9">
        <f>Source!AV809</f>
        <v>1</v>
      </c>
      <c r="I1084" s="9">
        <f>IF(Source!BA809&lt;&gt; 0, Source!BA809, 1)</f>
        <v>1</v>
      </c>
      <c r="J1084" s="22">
        <f>Source!S809</f>
        <v>30694.3</v>
      </c>
      <c r="K1084" s="22"/>
    </row>
    <row r="1085" spans="1:22" ht="14.25" x14ac:dyDescent="0.2">
      <c r="A1085" s="19"/>
      <c r="B1085" s="19"/>
      <c r="C1085" s="19" t="s">
        <v>834</v>
      </c>
      <c r="D1085" s="20"/>
      <c r="E1085" s="9"/>
      <c r="F1085" s="22">
        <f>Source!AL809</f>
        <v>0.63</v>
      </c>
      <c r="G1085" s="21" t="str">
        <f>Source!DD809</f>
        <v/>
      </c>
      <c r="H1085" s="9">
        <f>Source!AW809</f>
        <v>1</v>
      </c>
      <c r="I1085" s="9">
        <f>IF(Source!BC809&lt;&gt; 0, Source!BC809, 1)</f>
        <v>1</v>
      </c>
      <c r="J1085" s="22">
        <f>Source!P809</f>
        <v>114.66</v>
      </c>
      <c r="K1085" s="22"/>
    </row>
    <row r="1086" spans="1:22" ht="14.25" x14ac:dyDescent="0.2">
      <c r="A1086" s="19"/>
      <c r="B1086" s="19"/>
      <c r="C1086" s="19" t="s">
        <v>828</v>
      </c>
      <c r="D1086" s="20" t="s">
        <v>829</v>
      </c>
      <c r="E1086" s="9">
        <f>Source!AT809</f>
        <v>70</v>
      </c>
      <c r="F1086" s="22"/>
      <c r="G1086" s="21"/>
      <c r="H1086" s="9"/>
      <c r="I1086" s="9"/>
      <c r="J1086" s="22">
        <f>SUM(R1082:R1085)</f>
        <v>21486.01</v>
      </c>
      <c r="K1086" s="22"/>
    </row>
    <row r="1087" spans="1:22" ht="14.25" x14ac:dyDescent="0.2">
      <c r="A1087" s="19"/>
      <c r="B1087" s="19"/>
      <c r="C1087" s="19" t="s">
        <v>830</v>
      </c>
      <c r="D1087" s="20" t="s">
        <v>829</v>
      </c>
      <c r="E1087" s="9">
        <f>Source!AU809</f>
        <v>10</v>
      </c>
      <c r="F1087" s="22"/>
      <c r="G1087" s="21"/>
      <c r="H1087" s="9"/>
      <c r="I1087" s="9"/>
      <c r="J1087" s="22">
        <f>SUM(T1082:T1086)</f>
        <v>3069.43</v>
      </c>
      <c r="K1087" s="22"/>
    </row>
    <row r="1088" spans="1:22" ht="14.25" x14ac:dyDescent="0.2">
      <c r="A1088" s="19"/>
      <c r="B1088" s="19"/>
      <c r="C1088" s="19" t="s">
        <v>832</v>
      </c>
      <c r="D1088" s="20" t="s">
        <v>833</v>
      </c>
      <c r="E1088" s="9">
        <f>Source!AQ809</f>
        <v>0.3</v>
      </c>
      <c r="F1088" s="22"/>
      <c r="G1088" s="21" t="str">
        <f>Source!DI809</f>
        <v/>
      </c>
      <c r="H1088" s="9">
        <f>Source!AV809</f>
        <v>1</v>
      </c>
      <c r="I1088" s="9"/>
      <c r="J1088" s="22"/>
      <c r="K1088" s="22">
        <f>Source!U809</f>
        <v>54.6</v>
      </c>
    </row>
    <row r="1089" spans="1:22" ht="15" x14ac:dyDescent="0.25">
      <c r="A1089" s="27"/>
      <c r="B1089" s="27"/>
      <c r="C1089" s="27"/>
      <c r="D1089" s="27"/>
      <c r="E1089" s="27"/>
      <c r="F1089" s="27"/>
      <c r="G1089" s="27"/>
      <c r="H1089" s="27"/>
      <c r="I1089" s="60">
        <f>J1084+J1085+J1086+J1087</f>
        <v>55364.4</v>
      </c>
      <c r="J1089" s="60"/>
      <c r="K1089" s="28">
        <f>IF(Source!I809&lt;&gt;0, ROUND(I1089/Source!I809, 2), 0)</f>
        <v>304.2</v>
      </c>
      <c r="P1089" s="25">
        <f>I1089</f>
        <v>55364.4</v>
      </c>
    </row>
    <row r="1090" spans="1:22" ht="99.75" x14ac:dyDescent="0.2">
      <c r="A1090" s="19">
        <v>107</v>
      </c>
      <c r="B1090" s="19" t="str">
        <f>Source!F810</f>
        <v>1.20-2103-25-1/1</v>
      </c>
      <c r="C1090" s="19" t="str">
        <f>Source!G810</f>
        <v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</v>
      </c>
      <c r="D1090" s="20" t="str">
        <f>Source!H810</f>
        <v>шт.</v>
      </c>
      <c r="E1090" s="9">
        <f>Source!I810</f>
        <v>64</v>
      </c>
      <c r="F1090" s="22"/>
      <c r="G1090" s="21"/>
      <c r="H1090" s="9"/>
      <c r="I1090" s="9"/>
      <c r="J1090" s="22"/>
      <c r="K1090" s="22"/>
      <c r="Q1090">
        <f>ROUND((Source!BZ810/100)*ROUND((Source!AF810*Source!AV810)*Source!I810, 2), 2)</f>
        <v>4533.3100000000004</v>
      </c>
      <c r="R1090">
        <f>Source!X810</f>
        <v>4533.3100000000004</v>
      </c>
      <c r="S1090">
        <f>ROUND((Source!CA810/100)*ROUND((Source!AF810*Source!AV810)*Source!I810, 2), 2)</f>
        <v>647.62</v>
      </c>
      <c r="T1090">
        <f>Source!Y810</f>
        <v>647.62</v>
      </c>
      <c r="U1090">
        <f>ROUND((175/100)*ROUND((Source!AE810*Source!AV810)*Source!I810, 2), 2)</f>
        <v>0</v>
      </c>
      <c r="V1090">
        <f>ROUND((108/100)*ROUND(Source!CS810*Source!I810, 2), 2)</f>
        <v>0</v>
      </c>
    </row>
    <row r="1091" spans="1:22" x14ac:dyDescent="0.2">
      <c r="C1091" s="23" t="str">
        <f>"Объем: "&amp;Source!I810&amp;"=34+"&amp;"9+"&amp;"17+"&amp;"4"</f>
        <v>Объем: 64=34+9+17+4</v>
      </c>
    </row>
    <row r="1092" spans="1:22" ht="14.25" x14ac:dyDescent="0.2">
      <c r="A1092" s="19"/>
      <c r="B1092" s="19"/>
      <c r="C1092" s="19" t="s">
        <v>825</v>
      </c>
      <c r="D1092" s="20"/>
      <c r="E1092" s="9"/>
      <c r="F1092" s="22">
        <f>Source!AO810</f>
        <v>101.19</v>
      </c>
      <c r="G1092" s="21" t="str">
        <f>Source!DG810</f>
        <v/>
      </c>
      <c r="H1092" s="9">
        <f>Source!AV810</f>
        <v>1</v>
      </c>
      <c r="I1092" s="9">
        <f>IF(Source!BA810&lt;&gt; 0, Source!BA810, 1)</f>
        <v>1</v>
      </c>
      <c r="J1092" s="22">
        <f>Source!S810</f>
        <v>6476.16</v>
      </c>
      <c r="K1092" s="22"/>
    </row>
    <row r="1093" spans="1:22" ht="14.25" x14ac:dyDescent="0.2">
      <c r="A1093" s="19"/>
      <c r="B1093" s="19"/>
      <c r="C1093" s="19" t="s">
        <v>834</v>
      </c>
      <c r="D1093" s="20"/>
      <c r="E1093" s="9"/>
      <c r="F1093" s="22">
        <f>Source!AL810</f>
        <v>1.26</v>
      </c>
      <c r="G1093" s="21" t="str">
        <f>Source!DD810</f>
        <v/>
      </c>
      <c r="H1093" s="9">
        <f>Source!AW810</f>
        <v>1</v>
      </c>
      <c r="I1093" s="9">
        <f>IF(Source!BC810&lt;&gt; 0, Source!BC810, 1)</f>
        <v>1</v>
      </c>
      <c r="J1093" s="22">
        <f>Source!P810</f>
        <v>80.64</v>
      </c>
      <c r="K1093" s="22"/>
    </row>
    <row r="1094" spans="1:22" ht="14.25" x14ac:dyDescent="0.2">
      <c r="A1094" s="19"/>
      <c r="B1094" s="19"/>
      <c r="C1094" s="19" t="s">
        <v>828</v>
      </c>
      <c r="D1094" s="20" t="s">
        <v>829</v>
      </c>
      <c r="E1094" s="9">
        <f>Source!AT810</f>
        <v>70</v>
      </c>
      <c r="F1094" s="22"/>
      <c r="G1094" s="21"/>
      <c r="H1094" s="9"/>
      <c r="I1094" s="9"/>
      <c r="J1094" s="22">
        <f>SUM(R1090:R1093)</f>
        <v>4533.3100000000004</v>
      </c>
      <c r="K1094" s="22"/>
    </row>
    <row r="1095" spans="1:22" ht="14.25" x14ac:dyDescent="0.2">
      <c r="A1095" s="19"/>
      <c r="B1095" s="19"/>
      <c r="C1095" s="19" t="s">
        <v>830</v>
      </c>
      <c r="D1095" s="20" t="s">
        <v>829</v>
      </c>
      <c r="E1095" s="9">
        <f>Source!AU810</f>
        <v>10</v>
      </c>
      <c r="F1095" s="22"/>
      <c r="G1095" s="21"/>
      <c r="H1095" s="9"/>
      <c r="I1095" s="9"/>
      <c r="J1095" s="22">
        <f>SUM(T1090:T1094)</f>
        <v>647.62</v>
      </c>
      <c r="K1095" s="22"/>
    </row>
    <row r="1096" spans="1:22" ht="14.25" x14ac:dyDescent="0.2">
      <c r="A1096" s="19"/>
      <c r="B1096" s="19"/>
      <c r="C1096" s="19" t="s">
        <v>832</v>
      </c>
      <c r="D1096" s="20" t="s">
        <v>833</v>
      </c>
      <c r="E1096" s="9">
        <f>Source!AQ810</f>
        <v>0.18</v>
      </c>
      <c r="F1096" s="22"/>
      <c r="G1096" s="21" t="str">
        <f>Source!DI810</f>
        <v/>
      </c>
      <c r="H1096" s="9">
        <f>Source!AV810</f>
        <v>1</v>
      </c>
      <c r="I1096" s="9"/>
      <c r="J1096" s="22"/>
      <c r="K1096" s="22">
        <f>Source!U810</f>
        <v>11.52</v>
      </c>
    </row>
    <row r="1097" spans="1:22" ht="15" x14ac:dyDescent="0.25">
      <c r="A1097" s="27"/>
      <c r="B1097" s="27"/>
      <c r="C1097" s="27"/>
      <c r="D1097" s="27"/>
      <c r="E1097" s="27"/>
      <c r="F1097" s="27"/>
      <c r="G1097" s="27"/>
      <c r="H1097" s="27"/>
      <c r="I1097" s="60">
        <f>J1092+J1093+J1094+J1095</f>
        <v>11737.730000000001</v>
      </c>
      <c r="J1097" s="60"/>
      <c r="K1097" s="28">
        <f>IF(Source!I810&lt;&gt;0, ROUND(I1097/Source!I810, 2), 0)</f>
        <v>183.4</v>
      </c>
      <c r="P1097" s="25">
        <f>I1097</f>
        <v>11737.730000000001</v>
      </c>
    </row>
    <row r="1098" spans="1:22" ht="57" x14ac:dyDescent="0.2">
      <c r="A1098" s="19">
        <v>108</v>
      </c>
      <c r="B1098" s="19" t="str">
        <f>Source!F812</f>
        <v>1.21-2103-9-2/1</v>
      </c>
      <c r="C1098" s="19" t="str">
        <f>Source!G812</f>
        <v>Техническое обслуживание силовых сетей, проложенных по кирпичным и бетонным основаниям, провод сечением 3х1,5-6 мм2</v>
      </c>
      <c r="D1098" s="20" t="str">
        <f>Source!H812</f>
        <v>100 м</v>
      </c>
      <c r="E1098" s="9">
        <f>Source!I812</f>
        <v>0.432</v>
      </c>
      <c r="F1098" s="22"/>
      <c r="G1098" s="21"/>
      <c r="H1098" s="9"/>
      <c r="I1098" s="9"/>
      <c r="J1098" s="22"/>
      <c r="K1098" s="22"/>
      <c r="Q1098">
        <f>ROUND((Source!BZ812/100)*ROUND((Source!AF812*Source!AV812)*Source!I812, 2), 2)</f>
        <v>1618.79</v>
      </c>
      <c r="R1098">
        <f>Source!X812</f>
        <v>1618.79</v>
      </c>
      <c r="S1098">
        <f>ROUND((Source!CA812/100)*ROUND((Source!AF812*Source!AV812)*Source!I812, 2), 2)</f>
        <v>231.26</v>
      </c>
      <c r="T1098">
        <f>Source!Y812</f>
        <v>231.26</v>
      </c>
      <c r="U1098">
        <f>ROUND((175/100)*ROUND((Source!AE812*Source!AV812)*Source!I812, 2), 2)</f>
        <v>0</v>
      </c>
      <c r="V1098">
        <f>ROUND((108/100)*ROUND(Source!CS812*Source!I812, 2), 2)</f>
        <v>0</v>
      </c>
    </row>
    <row r="1099" spans="1:22" x14ac:dyDescent="0.2">
      <c r="C1099" s="23" t="str">
        <f>"Объем: "&amp;Source!I812&amp;"=(2160)*"&amp;"0,2*"&amp;"0,1/"&amp;"100"</f>
        <v>Объем: 0,432=(2160)*0,2*0,1/100</v>
      </c>
    </row>
    <row r="1100" spans="1:22" ht="14.25" x14ac:dyDescent="0.2">
      <c r="A1100" s="19"/>
      <c r="B1100" s="19"/>
      <c r="C1100" s="19" t="s">
        <v>825</v>
      </c>
      <c r="D1100" s="20"/>
      <c r="E1100" s="9"/>
      <c r="F1100" s="22">
        <f>Source!AO812</f>
        <v>5353.15</v>
      </c>
      <c r="G1100" s="21" t="str">
        <f>Source!DG812</f>
        <v/>
      </c>
      <c r="H1100" s="9">
        <f>Source!AV812</f>
        <v>1</v>
      </c>
      <c r="I1100" s="9">
        <f>IF(Source!BA812&lt;&gt; 0, Source!BA812, 1)</f>
        <v>1</v>
      </c>
      <c r="J1100" s="22">
        <f>Source!S812</f>
        <v>2312.56</v>
      </c>
      <c r="K1100" s="22"/>
    </row>
    <row r="1101" spans="1:22" ht="14.25" x14ac:dyDescent="0.2">
      <c r="A1101" s="19"/>
      <c r="B1101" s="19"/>
      <c r="C1101" s="19" t="s">
        <v>834</v>
      </c>
      <c r="D1101" s="20"/>
      <c r="E1101" s="9"/>
      <c r="F1101" s="22">
        <f>Source!AL812</f>
        <v>22.51</v>
      </c>
      <c r="G1101" s="21" t="str">
        <f>Source!DD812</f>
        <v/>
      </c>
      <c r="H1101" s="9">
        <f>Source!AW812</f>
        <v>1</v>
      </c>
      <c r="I1101" s="9">
        <f>IF(Source!BC812&lt;&gt; 0, Source!BC812, 1)</f>
        <v>1</v>
      </c>
      <c r="J1101" s="22">
        <f>Source!P812</f>
        <v>9.7200000000000006</v>
      </c>
      <c r="K1101" s="22"/>
    </row>
    <row r="1102" spans="1:22" ht="14.25" x14ac:dyDescent="0.2">
      <c r="A1102" s="19"/>
      <c r="B1102" s="19"/>
      <c r="C1102" s="19" t="s">
        <v>828</v>
      </c>
      <c r="D1102" s="20" t="s">
        <v>829</v>
      </c>
      <c r="E1102" s="9">
        <f>Source!AT812</f>
        <v>70</v>
      </c>
      <c r="F1102" s="22"/>
      <c r="G1102" s="21"/>
      <c r="H1102" s="9"/>
      <c r="I1102" s="9"/>
      <c r="J1102" s="22">
        <f>SUM(R1098:R1101)</f>
        <v>1618.79</v>
      </c>
      <c r="K1102" s="22"/>
    </row>
    <row r="1103" spans="1:22" ht="14.25" x14ac:dyDescent="0.2">
      <c r="A1103" s="19"/>
      <c r="B1103" s="19"/>
      <c r="C1103" s="19" t="s">
        <v>830</v>
      </c>
      <c r="D1103" s="20" t="s">
        <v>829</v>
      </c>
      <c r="E1103" s="9">
        <f>Source!AU812</f>
        <v>10</v>
      </c>
      <c r="F1103" s="22"/>
      <c r="G1103" s="21"/>
      <c r="H1103" s="9"/>
      <c r="I1103" s="9"/>
      <c r="J1103" s="22">
        <f>SUM(T1098:T1102)</f>
        <v>231.26</v>
      </c>
      <c r="K1103" s="22"/>
    </row>
    <row r="1104" spans="1:22" ht="14.25" x14ac:dyDescent="0.2">
      <c r="A1104" s="19"/>
      <c r="B1104" s="19"/>
      <c r="C1104" s="19" t="s">
        <v>832</v>
      </c>
      <c r="D1104" s="20" t="s">
        <v>833</v>
      </c>
      <c r="E1104" s="9">
        <f>Source!AQ812</f>
        <v>10</v>
      </c>
      <c r="F1104" s="22"/>
      <c r="G1104" s="21" t="str">
        <f>Source!DI812</f>
        <v/>
      </c>
      <c r="H1104" s="9">
        <f>Source!AV812</f>
        <v>1</v>
      </c>
      <c r="I1104" s="9"/>
      <c r="J1104" s="22"/>
      <c r="K1104" s="22">
        <f>Source!U812</f>
        <v>4.32</v>
      </c>
    </row>
    <row r="1105" spans="1:22" ht="15" x14ac:dyDescent="0.25">
      <c r="A1105" s="27"/>
      <c r="B1105" s="27"/>
      <c r="C1105" s="27"/>
      <c r="D1105" s="27"/>
      <c r="E1105" s="27"/>
      <c r="F1105" s="27"/>
      <c r="G1105" s="27"/>
      <c r="H1105" s="27"/>
      <c r="I1105" s="60">
        <f>J1100+J1101+J1102+J1103</f>
        <v>4172.33</v>
      </c>
      <c r="J1105" s="60"/>
      <c r="K1105" s="28">
        <f>IF(Source!I812&lt;&gt;0, ROUND(I1105/Source!I812, 2), 0)</f>
        <v>9658.17</v>
      </c>
      <c r="P1105" s="25">
        <f>I1105</f>
        <v>4172.33</v>
      </c>
    </row>
    <row r="1107" spans="1:22" ht="15" x14ac:dyDescent="0.25">
      <c r="A1107" s="59" t="str">
        <f>CONCATENATE("Итого по подразделу: ",IF(Source!G816&lt;&gt;"Новый подраздел", Source!G816, ""))</f>
        <v>Итого по подразделу: Архитектурное освещение фасада</v>
      </c>
      <c r="B1107" s="59"/>
      <c r="C1107" s="59"/>
      <c r="D1107" s="59"/>
      <c r="E1107" s="59"/>
      <c r="F1107" s="59"/>
      <c r="G1107" s="59"/>
      <c r="H1107" s="59"/>
      <c r="I1107" s="57">
        <f>SUM(P1048:P1106)</f>
        <v>112705.79000000001</v>
      </c>
      <c r="J1107" s="58"/>
      <c r="K1107" s="18"/>
    </row>
    <row r="1110" spans="1:22" ht="16.5" x14ac:dyDescent="0.25">
      <c r="A1110" s="55" t="str">
        <f>CONCATENATE("Подраздел: ",IF(Source!G846&lt;&gt;"Новый подраздел", Source!G846, ""))</f>
        <v>Подраздел: Электроснабжение ИТП</v>
      </c>
      <c r="B1110" s="55"/>
      <c r="C1110" s="55"/>
      <c r="D1110" s="55"/>
      <c r="E1110" s="55"/>
      <c r="F1110" s="55"/>
      <c r="G1110" s="55"/>
      <c r="H1110" s="55"/>
      <c r="I1110" s="55"/>
      <c r="J1110" s="55"/>
      <c r="K1110" s="55"/>
    </row>
    <row r="1112" spans="1:22" ht="15" x14ac:dyDescent="0.25">
      <c r="B1112" s="56" t="str">
        <f>Source!G850</f>
        <v>Корпус  7.2.1, Корпус 7.2.2, Корпус 7.2.3,  Корпус 7.2.4</v>
      </c>
      <c r="C1112" s="56"/>
      <c r="D1112" s="56"/>
      <c r="E1112" s="56"/>
      <c r="F1112" s="56"/>
      <c r="G1112" s="56"/>
      <c r="H1112" s="56"/>
      <c r="I1112" s="56"/>
      <c r="J1112" s="56"/>
    </row>
    <row r="1113" spans="1:22" ht="57" x14ac:dyDescent="0.2">
      <c r="A1113" s="19">
        <v>109</v>
      </c>
      <c r="B1113" s="19" t="str">
        <f>Source!F851</f>
        <v>1.21-2203-2-4/1</v>
      </c>
      <c r="C1113" s="19" t="str">
        <f>Source!G851</f>
        <v>Техническое обслуживание силового распределительного пункта с установочными автоматами, число групп 10</v>
      </c>
      <c r="D1113" s="20" t="str">
        <f>Source!H851</f>
        <v>шт.</v>
      </c>
      <c r="E1113" s="9">
        <f>Source!I851</f>
        <v>4</v>
      </c>
      <c r="F1113" s="22"/>
      <c r="G1113" s="21"/>
      <c r="H1113" s="9"/>
      <c r="I1113" s="9"/>
      <c r="J1113" s="22"/>
      <c r="K1113" s="22"/>
      <c r="Q1113">
        <f>ROUND((Source!BZ851/100)*ROUND((Source!AF851*Source!AV851)*Source!I851, 2), 2)</f>
        <v>31121.5</v>
      </c>
      <c r="R1113">
        <f>Source!X851</f>
        <v>31121.5</v>
      </c>
      <c r="S1113">
        <f>ROUND((Source!CA851/100)*ROUND((Source!AF851*Source!AV851)*Source!I851, 2), 2)</f>
        <v>4445.93</v>
      </c>
      <c r="T1113">
        <f>Source!Y851</f>
        <v>4445.93</v>
      </c>
      <c r="U1113">
        <f>ROUND((175/100)*ROUND((Source!AE851*Source!AV851)*Source!I851, 2), 2)</f>
        <v>0</v>
      </c>
      <c r="V1113">
        <f>ROUND((108/100)*ROUND(Source!CS851*Source!I851, 2), 2)</f>
        <v>0</v>
      </c>
    </row>
    <row r="1114" spans="1:22" x14ac:dyDescent="0.2">
      <c r="C1114" s="23" t="str">
        <f>"Объем: "&amp;Source!I851&amp;"=1+"&amp;"1+"&amp;"1+"&amp;"1"</f>
        <v>Объем: 4=1+1+1+1</v>
      </c>
    </row>
    <row r="1115" spans="1:22" ht="14.25" x14ac:dyDescent="0.2">
      <c r="A1115" s="19"/>
      <c r="B1115" s="19"/>
      <c r="C1115" s="19" t="s">
        <v>825</v>
      </c>
      <c r="D1115" s="20"/>
      <c r="E1115" s="9"/>
      <c r="F1115" s="22">
        <f>Source!AO851</f>
        <v>11114.82</v>
      </c>
      <c r="G1115" s="21" t="str">
        <f>Source!DG851</f>
        <v/>
      </c>
      <c r="H1115" s="9">
        <f>Source!AV851</f>
        <v>1</v>
      </c>
      <c r="I1115" s="9">
        <f>IF(Source!BA851&lt;&gt; 0, Source!BA851, 1)</f>
        <v>1</v>
      </c>
      <c r="J1115" s="22">
        <f>Source!S851</f>
        <v>44459.28</v>
      </c>
      <c r="K1115" s="22"/>
    </row>
    <row r="1116" spans="1:22" ht="14.25" x14ac:dyDescent="0.2">
      <c r="A1116" s="19"/>
      <c r="B1116" s="19"/>
      <c r="C1116" s="19" t="s">
        <v>834</v>
      </c>
      <c r="D1116" s="20"/>
      <c r="E1116" s="9"/>
      <c r="F1116" s="22">
        <f>Source!AL851</f>
        <v>154.13999999999999</v>
      </c>
      <c r="G1116" s="21" t="str">
        <f>Source!DD851</f>
        <v/>
      </c>
      <c r="H1116" s="9">
        <f>Source!AW851</f>
        <v>1</v>
      </c>
      <c r="I1116" s="9">
        <f>IF(Source!BC851&lt;&gt; 0, Source!BC851, 1)</f>
        <v>1</v>
      </c>
      <c r="J1116" s="22">
        <f>Source!P851</f>
        <v>616.55999999999995</v>
      </c>
      <c r="K1116" s="22"/>
    </row>
    <row r="1117" spans="1:22" ht="14.25" x14ac:dyDescent="0.2">
      <c r="A1117" s="19"/>
      <c r="B1117" s="19"/>
      <c r="C1117" s="19" t="s">
        <v>828</v>
      </c>
      <c r="D1117" s="20" t="s">
        <v>829</v>
      </c>
      <c r="E1117" s="9">
        <f>Source!AT851</f>
        <v>70</v>
      </c>
      <c r="F1117" s="22"/>
      <c r="G1117" s="21"/>
      <c r="H1117" s="9"/>
      <c r="I1117" s="9"/>
      <c r="J1117" s="22">
        <f>SUM(R1113:R1116)</f>
        <v>31121.5</v>
      </c>
      <c r="K1117" s="22"/>
    </row>
    <row r="1118" spans="1:22" ht="14.25" x14ac:dyDescent="0.2">
      <c r="A1118" s="19"/>
      <c r="B1118" s="19"/>
      <c r="C1118" s="19" t="s">
        <v>830</v>
      </c>
      <c r="D1118" s="20" t="s">
        <v>829</v>
      </c>
      <c r="E1118" s="9">
        <f>Source!AU851</f>
        <v>10</v>
      </c>
      <c r="F1118" s="22"/>
      <c r="G1118" s="21"/>
      <c r="H1118" s="9"/>
      <c r="I1118" s="9"/>
      <c r="J1118" s="22">
        <f>SUM(T1113:T1117)</f>
        <v>4445.93</v>
      </c>
      <c r="K1118" s="22"/>
    </row>
    <row r="1119" spans="1:22" ht="14.25" x14ac:dyDescent="0.2">
      <c r="A1119" s="19"/>
      <c r="B1119" s="19"/>
      <c r="C1119" s="19" t="s">
        <v>832</v>
      </c>
      <c r="D1119" s="20" t="s">
        <v>833</v>
      </c>
      <c r="E1119" s="9">
        <f>Source!AQ851</f>
        <v>18</v>
      </c>
      <c r="F1119" s="22"/>
      <c r="G1119" s="21" t="str">
        <f>Source!DI851</f>
        <v/>
      </c>
      <c r="H1119" s="9">
        <f>Source!AV851</f>
        <v>1</v>
      </c>
      <c r="I1119" s="9"/>
      <c r="J1119" s="22"/>
      <c r="K1119" s="22">
        <f>Source!U851</f>
        <v>72</v>
      </c>
    </row>
    <row r="1120" spans="1:22" ht="15" x14ac:dyDescent="0.25">
      <c r="A1120" s="27"/>
      <c r="B1120" s="27"/>
      <c r="C1120" s="27"/>
      <c r="D1120" s="27"/>
      <c r="E1120" s="27"/>
      <c r="F1120" s="27"/>
      <c r="G1120" s="27"/>
      <c r="H1120" s="27"/>
      <c r="I1120" s="60">
        <f>J1115+J1116+J1117+J1118</f>
        <v>80643.26999999999</v>
      </c>
      <c r="J1120" s="60"/>
      <c r="K1120" s="28">
        <f>IF(Source!I851&lt;&gt;0, ROUND(I1120/Source!I851, 2), 0)</f>
        <v>20160.82</v>
      </c>
      <c r="P1120" s="25">
        <f>I1120</f>
        <v>80643.26999999999</v>
      </c>
    </row>
    <row r="1121" spans="1:22" ht="42.75" x14ac:dyDescent="0.2">
      <c r="A1121" s="19">
        <v>110</v>
      </c>
      <c r="B1121" s="19" t="str">
        <f>Source!F853</f>
        <v>1.23-2203-3-1/1</v>
      </c>
      <c r="C1121" s="19" t="str">
        <f>Source!G853</f>
        <v>Техническое обслуживание светосигнальной арматуры с лампой накаливания, светодиодом</v>
      </c>
      <c r="D1121" s="20" t="str">
        <f>Source!H853</f>
        <v>10 шт.</v>
      </c>
      <c r="E1121" s="9">
        <f>Source!I853</f>
        <v>0.4</v>
      </c>
      <c r="F1121" s="22"/>
      <c r="G1121" s="21"/>
      <c r="H1121" s="9"/>
      <c r="I1121" s="9"/>
      <c r="J1121" s="22"/>
      <c r="K1121" s="22"/>
      <c r="Q1121">
        <f>ROUND((Source!BZ853/100)*ROUND((Source!AF853*Source!AV853)*Source!I853, 2), 2)</f>
        <v>476.89</v>
      </c>
      <c r="R1121">
        <f>Source!X853</f>
        <v>476.89</v>
      </c>
      <c r="S1121">
        <f>ROUND((Source!CA853/100)*ROUND((Source!AF853*Source!AV853)*Source!I853, 2), 2)</f>
        <v>68.13</v>
      </c>
      <c r="T1121">
        <f>Source!Y853</f>
        <v>68.13</v>
      </c>
      <c r="U1121">
        <f>ROUND((175/100)*ROUND((Source!AE853*Source!AV853)*Source!I853, 2), 2)</f>
        <v>0</v>
      </c>
      <c r="V1121">
        <f>ROUND((108/100)*ROUND(Source!CS853*Source!I853, 2), 2)</f>
        <v>0</v>
      </c>
    </row>
    <row r="1122" spans="1:22" x14ac:dyDescent="0.2">
      <c r="C1122" s="23" t="str">
        <f>"Объем: "&amp;Source!I853&amp;"=(1+"&amp;"1+"&amp;"1+"&amp;"1)/"&amp;"10"</f>
        <v>Объем: 0,4=(1+1+1+1)/10</v>
      </c>
    </row>
    <row r="1123" spans="1:22" ht="14.25" x14ac:dyDescent="0.2">
      <c r="A1123" s="19"/>
      <c r="B1123" s="19"/>
      <c r="C1123" s="19" t="s">
        <v>825</v>
      </c>
      <c r="D1123" s="20"/>
      <c r="E1123" s="9"/>
      <c r="F1123" s="22">
        <f>Source!AO853</f>
        <v>1703.18</v>
      </c>
      <c r="G1123" s="21" t="str">
        <f>Source!DG853</f>
        <v/>
      </c>
      <c r="H1123" s="9">
        <f>Source!AV853</f>
        <v>1</v>
      </c>
      <c r="I1123" s="9">
        <f>IF(Source!BA853&lt;&gt; 0, Source!BA853, 1)</f>
        <v>1</v>
      </c>
      <c r="J1123" s="22">
        <f>Source!S853</f>
        <v>681.27</v>
      </c>
      <c r="K1123" s="22"/>
    </row>
    <row r="1124" spans="1:22" ht="14.25" x14ac:dyDescent="0.2">
      <c r="A1124" s="19"/>
      <c r="B1124" s="19"/>
      <c r="C1124" s="19" t="s">
        <v>834</v>
      </c>
      <c r="D1124" s="20"/>
      <c r="E1124" s="9"/>
      <c r="F1124" s="22">
        <f>Source!AL853</f>
        <v>80.67</v>
      </c>
      <c r="G1124" s="21" t="str">
        <f>Source!DD853</f>
        <v/>
      </c>
      <c r="H1124" s="9">
        <f>Source!AW853</f>
        <v>1</v>
      </c>
      <c r="I1124" s="9">
        <f>IF(Source!BC853&lt;&gt; 0, Source!BC853, 1)</f>
        <v>1</v>
      </c>
      <c r="J1124" s="22">
        <f>Source!P853</f>
        <v>32.270000000000003</v>
      </c>
      <c r="K1124" s="22"/>
    </row>
    <row r="1125" spans="1:22" ht="14.25" x14ac:dyDescent="0.2">
      <c r="A1125" s="19"/>
      <c r="B1125" s="19"/>
      <c r="C1125" s="19" t="s">
        <v>828</v>
      </c>
      <c r="D1125" s="20" t="s">
        <v>829</v>
      </c>
      <c r="E1125" s="9">
        <f>Source!AT853</f>
        <v>70</v>
      </c>
      <c r="F1125" s="22"/>
      <c r="G1125" s="21"/>
      <c r="H1125" s="9"/>
      <c r="I1125" s="9"/>
      <c r="J1125" s="22">
        <f>SUM(R1121:R1124)</f>
        <v>476.89</v>
      </c>
      <c r="K1125" s="22"/>
    </row>
    <row r="1126" spans="1:22" ht="14.25" x14ac:dyDescent="0.2">
      <c r="A1126" s="19"/>
      <c r="B1126" s="19"/>
      <c r="C1126" s="19" t="s">
        <v>830</v>
      </c>
      <c r="D1126" s="20" t="s">
        <v>829</v>
      </c>
      <c r="E1126" s="9">
        <f>Source!AU853</f>
        <v>10</v>
      </c>
      <c r="F1126" s="22"/>
      <c r="G1126" s="21"/>
      <c r="H1126" s="9"/>
      <c r="I1126" s="9"/>
      <c r="J1126" s="22">
        <f>SUM(T1121:T1125)</f>
        <v>68.13</v>
      </c>
      <c r="K1126" s="22"/>
    </row>
    <row r="1127" spans="1:22" ht="14.25" x14ac:dyDescent="0.2">
      <c r="A1127" s="19"/>
      <c r="B1127" s="19"/>
      <c r="C1127" s="19" t="s">
        <v>832</v>
      </c>
      <c r="D1127" s="20" t="s">
        <v>833</v>
      </c>
      <c r="E1127" s="9">
        <f>Source!AQ853</f>
        <v>2.4</v>
      </c>
      <c r="F1127" s="22"/>
      <c r="G1127" s="21" t="str">
        <f>Source!DI853</f>
        <v/>
      </c>
      <c r="H1127" s="9">
        <f>Source!AV853</f>
        <v>1</v>
      </c>
      <c r="I1127" s="9"/>
      <c r="J1127" s="22"/>
      <c r="K1127" s="22">
        <f>Source!U853</f>
        <v>0.96</v>
      </c>
    </row>
    <row r="1128" spans="1:22" ht="15" x14ac:dyDescent="0.25">
      <c r="A1128" s="27"/>
      <c r="B1128" s="27"/>
      <c r="C1128" s="27"/>
      <c r="D1128" s="27"/>
      <c r="E1128" s="27"/>
      <c r="F1128" s="27"/>
      <c r="G1128" s="27"/>
      <c r="H1128" s="27"/>
      <c r="I1128" s="60">
        <f>J1123+J1124+J1125+J1126</f>
        <v>1258.56</v>
      </c>
      <c r="J1128" s="60"/>
      <c r="K1128" s="28">
        <f>IF(Source!I853&lt;&gt;0, ROUND(I1128/Source!I853, 2), 0)</f>
        <v>3146.4</v>
      </c>
      <c r="P1128" s="25">
        <f>I1128</f>
        <v>1258.56</v>
      </c>
    </row>
    <row r="1129" spans="1:22" ht="28.5" x14ac:dyDescent="0.2">
      <c r="A1129" s="19">
        <v>111</v>
      </c>
      <c r="B1129" s="19" t="str">
        <f>Source!F854</f>
        <v>1.23-2103-4-1/1</v>
      </c>
      <c r="C1129" s="19" t="str">
        <f>Source!G854</f>
        <v>Техническое обслуживание реле напряжения, реле промежуточного</v>
      </c>
      <c r="D1129" s="20" t="str">
        <f>Source!H854</f>
        <v>шт.</v>
      </c>
      <c r="E1129" s="9">
        <f>Source!I854</f>
        <v>4</v>
      </c>
      <c r="F1129" s="22"/>
      <c r="G1129" s="21"/>
      <c r="H1129" s="9"/>
      <c r="I1129" s="9"/>
      <c r="J1129" s="22"/>
      <c r="K1129" s="22"/>
      <c r="Q1129">
        <f>ROUND((Source!BZ854/100)*ROUND((Source!AF854*Source!AV854)*Source!I854, 2), 2)</f>
        <v>1037.3699999999999</v>
      </c>
      <c r="R1129">
        <f>Source!X854</f>
        <v>1037.3699999999999</v>
      </c>
      <c r="S1129">
        <f>ROUND((Source!CA854/100)*ROUND((Source!AF854*Source!AV854)*Source!I854, 2), 2)</f>
        <v>148.19999999999999</v>
      </c>
      <c r="T1129">
        <f>Source!Y854</f>
        <v>148.19999999999999</v>
      </c>
      <c r="U1129">
        <f>ROUND((175/100)*ROUND((Source!AE854*Source!AV854)*Source!I854, 2), 2)</f>
        <v>0</v>
      </c>
      <c r="V1129">
        <f>ROUND((108/100)*ROUND(Source!CS854*Source!I854, 2), 2)</f>
        <v>0</v>
      </c>
    </row>
    <row r="1130" spans="1:22" x14ac:dyDescent="0.2">
      <c r="C1130" s="23" t="str">
        <f>"Объем: "&amp;Source!I854&amp;"=1+"&amp;"1+"&amp;"1+"&amp;"1"</f>
        <v>Объем: 4=1+1+1+1</v>
      </c>
    </row>
    <row r="1131" spans="1:22" ht="14.25" x14ac:dyDescent="0.2">
      <c r="A1131" s="19"/>
      <c r="B1131" s="19"/>
      <c r="C1131" s="19" t="s">
        <v>825</v>
      </c>
      <c r="D1131" s="20"/>
      <c r="E1131" s="9"/>
      <c r="F1131" s="22">
        <f>Source!AO854</f>
        <v>370.49</v>
      </c>
      <c r="G1131" s="21" t="str">
        <f>Source!DG854</f>
        <v/>
      </c>
      <c r="H1131" s="9">
        <f>Source!AV854</f>
        <v>1</v>
      </c>
      <c r="I1131" s="9">
        <f>IF(Source!BA854&lt;&gt; 0, Source!BA854, 1)</f>
        <v>1</v>
      </c>
      <c r="J1131" s="22">
        <f>Source!S854</f>
        <v>1481.96</v>
      </c>
      <c r="K1131" s="22"/>
    </row>
    <row r="1132" spans="1:22" ht="14.25" x14ac:dyDescent="0.2">
      <c r="A1132" s="19"/>
      <c r="B1132" s="19"/>
      <c r="C1132" s="19" t="s">
        <v>834</v>
      </c>
      <c r="D1132" s="20"/>
      <c r="E1132" s="9"/>
      <c r="F1132" s="22">
        <f>Source!AL854</f>
        <v>0.87</v>
      </c>
      <c r="G1132" s="21" t="str">
        <f>Source!DD854</f>
        <v/>
      </c>
      <c r="H1132" s="9">
        <f>Source!AW854</f>
        <v>1</v>
      </c>
      <c r="I1132" s="9">
        <f>IF(Source!BC854&lt;&gt; 0, Source!BC854, 1)</f>
        <v>1</v>
      </c>
      <c r="J1132" s="22">
        <f>Source!P854</f>
        <v>3.48</v>
      </c>
      <c r="K1132" s="22"/>
    </row>
    <row r="1133" spans="1:22" ht="14.25" x14ac:dyDescent="0.2">
      <c r="A1133" s="19"/>
      <c r="B1133" s="19"/>
      <c r="C1133" s="19" t="s">
        <v>828</v>
      </c>
      <c r="D1133" s="20" t="s">
        <v>829</v>
      </c>
      <c r="E1133" s="9">
        <f>Source!AT854</f>
        <v>70</v>
      </c>
      <c r="F1133" s="22"/>
      <c r="G1133" s="21"/>
      <c r="H1133" s="9"/>
      <c r="I1133" s="9"/>
      <c r="J1133" s="22">
        <f>SUM(R1129:R1132)</f>
        <v>1037.3699999999999</v>
      </c>
      <c r="K1133" s="22"/>
    </row>
    <row r="1134" spans="1:22" ht="14.25" x14ac:dyDescent="0.2">
      <c r="A1134" s="19"/>
      <c r="B1134" s="19"/>
      <c r="C1134" s="19" t="s">
        <v>830</v>
      </c>
      <c r="D1134" s="20" t="s">
        <v>829</v>
      </c>
      <c r="E1134" s="9">
        <f>Source!AU854</f>
        <v>10</v>
      </c>
      <c r="F1134" s="22"/>
      <c r="G1134" s="21"/>
      <c r="H1134" s="9"/>
      <c r="I1134" s="9"/>
      <c r="J1134" s="22">
        <f>SUM(T1129:T1133)</f>
        <v>148.19999999999999</v>
      </c>
      <c r="K1134" s="22"/>
    </row>
    <row r="1135" spans="1:22" ht="14.25" x14ac:dyDescent="0.2">
      <c r="A1135" s="19"/>
      <c r="B1135" s="19"/>
      <c r="C1135" s="19" t="s">
        <v>832</v>
      </c>
      <c r="D1135" s="20" t="s">
        <v>833</v>
      </c>
      <c r="E1135" s="9">
        <f>Source!AQ854</f>
        <v>0.6</v>
      </c>
      <c r="F1135" s="22"/>
      <c r="G1135" s="21" t="str">
        <f>Source!DI854</f>
        <v/>
      </c>
      <c r="H1135" s="9">
        <f>Source!AV854</f>
        <v>1</v>
      </c>
      <c r="I1135" s="9"/>
      <c r="J1135" s="22"/>
      <c r="K1135" s="22">
        <f>Source!U854</f>
        <v>2.4</v>
      </c>
    </row>
    <row r="1136" spans="1:22" ht="15" x14ac:dyDescent="0.25">
      <c r="A1136" s="27"/>
      <c r="B1136" s="27"/>
      <c r="C1136" s="27"/>
      <c r="D1136" s="27"/>
      <c r="E1136" s="27"/>
      <c r="F1136" s="27"/>
      <c r="G1136" s="27"/>
      <c r="H1136" s="27"/>
      <c r="I1136" s="60">
        <f>J1131+J1132+J1133+J1134</f>
        <v>2671.0099999999998</v>
      </c>
      <c r="J1136" s="60"/>
      <c r="K1136" s="28">
        <f>IF(Source!I854&lt;&gt;0, ROUND(I1136/Source!I854, 2), 0)</f>
        <v>667.75</v>
      </c>
      <c r="P1136" s="25">
        <f>I1136</f>
        <v>2671.0099999999998</v>
      </c>
    </row>
    <row r="1137" spans="1:22" ht="42.75" x14ac:dyDescent="0.2">
      <c r="A1137" s="19">
        <v>112</v>
      </c>
      <c r="B1137" s="19" t="str">
        <f>Source!F856</f>
        <v>1.21-2203-17-1/1</v>
      </c>
      <c r="C1137" s="19" t="str">
        <f>Source!G856</f>
        <v>Техническое обслуживание ящика с понижающим трансформатором типа ЯТП  / ЯРП-100-54</v>
      </c>
      <c r="D1137" s="20" t="str">
        <f>Source!H856</f>
        <v>шт.</v>
      </c>
      <c r="E1137" s="9">
        <f>Source!I856</f>
        <v>4</v>
      </c>
      <c r="F1137" s="22"/>
      <c r="G1137" s="21"/>
      <c r="H1137" s="9"/>
      <c r="I1137" s="9"/>
      <c r="J1137" s="22"/>
      <c r="K1137" s="22"/>
      <c r="Q1137">
        <f>ROUND((Source!BZ856/100)*ROUND((Source!AF856*Source!AV856)*Source!I856, 2), 2)</f>
        <v>822.08</v>
      </c>
      <c r="R1137">
        <f>Source!X856</f>
        <v>822.08</v>
      </c>
      <c r="S1137">
        <f>ROUND((Source!CA856/100)*ROUND((Source!AF856*Source!AV856)*Source!I856, 2), 2)</f>
        <v>117.44</v>
      </c>
      <c r="T1137">
        <f>Source!Y856</f>
        <v>117.44</v>
      </c>
      <c r="U1137">
        <f>ROUND((175/100)*ROUND((Source!AE856*Source!AV856)*Source!I856, 2), 2)</f>
        <v>231.35</v>
      </c>
      <c r="V1137">
        <f>ROUND((108/100)*ROUND(Source!CS856*Source!I856, 2), 2)</f>
        <v>142.78</v>
      </c>
    </row>
    <row r="1138" spans="1:22" x14ac:dyDescent="0.2">
      <c r="C1138" s="23" t="str">
        <f>"Объем: "&amp;Source!I856&amp;"=1+"&amp;"1+"&amp;"1+"&amp;"1"</f>
        <v>Объем: 4=1+1+1+1</v>
      </c>
    </row>
    <row r="1139" spans="1:22" ht="14.25" x14ac:dyDescent="0.2">
      <c r="A1139" s="19"/>
      <c r="B1139" s="19"/>
      <c r="C1139" s="19" t="s">
        <v>825</v>
      </c>
      <c r="D1139" s="20"/>
      <c r="E1139" s="9"/>
      <c r="F1139" s="22">
        <f>Source!AO856</f>
        <v>293.60000000000002</v>
      </c>
      <c r="G1139" s="21" t="str">
        <f>Source!DG856</f>
        <v/>
      </c>
      <c r="H1139" s="9">
        <f>Source!AV856</f>
        <v>1</v>
      </c>
      <c r="I1139" s="9">
        <f>IF(Source!BA856&lt;&gt; 0, Source!BA856, 1)</f>
        <v>1</v>
      </c>
      <c r="J1139" s="22">
        <f>Source!S856</f>
        <v>1174.4000000000001</v>
      </c>
      <c r="K1139" s="22"/>
    </row>
    <row r="1140" spans="1:22" ht="14.25" x14ac:dyDescent="0.2">
      <c r="A1140" s="19"/>
      <c r="B1140" s="19"/>
      <c r="C1140" s="19" t="s">
        <v>826</v>
      </c>
      <c r="D1140" s="20"/>
      <c r="E1140" s="9"/>
      <c r="F1140" s="22">
        <f>Source!AM856</f>
        <v>52.12</v>
      </c>
      <c r="G1140" s="21" t="str">
        <f>Source!DE856</f>
        <v/>
      </c>
      <c r="H1140" s="9">
        <f>Source!AV856</f>
        <v>1</v>
      </c>
      <c r="I1140" s="9">
        <f>IF(Source!BB856&lt;&gt; 0, Source!BB856, 1)</f>
        <v>1</v>
      </c>
      <c r="J1140" s="22">
        <f>Source!Q856</f>
        <v>208.48</v>
      </c>
      <c r="K1140" s="22"/>
    </row>
    <row r="1141" spans="1:22" ht="14.25" x14ac:dyDescent="0.2">
      <c r="A1141" s="19"/>
      <c r="B1141" s="19"/>
      <c r="C1141" s="19" t="s">
        <v>827</v>
      </c>
      <c r="D1141" s="20"/>
      <c r="E1141" s="9"/>
      <c r="F1141" s="22">
        <f>Source!AN856</f>
        <v>33.049999999999997</v>
      </c>
      <c r="G1141" s="21" t="str">
        <f>Source!DF856</f>
        <v/>
      </c>
      <c r="H1141" s="9">
        <f>Source!AV856</f>
        <v>1</v>
      </c>
      <c r="I1141" s="9">
        <f>IF(Source!BS856&lt;&gt; 0, Source!BS856, 1)</f>
        <v>1</v>
      </c>
      <c r="J1141" s="24">
        <f>Source!R856</f>
        <v>132.19999999999999</v>
      </c>
      <c r="K1141" s="22"/>
    </row>
    <row r="1142" spans="1:22" ht="14.25" x14ac:dyDescent="0.2">
      <c r="A1142" s="19"/>
      <c r="B1142" s="19"/>
      <c r="C1142" s="19" t="s">
        <v>834</v>
      </c>
      <c r="D1142" s="20"/>
      <c r="E1142" s="9"/>
      <c r="F1142" s="22">
        <f>Source!AL856</f>
        <v>0.13</v>
      </c>
      <c r="G1142" s="21" t="str">
        <f>Source!DD856</f>
        <v/>
      </c>
      <c r="H1142" s="9">
        <f>Source!AW856</f>
        <v>1</v>
      </c>
      <c r="I1142" s="9">
        <f>IF(Source!BC856&lt;&gt; 0, Source!BC856, 1)</f>
        <v>1</v>
      </c>
      <c r="J1142" s="22">
        <f>Source!P856</f>
        <v>0.52</v>
      </c>
      <c r="K1142" s="22"/>
    </row>
    <row r="1143" spans="1:22" ht="14.25" x14ac:dyDescent="0.2">
      <c r="A1143" s="19"/>
      <c r="B1143" s="19"/>
      <c r="C1143" s="19" t="s">
        <v>828</v>
      </c>
      <c r="D1143" s="20" t="s">
        <v>829</v>
      </c>
      <c r="E1143" s="9">
        <f>Source!AT856</f>
        <v>70</v>
      </c>
      <c r="F1143" s="22"/>
      <c r="G1143" s="21"/>
      <c r="H1143" s="9"/>
      <c r="I1143" s="9"/>
      <c r="J1143" s="22">
        <f>SUM(R1137:R1142)</f>
        <v>822.08</v>
      </c>
      <c r="K1143" s="22"/>
    </row>
    <row r="1144" spans="1:22" ht="14.25" x14ac:dyDescent="0.2">
      <c r="A1144" s="19"/>
      <c r="B1144" s="19"/>
      <c r="C1144" s="19" t="s">
        <v>830</v>
      </c>
      <c r="D1144" s="20" t="s">
        <v>829</v>
      </c>
      <c r="E1144" s="9">
        <f>Source!AU856</f>
        <v>10</v>
      </c>
      <c r="F1144" s="22"/>
      <c r="G1144" s="21"/>
      <c r="H1144" s="9"/>
      <c r="I1144" s="9"/>
      <c r="J1144" s="22">
        <f>SUM(T1137:T1143)</f>
        <v>117.44</v>
      </c>
      <c r="K1144" s="22"/>
    </row>
    <row r="1145" spans="1:22" ht="14.25" x14ac:dyDescent="0.2">
      <c r="A1145" s="19"/>
      <c r="B1145" s="19"/>
      <c r="C1145" s="19" t="s">
        <v>831</v>
      </c>
      <c r="D1145" s="20" t="s">
        <v>829</v>
      </c>
      <c r="E1145" s="9">
        <f>108</f>
        <v>108</v>
      </c>
      <c r="F1145" s="22"/>
      <c r="G1145" s="21"/>
      <c r="H1145" s="9"/>
      <c r="I1145" s="9"/>
      <c r="J1145" s="22">
        <f>SUM(V1137:V1144)</f>
        <v>142.78</v>
      </c>
      <c r="K1145" s="22"/>
    </row>
    <row r="1146" spans="1:22" ht="14.25" x14ac:dyDescent="0.2">
      <c r="A1146" s="19"/>
      <c r="B1146" s="19"/>
      <c r="C1146" s="19" t="s">
        <v>832</v>
      </c>
      <c r="D1146" s="20" t="s">
        <v>833</v>
      </c>
      <c r="E1146" s="9">
        <f>Source!AQ856</f>
        <v>0.55000000000000004</v>
      </c>
      <c r="F1146" s="22"/>
      <c r="G1146" s="21" t="str">
        <f>Source!DI856</f>
        <v/>
      </c>
      <c r="H1146" s="9">
        <f>Source!AV856</f>
        <v>1</v>
      </c>
      <c r="I1146" s="9"/>
      <c r="J1146" s="22"/>
      <c r="K1146" s="22">
        <f>Source!U856</f>
        <v>2.2000000000000002</v>
      </c>
    </row>
    <row r="1147" spans="1:22" ht="15" x14ac:dyDescent="0.25">
      <c r="A1147" s="27"/>
      <c r="B1147" s="27"/>
      <c r="C1147" s="27"/>
      <c r="D1147" s="27"/>
      <c r="E1147" s="27"/>
      <c r="F1147" s="27"/>
      <c r="G1147" s="27"/>
      <c r="H1147" s="27"/>
      <c r="I1147" s="60">
        <f>J1139+J1140+J1142+J1143+J1144+J1145</f>
        <v>2465.7000000000003</v>
      </c>
      <c r="J1147" s="60"/>
      <c r="K1147" s="28">
        <f>IF(Source!I856&lt;&gt;0, ROUND(I1147/Source!I856, 2), 0)</f>
        <v>616.42999999999995</v>
      </c>
      <c r="P1147" s="25">
        <f>I1147</f>
        <v>2465.7000000000003</v>
      </c>
    </row>
    <row r="1148" spans="1:22" ht="57" x14ac:dyDescent="0.2">
      <c r="A1148" s="19">
        <v>113</v>
      </c>
      <c r="B1148" s="19" t="str">
        <f>Source!F858</f>
        <v>1.21-2103-9-1/1</v>
      </c>
      <c r="C1148" s="19" t="str">
        <f>Source!G858</f>
        <v>Техническое обслуживание силовых сетей, проложенных по кирпичным и бетонным основаниям, провод сечением 2х1,5-6 мм2</v>
      </c>
      <c r="D1148" s="20" t="str">
        <f>Source!H858</f>
        <v>100 м</v>
      </c>
      <c r="E1148" s="9">
        <f>Source!I858</f>
        <v>2.64E-2</v>
      </c>
      <c r="F1148" s="22"/>
      <c r="G1148" s="21"/>
      <c r="H1148" s="9"/>
      <c r="I1148" s="9"/>
      <c r="J1148" s="22"/>
      <c r="K1148" s="22"/>
      <c r="Q1148">
        <f>ROUND((Source!BZ858/100)*ROUND((Source!AF858*Source!AV858)*Source!I858, 2), 2)</f>
        <v>70.63</v>
      </c>
      <c r="R1148">
        <f>Source!X858</f>
        <v>70.63</v>
      </c>
      <c r="S1148">
        <f>ROUND((Source!CA858/100)*ROUND((Source!AF858*Source!AV858)*Source!I858, 2), 2)</f>
        <v>10.09</v>
      </c>
      <c r="T1148">
        <f>Source!Y858</f>
        <v>10.09</v>
      </c>
      <c r="U1148">
        <f>ROUND((175/100)*ROUND((Source!AE858*Source!AV858)*Source!I858, 2), 2)</f>
        <v>0</v>
      </c>
      <c r="V1148">
        <f>ROUND((108/100)*ROUND(Source!CS858*Source!I858, 2), 2)</f>
        <v>0</v>
      </c>
    </row>
    <row r="1149" spans="1:22" x14ac:dyDescent="0.2">
      <c r="C1149" s="23" t="str">
        <f>"Объем: "&amp;Source!I858&amp;"=(33+"&amp;"33+"&amp;"33+"&amp;"33)*"&amp;"0,2*"&amp;"0,1/"&amp;"100"</f>
        <v>Объем: 0,0264=(33+33+33+33)*0,2*0,1/100</v>
      </c>
    </row>
    <row r="1150" spans="1:22" ht="14.25" x14ac:dyDescent="0.2">
      <c r="A1150" s="19"/>
      <c r="B1150" s="19"/>
      <c r="C1150" s="19" t="s">
        <v>825</v>
      </c>
      <c r="D1150" s="20"/>
      <c r="E1150" s="9"/>
      <c r="F1150" s="22">
        <f>Source!AO858</f>
        <v>3822.15</v>
      </c>
      <c r="G1150" s="21" t="str">
        <f>Source!DG858</f>
        <v/>
      </c>
      <c r="H1150" s="9">
        <f>Source!AV858</f>
        <v>1</v>
      </c>
      <c r="I1150" s="9">
        <f>IF(Source!BA858&lt;&gt; 0, Source!BA858, 1)</f>
        <v>1</v>
      </c>
      <c r="J1150" s="22">
        <f>Source!S858</f>
        <v>100.9</v>
      </c>
      <c r="K1150" s="22"/>
    </row>
    <row r="1151" spans="1:22" ht="14.25" x14ac:dyDescent="0.2">
      <c r="A1151" s="19"/>
      <c r="B1151" s="19"/>
      <c r="C1151" s="19" t="s">
        <v>834</v>
      </c>
      <c r="D1151" s="20"/>
      <c r="E1151" s="9"/>
      <c r="F1151" s="22">
        <f>Source!AL858</f>
        <v>22.51</v>
      </c>
      <c r="G1151" s="21" t="str">
        <f>Source!DD858</f>
        <v/>
      </c>
      <c r="H1151" s="9">
        <f>Source!AW858</f>
        <v>1</v>
      </c>
      <c r="I1151" s="9">
        <f>IF(Source!BC858&lt;&gt; 0, Source!BC858, 1)</f>
        <v>1</v>
      </c>
      <c r="J1151" s="22">
        <f>Source!P858</f>
        <v>0.59</v>
      </c>
      <c r="K1151" s="22"/>
    </row>
    <row r="1152" spans="1:22" ht="14.25" x14ac:dyDescent="0.2">
      <c r="A1152" s="19"/>
      <c r="B1152" s="19"/>
      <c r="C1152" s="19" t="s">
        <v>828</v>
      </c>
      <c r="D1152" s="20" t="s">
        <v>829</v>
      </c>
      <c r="E1152" s="9">
        <f>Source!AT858</f>
        <v>70</v>
      </c>
      <c r="F1152" s="22"/>
      <c r="G1152" s="21"/>
      <c r="H1152" s="9"/>
      <c r="I1152" s="9"/>
      <c r="J1152" s="22">
        <f>SUM(R1148:R1151)</f>
        <v>70.63</v>
      </c>
      <c r="K1152" s="22"/>
    </row>
    <row r="1153" spans="1:22" ht="14.25" x14ac:dyDescent="0.2">
      <c r="A1153" s="19"/>
      <c r="B1153" s="19"/>
      <c r="C1153" s="19" t="s">
        <v>830</v>
      </c>
      <c r="D1153" s="20" t="s">
        <v>829</v>
      </c>
      <c r="E1153" s="9">
        <f>Source!AU858</f>
        <v>10</v>
      </c>
      <c r="F1153" s="22"/>
      <c r="G1153" s="21"/>
      <c r="H1153" s="9"/>
      <c r="I1153" s="9"/>
      <c r="J1153" s="22">
        <f>SUM(T1148:T1152)</f>
        <v>10.09</v>
      </c>
      <c r="K1153" s="22"/>
    </row>
    <row r="1154" spans="1:22" ht="14.25" x14ac:dyDescent="0.2">
      <c r="A1154" s="19"/>
      <c r="B1154" s="19"/>
      <c r="C1154" s="19" t="s">
        <v>832</v>
      </c>
      <c r="D1154" s="20" t="s">
        <v>833</v>
      </c>
      <c r="E1154" s="9">
        <f>Source!AQ858</f>
        <v>7.14</v>
      </c>
      <c r="F1154" s="22"/>
      <c r="G1154" s="21" t="str">
        <f>Source!DI858</f>
        <v/>
      </c>
      <c r="H1154" s="9">
        <f>Source!AV858</f>
        <v>1</v>
      </c>
      <c r="I1154" s="9"/>
      <c r="J1154" s="22"/>
      <c r="K1154" s="22">
        <f>Source!U858</f>
        <v>0.188496</v>
      </c>
    </row>
    <row r="1155" spans="1:22" ht="15" x14ac:dyDescent="0.25">
      <c r="A1155" s="27"/>
      <c r="B1155" s="27"/>
      <c r="C1155" s="27"/>
      <c r="D1155" s="27"/>
      <c r="E1155" s="27"/>
      <c r="F1155" s="27"/>
      <c r="G1155" s="27"/>
      <c r="H1155" s="27"/>
      <c r="I1155" s="60">
        <f>J1150+J1151+J1152+J1153</f>
        <v>182.21</v>
      </c>
      <c r="J1155" s="60"/>
      <c r="K1155" s="28">
        <f>IF(Source!I858&lt;&gt;0, ROUND(I1155/Source!I858, 2), 0)</f>
        <v>6901.89</v>
      </c>
      <c r="P1155" s="25">
        <f>I1155</f>
        <v>182.21</v>
      </c>
    </row>
    <row r="1156" spans="1:22" ht="57" x14ac:dyDescent="0.2">
      <c r="A1156" s="19">
        <v>114</v>
      </c>
      <c r="B1156" s="19" t="str">
        <f>Source!F860</f>
        <v>1.21-2103-9-2/1</v>
      </c>
      <c r="C1156" s="19" t="str">
        <f>Source!G860</f>
        <v>Техническое обслуживание силовых сетей, проложенных по кирпичным и бетонным основаниям, провод сечением 3х1,5-6 мм2</v>
      </c>
      <c r="D1156" s="20" t="str">
        <f>Source!H860</f>
        <v>100 м</v>
      </c>
      <c r="E1156" s="9">
        <f>Source!I860</f>
        <v>1.2E-2</v>
      </c>
      <c r="F1156" s="22"/>
      <c r="G1156" s="21"/>
      <c r="H1156" s="9"/>
      <c r="I1156" s="9"/>
      <c r="J1156" s="22"/>
      <c r="K1156" s="22"/>
      <c r="Q1156">
        <f>ROUND((Source!BZ860/100)*ROUND((Source!AF860*Source!AV860)*Source!I860, 2), 2)</f>
        <v>44.97</v>
      </c>
      <c r="R1156">
        <f>Source!X860</f>
        <v>44.97</v>
      </c>
      <c r="S1156">
        <f>ROUND((Source!CA860/100)*ROUND((Source!AF860*Source!AV860)*Source!I860, 2), 2)</f>
        <v>6.42</v>
      </c>
      <c r="T1156">
        <f>Source!Y860</f>
        <v>6.42</v>
      </c>
      <c r="U1156">
        <f>ROUND((175/100)*ROUND((Source!AE860*Source!AV860)*Source!I860, 2), 2)</f>
        <v>0</v>
      </c>
      <c r="V1156">
        <f>ROUND((108/100)*ROUND(Source!CS860*Source!I860, 2), 2)</f>
        <v>0</v>
      </c>
    </row>
    <row r="1157" spans="1:22" x14ac:dyDescent="0.2">
      <c r="C1157" s="23" t="str">
        <f>"Объем: "&amp;Source!I860&amp;"=(15+"&amp;"15+"&amp;"15+"&amp;"15)*"&amp;"0,2*"&amp;"0,1/"&amp;"100"</f>
        <v>Объем: 0,012=(15+15+15+15)*0,2*0,1/100</v>
      </c>
    </row>
    <row r="1158" spans="1:22" ht="14.25" x14ac:dyDescent="0.2">
      <c r="A1158" s="19"/>
      <c r="B1158" s="19"/>
      <c r="C1158" s="19" t="s">
        <v>825</v>
      </c>
      <c r="D1158" s="20"/>
      <c r="E1158" s="9"/>
      <c r="F1158" s="22">
        <f>Source!AO860</f>
        <v>5353.15</v>
      </c>
      <c r="G1158" s="21" t="str">
        <f>Source!DG860</f>
        <v/>
      </c>
      <c r="H1158" s="9">
        <f>Source!AV860</f>
        <v>1</v>
      </c>
      <c r="I1158" s="9">
        <f>IF(Source!BA860&lt;&gt; 0, Source!BA860, 1)</f>
        <v>1</v>
      </c>
      <c r="J1158" s="22">
        <f>Source!S860</f>
        <v>64.239999999999995</v>
      </c>
      <c r="K1158" s="22"/>
    </row>
    <row r="1159" spans="1:22" ht="14.25" x14ac:dyDescent="0.2">
      <c r="A1159" s="19"/>
      <c r="B1159" s="19"/>
      <c r="C1159" s="19" t="s">
        <v>834</v>
      </c>
      <c r="D1159" s="20"/>
      <c r="E1159" s="9"/>
      <c r="F1159" s="22">
        <f>Source!AL860</f>
        <v>22.51</v>
      </c>
      <c r="G1159" s="21" t="str">
        <f>Source!DD860</f>
        <v/>
      </c>
      <c r="H1159" s="9">
        <f>Source!AW860</f>
        <v>1</v>
      </c>
      <c r="I1159" s="9">
        <f>IF(Source!BC860&lt;&gt; 0, Source!BC860, 1)</f>
        <v>1</v>
      </c>
      <c r="J1159" s="22">
        <f>Source!P860</f>
        <v>0.27</v>
      </c>
      <c r="K1159" s="22"/>
    </row>
    <row r="1160" spans="1:22" ht="14.25" x14ac:dyDescent="0.2">
      <c r="A1160" s="19"/>
      <c r="B1160" s="19"/>
      <c r="C1160" s="19" t="s">
        <v>828</v>
      </c>
      <c r="D1160" s="20" t="s">
        <v>829</v>
      </c>
      <c r="E1160" s="9">
        <f>Source!AT860</f>
        <v>70</v>
      </c>
      <c r="F1160" s="22"/>
      <c r="G1160" s="21"/>
      <c r="H1160" s="9"/>
      <c r="I1160" s="9"/>
      <c r="J1160" s="22">
        <f>SUM(R1156:R1159)</f>
        <v>44.97</v>
      </c>
      <c r="K1160" s="22"/>
    </row>
    <row r="1161" spans="1:22" ht="14.25" x14ac:dyDescent="0.2">
      <c r="A1161" s="19"/>
      <c r="B1161" s="19"/>
      <c r="C1161" s="19" t="s">
        <v>830</v>
      </c>
      <c r="D1161" s="20" t="s">
        <v>829</v>
      </c>
      <c r="E1161" s="9">
        <f>Source!AU860</f>
        <v>10</v>
      </c>
      <c r="F1161" s="22"/>
      <c r="G1161" s="21"/>
      <c r="H1161" s="9"/>
      <c r="I1161" s="9"/>
      <c r="J1161" s="22">
        <f>SUM(T1156:T1160)</f>
        <v>6.42</v>
      </c>
      <c r="K1161" s="22"/>
    </row>
    <row r="1162" spans="1:22" ht="14.25" x14ac:dyDescent="0.2">
      <c r="A1162" s="19"/>
      <c r="B1162" s="19"/>
      <c r="C1162" s="19" t="s">
        <v>832</v>
      </c>
      <c r="D1162" s="20" t="s">
        <v>833</v>
      </c>
      <c r="E1162" s="9">
        <f>Source!AQ860</f>
        <v>10</v>
      </c>
      <c r="F1162" s="22"/>
      <c r="G1162" s="21" t="str">
        <f>Source!DI860</f>
        <v/>
      </c>
      <c r="H1162" s="9">
        <f>Source!AV860</f>
        <v>1</v>
      </c>
      <c r="I1162" s="9"/>
      <c r="J1162" s="22"/>
      <c r="K1162" s="22">
        <f>Source!U860</f>
        <v>0.12</v>
      </c>
    </row>
    <row r="1163" spans="1:22" ht="15" x14ac:dyDescent="0.25">
      <c r="A1163" s="27"/>
      <c r="B1163" s="27"/>
      <c r="C1163" s="27"/>
      <c r="D1163" s="27"/>
      <c r="E1163" s="27"/>
      <c r="F1163" s="27"/>
      <c r="G1163" s="27"/>
      <c r="H1163" s="27"/>
      <c r="I1163" s="60">
        <f>J1158+J1159+J1160+J1161</f>
        <v>115.89999999999999</v>
      </c>
      <c r="J1163" s="60"/>
      <c r="K1163" s="28">
        <f>IF(Source!I860&lt;&gt;0, ROUND(I1163/Source!I860, 2), 0)</f>
        <v>9658.33</v>
      </c>
      <c r="P1163" s="25">
        <f>I1163</f>
        <v>115.89999999999999</v>
      </c>
    </row>
    <row r="1164" spans="1:22" ht="57" x14ac:dyDescent="0.2">
      <c r="A1164" s="19">
        <v>115</v>
      </c>
      <c r="B1164" s="19" t="str">
        <f>Source!F862</f>
        <v>1.21-2103-9-3/1</v>
      </c>
      <c r="C1164" s="19" t="str">
        <f>Source!G862</f>
        <v>Техническое обслуживание силовых сетей, проложенных по кирпичным и бетонным основаниям, провод сечением 4х1,5-6 мм2</v>
      </c>
      <c r="D1164" s="20" t="str">
        <f>Source!H862</f>
        <v>100 м</v>
      </c>
      <c r="E1164" s="9">
        <f>Source!I862</f>
        <v>2.9600000000000001E-2</v>
      </c>
      <c r="F1164" s="22"/>
      <c r="G1164" s="21"/>
      <c r="H1164" s="9"/>
      <c r="I1164" s="9"/>
      <c r="J1164" s="22"/>
      <c r="K1164" s="22"/>
      <c r="Q1164">
        <f>ROUND((Source!BZ862/100)*ROUND((Source!AF862*Source!AV862)*Source!I862, 2), 2)</f>
        <v>124.45</v>
      </c>
      <c r="R1164">
        <f>Source!X862</f>
        <v>124.45</v>
      </c>
      <c r="S1164">
        <f>ROUND((Source!CA862/100)*ROUND((Source!AF862*Source!AV862)*Source!I862, 2), 2)</f>
        <v>17.78</v>
      </c>
      <c r="T1164">
        <f>Source!Y862</f>
        <v>17.78</v>
      </c>
      <c r="U1164">
        <f>ROUND((175/100)*ROUND((Source!AE862*Source!AV862)*Source!I862, 2), 2)</f>
        <v>0</v>
      </c>
      <c r="V1164">
        <f>ROUND((108/100)*ROUND(Source!CS862*Source!I862, 2), 2)</f>
        <v>0</v>
      </c>
    </row>
    <row r="1165" spans="1:22" ht="25.5" x14ac:dyDescent="0.2">
      <c r="C1165" s="23" t="str">
        <f>"Объем: "&amp;Source!I862&amp;"=(33+"&amp;"4+"&amp;"33+"&amp;"4+"&amp;"33+"&amp;"4+"&amp;"33+"&amp;"4)*"&amp;"0,2*"&amp;"0,1/"&amp;"100"</f>
        <v>Объем: 0,0296=(33+4+33+4+33+4+33+4)*0,2*0,1/100</v>
      </c>
    </row>
    <row r="1166" spans="1:22" ht="14.25" x14ac:dyDescent="0.2">
      <c r="A1166" s="19"/>
      <c r="B1166" s="19"/>
      <c r="C1166" s="19" t="s">
        <v>825</v>
      </c>
      <c r="D1166" s="20"/>
      <c r="E1166" s="9"/>
      <c r="F1166" s="22">
        <f>Source!AO862</f>
        <v>6006.24</v>
      </c>
      <c r="G1166" s="21" t="str">
        <f>Source!DG862</f>
        <v/>
      </c>
      <c r="H1166" s="9">
        <f>Source!AV862</f>
        <v>1</v>
      </c>
      <c r="I1166" s="9">
        <f>IF(Source!BA862&lt;&gt; 0, Source!BA862, 1)</f>
        <v>1</v>
      </c>
      <c r="J1166" s="22">
        <f>Source!S862</f>
        <v>177.78</v>
      </c>
      <c r="K1166" s="22"/>
    </row>
    <row r="1167" spans="1:22" ht="14.25" x14ac:dyDescent="0.2">
      <c r="A1167" s="19"/>
      <c r="B1167" s="19"/>
      <c r="C1167" s="19" t="s">
        <v>834</v>
      </c>
      <c r="D1167" s="20"/>
      <c r="E1167" s="9"/>
      <c r="F1167" s="22">
        <f>Source!AL862</f>
        <v>14.63</v>
      </c>
      <c r="G1167" s="21" t="str">
        <f>Source!DD862</f>
        <v/>
      </c>
      <c r="H1167" s="9">
        <f>Source!AW862</f>
        <v>1</v>
      </c>
      <c r="I1167" s="9">
        <f>IF(Source!BC862&lt;&gt; 0, Source!BC862, 1)</f>
        <v>1</v>
      </c>
      <c r="J1167" s="22">
        <f>Source!P862</f>
        <v>0.43</v>
      </c>
      <c r="K1167" s="22"/>
    </row>
    <row r="1168" spans="1:22" ht="14.25" x14ac:dyDescent="0.2">
      <c r="A1168" s="19"/>
      <c r="B1168" s="19"/>
      <c r="C1168" s="19" t="s">
        <v>828</v>
      </c>
      <c r="D1168" s="20" t="s">
        <v>829</v>
      </c>
      <c r="E1168" s="9">
        <f>Source!AT862</f>
        <v>70</v>
      </c>
      <c r="F1168" s="22"/>
      <c r="G1168" s="21"/>
      <c r="H1168" s="9"/>
      <c r="I1168" s="9"/>
      <c r="J1168" s="22">
        <f>SUM(R1164:R1167)</f>
        <v>124.45</v>
      </c>
      <c r="K1168" s="22"/>
    </row>
    <row r="1169" spans="1:22" ht="14.25" x14ac:dyDescent="0.2">
      <c r="A1169" s="19"/>
      <c r="B1169" s="19"/>
      <c r="C1169" s="19" t="s">
        <v>830</v>
      </c>
      <c r="D1169" s="20" t="s">
        <v>829</v>
      </c>
      <c r="E1169" s="9">
        <f>Source!AU862</f>
        <v>10</v>
      </c>
      <c r="F1169" s="22"/>
      <c r="G1169" s="21"/>
      <c r="H1169" s="9"/>
      <c r="I1169" s="9"/>
      <c r="J1169" s="22">
        <f>SUM(T1164:T1168)</f>
        <v>17.78</v>
      </c>
      <c r="K1169" s="22"/>
    </row>
    <row r="1170" spans="1:22" ht="14.25" x14ac:dyDescent="0.2">
      <c r="A1170" s="19"/>
      <c r="B1170" s="19"/>
      <c r="C1170" s="19" t="s">
        <v>832</v>
      </c>
      <c r="D1170" s="20" t="s">
        <v>833</v>
      </c>
      <c r="E1170" s="9">
        <f>Source!AQ862</f>
        <v>11.22</v>
      </c>
      <c r="F1170" s="22"/>
      <c r="G1170" s="21" t="str">
        <f>Source!DI862</f>
        <v/>
      </c>
      <c r="H1170" s="9">
        <f>Source!AV862</f>
        <v>1</v>
      </c>
      <c r="I1170" s="9"/>
      <c r="J1170" s="22"/>
      <c r="K1170" s="22">
        <f>Source!U862</f>
        <v>0.33211200000000002</v>
      </c>
    </row>
    <row r="1171" spans="1:22" ht="15" x14ac:dyDescent="0.25">
      <c r="A1171" s="27"/>
      <c r="B1171" s="27"/>
      <c r="C1171" s="27"/>
      <c r="D1171" s="27"/>
      <c r="E1171" s="27"/>
      <c r="F1171" s="27"/>
      <c r="G1171" s="27"/>
      <c r="H1171" s="27"/>
      <c r="I1171" s="60">
        <f>J1166+J1167+J1168+J1169</f>
        <v>320.44000000000005</v>
      </c>
      <c r="J1171" s="60"/>
      <c r="K1171" s="28">
        <f>IF(Source!I862&lt;&gt;0, ROUND(I1171/Source!I862, 2), 0)</f>
        <v>10825.68</v>
      </c>
      <c r="P1171" s="25">
        <f>I1171</f>
        <v>320.44000000000005</v>
      </c>
    </row>
    <row r="1172" spans="1:22" ht="28.5" x14ac:dyDescent="0.2">
      <c r="A1172" s="19">
        <v>116</v>
      </c>
      <c r="B1172" s="19" t="str">
        <f>Source!F864</f>
        <v>1.21-2103-3-1/1</v>
      </c>
      <c r="C1172" s="19" t="str">
        <f>Source!G864</f>
        <v>Техническое обслуживание сетей заземления магистральных,</v>
      </c>
      <c r="D1172" s="20" t="str">
        <f>Source!H864</f>
        <v>100 м</v>
      </c>
      <c r="E1172" s="9">
        <f>Source!I864</f>
        <v>0.184</v>
      </c>
      <c r="F1172" s="22"/>
      <c r="G1172" s="21"/>
      <c r="H1172" s="9"/>
      <c r="I1172" s="9"/>
      <c r="J1172" s="22"/>
      <c r="K1172" s="22"/>
      <c r="Q1172">
        <f>ROUND((Source!BZ864/100)*ROUND((Source!AF864*Source!AV864)*Source!I864, 2), 2)</f>
        <v>765.33</v>
      </c>
      <c r="R1172">
        <f>Source!X864</f>
        <v>765.33</v>
      </c>
      <c r="S1172">
        <f>ROUND((Source!CA864/100)*ROUND((Source!AF864*Source!AV864)*Source!I864, 2), 2)</f>
        <v>109.33</v>
      </c>
      <c r="T1172">
        <f>Source!Y864</f>
        <v>109.33</v>
      </c>
      <c r="U1172">
        <f>ROUND((175/100)*ROUND((Source!AE864*Source!AV864)*Source!I864, 2), 2)</f>
        <v>0</v>
      </c>
      <c r="V1172">
        <f>ROUND((108/100)*ROUND(Source!CS864*Source!I864, 2), 2)</f>
        <v>0</v>
      </c>
    </row>
    <row r="1173" spans="1:22" ht="25.5" x14ac:dyDescent="0.2">
      <c r="C1173" s="23" t="str">
        <f>"Объем: "&amp;Source!I864&amp;"=(41+"&amp;"5+"&amp;"41+"&amp;"5+"&amp;"41+"&amp;"5+"&amp;"41+"&amp;"5)*"&amp;"0,1/"&amp;"100"</f>
        <v>Объем: 0,184=(41+5+41+5+41+5+41+5)*0,1/100</v>
      </c>
    </row>
    <row r="1174" spans="1:22" ht="14.25" x14ac:dyDescent="0.2">
      <c r="A1174" s="19"/>
      <c r="B1174" s="19"/>
      <c r="C1174" s="19" t="s">
        <v>825</v>
      </c>
      <c r="D1174" s="20"/>
      <c r="E1174" s="9"/>
      <c r="F1174" s="22">
        <f>Source!AO864</f>
        <v>5942</v>
      </c>
      <c r="G1174" s="21" t="str">
        <f>Source!DG864</f>
        <v/>
      </c>
      <c r="H1174" s="9">
        <f>Source!AV864</f>
        <v>1</v>
      </c>
      <c r="I1174" s="9">
        <f>IF(Source!BA864&lt;&gt; 0, Source!BA864, 1)</f>
        <v>1</v>
      </c>
      <c r="J1174" s="22">
        <f>Source!S864</f>
        <v>1093.33</v>
      </c>
      <c r="K1174" s="22"/>
    </row>
    <row r="1175" spans="1:22" ht="14.25" x14ac:dyDescent="0.2">
      <c r="A1175" s="19"/>
      <c r="B1175" s="19"/>
      <c r="C1175" s="19" t="s">
        <v>834</v>
      </c>
      <c r="D1175" s="20"/>
      <c r="E1175" s="9"/>
      <c r="F1175" s="22">
        <f>Source!AL864</f>
        <v>22.51</v>
      </c>
      <c r="G1175" s="21" t="str">
        <f>Source!DD864</f>
        <v/>
      </c>
      <c r="H1175" s="9">
        <f>Source!AW864</f>
        <v>1</v>
      </c>
      <c r="I1175" s="9">
        <f>IF(Source!BC864&lt;&gt; 0, Source!BC864, 1)</f>
        <v>1</v>
      </c>
      <c r="J1175" s="22">
        <f>Source!P864</f>
        <v>4.1399999999999997</v>
      </c>
      <c r="K1175" s="22"/>
    </row>
    <row r="1176" spans="1:22" ht="14.25" x14ac:dyDescent="0.2">
      <c r="A1176" s="19"/>
      <c r="B1176" s="19"/>
      <c r="C1176" s="19" t="s">
        <v>828</v>
      </c>
      <c r="D1176" s="20" t="s">
        <v>829</v>
      </c>
      <c r="E1176" s="9">
        <f>Source!AT864</f>
        <v>70</v>
      </c>
      <c r="F1176" s="22"/>
      <c r="G1176" s="21"/>
      <c r="H1176" s="9"/>
      <c r="I1176" s="9"/>
      <c r="J1176" s="22">
        <f>SUM(R1172:R1175)</f>
        <v>765.33</v>
      </c>
      <c r="K1176" s="22"/>
    </row>
    <row r="1177" spans="1:22" ht="14.25" x14ac:dyDescent="0.2">
      <c r="A1177" s="19"/>
      <c r="B1177" s="19"/>
      <c r="C1177" s="19" t="s">
        <v>830</v>
      </c>
      <c r="D1177" s="20" t="s">
        <v>829</v>
      </c>
      <c r="E1177" s="9">
        <f>Source!AU864</f>
        <v>10</v>
      </c>
      <c r="F1177" s="22"/>
      <c r="G1177" s="21"/>
      <c r="H1177" s="9"/>
      <c r="I1177" s="9"/>
      <c r="J1177" s="22">
        <f>SUM(T1172:T1176)</f>
        <v>109.33</v>
      </c>
      <c r="K1177" s="22"/>
    </row>
    <row r="1178" spans="1:22" ht="14.25" x14ac:dyDescent="0.2">
      <c r="A1178" s="19"/>
      <c r="B1178" s="19"/>
      <c r="C1178" s="19" t="s">
        <v>832</v>
      </c>
      <c r="D1178" s="20" t="s">
        <v>833</v>
      </c>
      <c r="E1178" s="9">
        <f>Source!AQ864</f>
        <v>11.1</v>
      </c>
      <c r="F1178" s="22"/>
      <c r="G1178" s="21" t="str">
        <f>Source!DI864</f>
        <v/>
      </c>
      <c r="H1178" s="9">
        <f>Source!AV864</f>
        <v>1</v>
      </c>
      <c r="I1178" s="9"/>
      <c r="J1178" s="22"/>
      <c r="K1178" s="22">
        <f>Source!U864</f>
        <v>2.0423999999999998</v>
      </c>
    </row>
    <row r="1179" spans="1:22" ht="15" x14ac:dyDescent="0.25">
      <c r="A1179" s="27"/>
      <c r="B1179" s="27"/>
      <c r="C1179" s="27"/>
      <c r="D1179" s="27"/>
      <c r="E1179" s="27"/>
      <c r="F1179" s="27"/>
      <c r="G1179" s="27"/>
      <c r="H1179" s="27"/>
      <c r="I1179" s="60">
        <f>J1174+J1175+J1176+J1177</f>
        <v>1972.13</v>
      </c>
      <c r="J1179" s="60"/>
      <c r="K1179" s="28">
        <f>IF(Source!I864&lt;&gt;0, ROUND(I1179/Source!I864, 2), 0)</f>
        <v>10718.1</v>
      </c>
      <c r="P1179" s="25">
        <f>I1179</f>
        <v>1972.13</v>
      </c>
    </row>
    <row r="1181" spans="1:22" ht="15" x14ac:dyDescent="0.25">
      <c r="A1181" s="59" t="str">
        <f>CONCATENATE("Итого по подразделу: ",IF(Source!G867&lt;&gt;"Новый подраздел", Source!G867, ""))</f>
        <v>Итого по подразделу: Электроснабжение ИТП</v>
      </c>
      <c r="B1181" s="59"/>
      <c r="C1181" s="59"/>
      <c r="D1181" s="59"/>
      <c r="E1181" s="59"/>
      <c r="F1181" s="59"/>
      <c r="G1181" s="59"/>
      <c r="H1181" s="59"/>
      <c r="I1181" s="57">
        <f>SUM(P1110:P1180)</f>
        <v>89629.219999999987</v>
      </c>
      <c r="J1181" s="58"/>
      <c r="K1181" s="18"/>
    </row>
    <row r="1184" spans="1:22" ht="15" x14ac:dyDescent="0.25">
      <c r="A1184" s="59" t="str">
        <f>CONCATENATE("Итого по разделу: ",IF(Source!G897&lt;&gt;"Новый раздел", Source!G897, ""))</f>
        <v>Итого по разделу: Раздел: 4. Системы электроснабжения</v>
      </c>
      <c r="B1184" s="59"/>
      <c r="C1184" s="59"/>
      <c r="D1184" s="59"/>
      <c r="E1184" s="59"/>
      <c r="F1184" s="59"/>
      <c r="G1184" s="59"/>
      <c r="H1184" s="59"/>
      <c r="I1184" s="57">
        <f>SUM(P762:P1183)</f>
        <v>1093888.6799999997</v>
      </c>
      <c r="J1184" s="58"/>
      <c r="K1184" s="18"/>
    </row>
    <row r="1187" spans="1:11" ht="15" hidden="1" x14ac:dyDescent="0.25">
      <c r="A1187" s="59" t="str">
        <f>CONCATENATE("Итого по локальной смете: ",IF(Source!G927&lt;&gt;"Новая локальная смета", Source!G927, ""))</f>
        <v xml:space="preserve">Итого по локальной смете: </v>
      </c>
      <c r="B1187" s="59"/>
      <c r="C1187" s="59"/>
      <c r="D1187" s="59"/>
      <c r="E1187" s="59"/>
      <c r="F1187" s="59"/>
      <c r="G1187" s="59"/>
      <c r="H1187" s="59"/>
      <c r="I1187" s="57">
        <f>SUM(P32:P1186)</f>
        <v>2641814.9299999997</v>
      </c>
      <c r="J1187" s="58"/>
      <c r="K1187" s="18"/>
    </row>
    <row r="1190" spans="1:11" ht="15" x14ac:dyDescent="0.25">
      <c r="A1190" s="59" t="s">
        <v>885</v>
      </c>
      <c r="B1190" s="59"/>
      <c r="C1190" s="59"/>
      <c r="D1190" s="59"/>
      <c r="E1190" s="59"/>
      <c r="F1190" s="59"/>
      <c r="G1190" s="59"/>
      <c r="H1190" s="59"/>
      <c r="I1190" s="57">
        <f>SUM(P1:P1189)</f>
        <v>2641814.9299999997</v>
      </c>
      <c r="J1190" s="58"/>
      <c r="K1190" s="18"/>
    </row>
    <row r="1191" spans="1:11" ht="15" x14ac:dyDescent="0.25">
      <c r="A1191" s="29"/>
      <c r="B1191" s="29"/>
      <c r="C1191" s="29" t="s">
        <v>639</v>
      </c>
      <c r="D1191" s="29"/>
      <c r="E1191" s="29"/>
      <c r="F1191" s="29"/>
      <c r="G1191" s="29"/>
      <c r="H1191" s="29"/>
      <c r="I1191" s="26"/>
      <c r="J1191" s="26">
        <f>I1190</f>
        <v>2641814.9299999997</v>
      </c>
      <c r="K1191" s="18"/>
    </row>
    <row r="1192" spans="1:11" ht="15" x14ac:dyDescent="0.25">
      <c r="A1192" s="29"/>
      <c r="B1192" s="29"/>
      <c r="C1192" s="29" t="s">
        <v>887</v>
      </c>
      <c r="D1192" s="29"/>
      <c r="E1192" s="29"/>
      <c r="F1192" s="29"/>
      <c r="G1192" s="29"/>
      <c r="H1192" s="29"/>
      <c r="I1192" s="26"/>
      <c r="J1192" s="41">
        <f>J1191*0.22</f>
        <v>581199.2845999999</v>
      </c>
      <c r="K1192" s="18"/>
    </row>
    <row r="1193" spans="1:11" ht="15" x14ac:dyDescent="0.25">
      <c r="A1193" s="29"/>
      <c r="B1193" s="29"/>
      <c r="C1193" s="29" t="s">
        <v>98</v>
      </c>
      <c r="D1193" s="29"/>
      <c r="E1193" s="29"/>
      <c r="F1193" s="29"/>
      <c r="G1193" s="29"/>
      <c r="H1193" s="29"/>
      <c r="I1193" s="26"/>
      <c r="J1193" s="41">
        <f>J1192+J1191</f>
        <v>3223014.2145999996</v>
      </c>
      <c r="K1193" s="18"/>
    </row>
    <row r="1196" spans="1:11" ht="14.25" x14ac:dyDescent="0.2">
      <c r="A1196" s="61" t="s">
        <v>850</v>
      </c>
      <c r="B1196" s="61"/>
      <c r="C1196" s="32" t="str">
        <f>IF(Source!AC12&lt;&gt;"", Source!AC12," ")</f>
        <v xml:space="preserve"> </v>
      </c>
      <c r="D1196" s="32"/>
      <c r="E1196" s="32"/>
      <c r="F1196" s="32"/>
      <c r="G1196" s="32"/>
      <c r="H1196" s="10" t="str">
        <f>IF(Source!AB12&lt;&gt;"", Source!AB12," ")</f>
        <v xml:space="preserve"> </v>
      </c>
      <c r="I1196" s="10"/>
      <c r="J1196" s="10"/>
      <c r="K1196" s="10"/>
    </row>
    <row r="1197" spans="1:11" ht="14.25" x14ac:dyDescent="0.2">
      <c r="A1197" s="10"/>
      <c r="B1197" s="10"/>
      <c r="C1197" s="62" t="s">
        <v>851</v>
      </c>
      <c r="D1197" s="62"/>
      <c r="E1197" s="62"/>
      <c r="F1197" s="62"/>
      <c r="G1197" s="62"/>
      <c r="H1197" s="10"/>
      <c r="I1197" s="10"/>
      <c r="J1197" s="10"/>
      <c r="K1197" s="10"/>
    </row>
    <row r="1198" spans="1:11" ht="14.25" x14ac:dyDescent="0.2">
      <c r="A1198" s="10"/>
      <c r="B1198" s="10"/>
      <c r="C1198" s="10"/>
      <c r="D1198" s="10"/>
      <c r="E1198" s="10"/>
      <c r="F1198" s="10"/>
      <c r="G1198" s="10"/>
      <c r="H1198" s="10"/>
      <c r="I1198" s="10"/>
      <c r="J1198" s="10"/>
      <c r="K1198" s="10"/>
    </row>
    <row r="1199" spans="1:11" ht="14.25" x14ac:dyDescent="0.2">
      <c r="A1199" s="61" t="s">
        <v>852</v>
      </c>
      <c r="B1199" s="61"/>
      <c r="C1199" s="32" t="str">
        <f>IF(Source!AE12&lt;&gt;"", Source!AE12," ")</f>
        <v xml:space="preserve"> </v>
      </c>
      <c r="D1199" s="32"/>
      <c r="E1199" s="32"/>
      <c r="F1199" s="32"/>
      <c r="G1199" s="32"/>
      <c r="H1199" s="10" t="str">
        <f>IF(Source!AD12&lt;&gt;"", Source!AD12," ")</f>
        <v xml:space="preserve"> </v>
      </c>
      <c r="I1199" s="10"/>
      <c r="J1199" s="10"/>
      <c r="K1199" s="10"/>
    </row>
    <row r="1200" spans="1:11" ht="14.25" x14ac:dyDescent="0.2">
      <c r="A1200" s="10"/>
      <c r="B1200" s="10"/>
      <c r="C1200" s="62" t="s">
        <v>851</v>
      </c>
      <c r="D1200" s="62"/>
      <c r="E1200" s="62"/>
      <c r="F1200" s="62"/>
      <c r="G1200" s="62"/>
      <c r="H1200" s="10"/>
      <c r="I1200" s="10"/>
      <c r="J1200" s="10"/>
      <c r="K1200" s="10"/>
    </row>
  </sheetData>
  <mergeCells count="247">
    <mergeCell ref="I1190:J1190"/>
    <mergeCell ref="A1190:H1190"/>
    <mergeCell ref="A1196:B1196"/>
    <mergeCell ref="C1197:G1197"/>
    <mergeCell ref="A1199:B1199"/>
    <mergeCell ref="C1200:G1200"/>
    <mergeCell ref="I1179:J1179"/>
    <mergeCell ref="I1181:J1181"/>
    <mergeCell ref="A1181:H1181"/>
    <mergeCell ref="I1184:J1184"/>
    <mergeCell ref="A1184:H1184"/>
    <mergeCell ref="I1187:J1187"/>
    <mergeCell ref="A1187:H1187"/>
    <mergeCell ref="I1128:J1128"/>
    <mergeCell ref="I1136:J1136"/>
    <mergeCell ref="I1147:J1147"/>
    <mergeCell ref="I1155:J1155"/>
    <mergeCell ref="I1163:J1163"/>
    <mergeCell ref="I1171:J1171"/>
    <mergeCell ref="I1105:J1105"/>
    <mergeCell ref="I1107:J1107"/>
    <mergeCell ref="A1107:H1107"/>
    <mergeCell ref="A1110:K1110"/>
    <mergeCell ref="B1112:J1112"/>
    <mergeCell ref="I1120:J1120"/>
    <mergeCell ref="I1058:J1058"/>
    <mergeCell ref="I1066:J1066"/>
    <mergeCell ref="I1073:J1073"/>
    <mergeCell ref="I1081:J1081"/>
    <mergeCell ref="I1089:J1089"/>
    <mergeCell ref="I1097:J1097"/>
    <mergeCell ref="B1035:J1035"/>
    <mergeCell ref="I1043:J1043"/>
    <mergeCell ref="I1045:J1045"/>
    <mergeCell ref="A1045:H1045"/>
    <mergeCell ref="A1048:K1048"/>
    <mergeCell ref="B1050:J1050"/>
    <mergeCell ref="I1012:J1012"/>
    <mergeCell ref="I1020:J1020"/>
    <mergeCell ref="I1028:J1028"/>
    <mergeCell ref="I1030:J1030"/>
    <mergeCell ref="A1030:H1030"/>
    <mergeCell ref="A1033:K1033"/>
    <mergeCell ref="I990:J990"/>
    <mergeCell ref="I992:J992"/>
    <mergeCell ref="A992:H992"/>
    <mergeCell ref="A995:K995"/>
    <mergeCell ref="B997:J997"/>
    <mergeCell ref="I1004:J1004"/>
    <mergeCell ref="I943:J943"/>
    <mergeCell ref="I951:J951"/>
    <mergeCell ref="I959:J959"/>
    <mergeCell ref="I967:J967"/>
    <mergeCell ref="I975:J975"/>
    <mergeCell ref="I983:J983"/>
    <mergeCell ref="A906:H906"/>
    <mergeCell ref="A909:K909"/>
    <mergeCell ref="B911:J911"/>
    <mergeCell ref="I919:J919"/>
    <mergeCell ref="I927:J927"/>
    <mergeCell ref="I935:J935"/>
    <mergeCell ref="I873:J873"/>
    <mergeCell ref="I881:J881"/>
    <mergeCell ref="I889:J889"/>
    <mergeCell ref="I897:J897"/>
    <mergeCell ref="I904:J904"/>
    <mergeCell ref="I906:J906"/>
    <mergeCell ref="I831:J831"/>
    <mergeCell ref="I839:J839"/>
    <mergeCell ref="B841:J841"/>
    <mergeCell ref="I849:J849"/>
    <mergeCell ref="I857:J857"/>
    <mergeCell ref="I865:J865"/>
    <mergeCell ref="B792:J792"/>
    <mergeCell ref="I799:J799"/>
    <mergeCell ref="I806:J806"/>
    <mergeCell ref="I813:J813"/>
    <mergeCell ref="I821:J821"/>
    <mergeCell ref="B823:J823"/>
    <mergeCell ref="A762:K762"/>
    <mergeCell ref="A764:K764"/>
    <mergeCell ref="B766:J766"/>
    <mergeCell ref="I774:J774"/>
    <mergeCell ref="I782:J782"/>
    <mergeCell ref="I790:J790"/>
    <mergeCell ref="I733:J733"/>
    <mergeCell ref="I743:J743"/>
    <mergeCell ref="I754:J754"/>
    <mergeCell ref="I756:J756"/>
    <mergeCell ref="A756:H756"/>
    <mergeCell ref="I759:J759"/>
    <mergeCell ref="A759:H759"/>
    <mergeCell ref="A687:K687"/>
    <mergeCell ref="B689:J689"/>
    <mergeCell ref="I700:J700"/>
    <mergeCell ref="I711:J711"/>
    <mergeCell ref="B713:J713"/>
    <mergeCell ref="I723:J723"/>
    <mergeCell ref="B655:J655"/>
    <mergeCell ref="I665:J665"/>
    <mergeCell ref="I672:J672"/>
    <mergeCell ref="I682:J682"/>
    <mergeCell ref="I684:J684"/>
    <mergeCell ref="A684:H684"/>
    <mergeCell ref="B611:J611"/>
    <mergeCell ref="I622:J622"/>
    <mergeCell ref="I630:J630"/>
    <mergeCell ref="I638:J638"/>
    <mergeCell ref="I646:J646"/>
    <mergeCell ref="I653:J653"/>
    <mergeCell ref="I601:J601"/>
    <mergeCell ref="A601:H601"/>
    <mergeCell ref="I604:J604"/>
    <mergeCell ref="A604:H604"/>
    <mergeCell ref="A607:K607"/>
    <mergeCell ref="A609:K609"/>
    <mergeCell ref="I578:J578"/>
    <mergeCell ref="I585:J585"/>
    <mergeCell ref="I593:J593"/>
    <mergeCell ref="B595:J595"/>
    <mergeCell ref="B597:J597"/>
    <mergeCell ref="B599:J599"/>
    <mergeCell ref="I517:J517"/>
    <mergeCell ref="I528:J528"/>
    <mergeCell ref="I537:J537"/>
    <mergeCell ref="I548:J548"/>
    <mergeCell ref="I559:J559"/>
    <mergeCell ref="I570:J570"/>
    <mergeCell ref="I468:J468"/>
    <mergeCell ref="I475:J475"/>
    <mergeCell ref="I483:J483"/>
    <mergeCell ref="B485:J485"/>
    <mergeCell ref="I496:J496"/>
    <mergeCell ref="I506:J506"/>
    <mergeCell ref="B404:J404"/>
    <mergeCell ref="I415:J415"/>
    <mergeCell ref="I426:J426"/>
    <mergeCell ref="I437:J437"/>
    <mergeCell ref="I448:J448"/>
    <mergeCell ref="I459:J459"/>
    <mergeCell ref="I381:J381"/>
    <mergeCell ref="I389:J389"/>
    <mergeCell ref="I397:J397"/>
    <mergeCell ref="I399:J399"/>
    <mergeCell ref="A399:H399"/>
    <mergeCell ref="A402:K402"/>
    <mergeCell ref="I353:J353"/>
    <mergeCell ref="A353:H353"/>
    <mergeCell ref="A356:K356"/>
    <mergeCell ref="B358:J358"/>
    <mergeCell ref="I366:J366"/>
    <mergeCell ref="I373:J373"/>
    <mergeCell ref="I335:J335"/>
    <mergeCell ref="I343:J343"/>
    <mergeCell ref="B345:J345"/>
    <mergeCell ref="B347:J347"/>
    <mergeCell ref="B349:J349"/>
    <mergeCell ref="B351:J351"/>
    <mergeCell ref="I283:J283"/>
    <mergeCell ref="I293:J293"/>
    <mergeCell ref="I300:J300"/>
    <mergeCell ref="I307:J307"/>
    <mergeCell ref="I315:J315"/>
    <mergeCell ref="I325:J325"/>
    <mergeCell ref="I235:J235"/>
    <mergeCell ref="I242:J242"/>
    <mergeCell ref="I252:J252"/>
    <mergeCell ref="I260:J260"/>
    <mergeCell ref="I267:J267"/>
    <mergeCell ref="I274:J274"/>
    <mergeCell ref="A201:K201"/>
    <mergeCell ref="A203:K203"/>
    <mergeCell ref="B205:J205"/>
    <mergeCell ref="B207:J207"/>
    <mergeCell ref="I217:J217"/>
    <mergeCell ref="I225:J225"/>
    <mergeCell ref="B191:J191"/>
    <mergeCell ref="B193:J193"/>
    <mergeCell ref="I195:J195"/>
    <mergeCell ref="A195:H195"/>
    <mergeCell ref="I198:J198"/>
    <mergeCell ref="A198:H198"/>
    <mergeCell ref="I169:J169"/>
    <mergeCell ref="I176:J176"/>
    <mergeCell ref="I184:J184"/>
    <mergeCell ref="I186:J186"/>
    <mergeCell ref="A186:H186"/>
    <mergeCell ref="A189:K189"/>
    <mergeCell ref="I121:J121"/>
    <mergeCell ref="I128:J128"/>
    <mergeCell ref="I136:J136"/>
    <mergeCell ref="B138:J138"/>
    <mergeCell ref="I149:J149"/>
    <mergeCell ref="I160:J160"/>
    <mergeCell ref="I84:J84"/>
    <mergeCell ref="A84:H84"/>
    <mergeCell ref="A87:K87"/>
    <mergeCell ref="B89:J89"/>
    <mergeCell ref="I100:J100"/>
    <mergeCell ref="I111:J111"/>
    <mergeCell ref="I48:J48"/>
    <mergeCell ref="I55:J55"/>
    <mergeCell ref="I63:J63"/>
    <mergeCell ref="B65:J65"/>
    <mergeCell ref="I72:J72"/>
    <mergeCell ref="I82:J82"/>
    <mergeCell ref="I27:I29"/>
    <mergeCell ref="J27:J29"/>
    <mergeCell ref="A32:K32"/>
    <mergeCell ref="A34:K34"/>
    <mergeCell ref="A36:K36"/>
    <mergeCell ref="B38:J38"/>
    <mergeCell ref="F25:H25"/>
    <mergeCell ref="I25:J25"/>
    <mergeCell ref="A27:A29"/>
    <mergeCell ref="B27:B29"/>
    <mergeCell ref="C27:C29"/>
    <mergeCell ref="D27:D29"/>
    <mergeCell ref="E27:E29"/>
    <mergeCell ref="F27:F29"/>
    <mergeCell ref="G27:G29"/>
    <mergeCell ref="H27:H29"/>
    <mergeCell ref="F22:H22"/>
    <mergeCell ref="I22:J22"/>
    <mergeCell ref="F23:H23"/>
    <mergeCell ref="I23:J23"/>
    <mergeCell ref="F24:H24"/>
    <mergeCell ref="I24:J24"/>
    <mergeCell ref="A15:K15"/>
    <mergeCell ref="A16:K16"/>
    <mergeCell ref="A18:K18"/>
    <mergeCell ref="F20:H20"/>
    <mergeCell ref="I20:J20"/>
    <mergeCell ref="F21:H21"/>
    <mergeCell ref="I21:J21"/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</mergeCells>
  <pageMargins left="0.4" right="0.2" top="0.2" bottom="0.4" header="0.2" footer="0.2"/>
  <pageSetup paperSize="9" scale="59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1196"/>
  <sheetViews>
    <sheetView view="pageBreakPreview" zoomScale="96" zoomScaleNormal="100" zoomScaleSheetLayoutView="96" workbookViewId="0">
      <selection activeCell="E1198" sqref="E1198"/>
    </sheetView>
  </sheetViews>
  <sheetFormatPr defaultRowHeight="12.75" x14ac:dyDescent="0.2"/>
  <cols>
    <col min="1" max="2" width="5.7109375" customWidth="1"/>
    <col min="3" max="3" width="19.140625" customWidth="1"/>
    <col min="4" max="4" width="40.7109375" customWidth="1"/>
    <col min="5" max="5" width="11.7109375" customWidth="1"/>
    <col min="6" max="6" width="15" customWidth="1"/>
    <col min="7" max="7" width="11.7109375" customWidth="1"/>
    <col min="8" max="12" width="12.7109375" customWidth="1"/>
    <col min="15" max="28" width="0" hidden="1" customWidth="1"/>
    <col min="29" max="29" width="135.7109375" hidden="1" customWidth="1"/>
    <col min="30" max="36" width="0" hidden="1" customWidth="1"/>
  </cols>
  <sheetData>
    <row r="1" spans="1:12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2" ht="15" x14ac:dyDescent="0.25">
      <c r="A2" s="10"/>
      <c r="B2" s="10"/>
      <c r="C2" s="18"/>
      <c r="D2" s="18"/>
      <c r="E2" s="18"/>
      <c r="F2" s="10"/>
      <c r="G2" s="10"/>
      <c r="H2" s="10"/>
      <c r="I2" s="63" t="s">
        <v>853</v>
      </c>
      <c r="J2" s="63"/>
      <c r="K2" s="63"/>
      <c r="L2" s="63"/>
    </row>
    <row r="3" spans="1:12" ht="14.25" x14ac:dyDescent="0.2">
      <c r="A3" s="10"/>
      <c r="B3" s="10"/>
      <c r="C3" s="10"/>
      <c r="D3" s="10"/>
      <c r="E3" s="10"/>
      <c r="F3" s="10"/>
      <c r="G3" s="10"/>
      <c r="H3" s="10"/>
      <c r="I3" s="63" t="s">
        <v>854</v>
      </c>
      <c r="J3" s="63"/>
      <c r="K3" s="63"/>
      <c r="L3" s="63"/>
    </row>
    <row r="4" spans="1:12" ht="14.25" x14ac:dyDescent="0.2">
      <c r="A4" s="10"/>
      <c r="B4" s="10"/>
      <c r="C4" s="10"/>
      <c r="D4" s="10"/>
      <c r="E4" s="10"/>
      <c r="F4" s="10"/>
      <c r="G4" s="10"/>
      <c r="H4" s="10"/>
      <c r="I4" s="63" t="s">
        <v>855</v>
      </c>
      <c r="J4" s="63"/>
      <c r="K4" s="63"/>
      <c r="L4" s="63"/>
    </row>
    <row r="5" spans="1:12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4.25" x14ac:dyDescent="0.2">
      <c r="A6" s="10"/>
      <c r="B6" s="10"/>
      <c r="C6" s="10"/>
      <c r="D6" s="10"/>
      <c r="E6" s="10"/>
      <c r="F6" s="10"/>
      <c r="G6" s="10"/>
      <c r="H6" s="10"/>
      <c r="I6" s="10"/>
      <c r="J6" s="64" t="s">
        <v>856</v>
      </c>
      <c r="K6" s="64"/>
      <c r="L6" s="64"/>
    </row>
    <row r="7" spans="1:12" ht="14.25" x14ac:dyDescent="0.2">
      <c r="A7" s="10"/>
      <c r="B7" s="10"/>
      <c r="C7" s="10"/>
      <c r="D7" s="10"/>
      <c r="E7" s="10"/>
      <c r="F7" s="10"/>
      <c r="G7" s="10"/>
      <c r="H7" s="10"/>
      <c r="I7" s="9" t="s">
        <v>857</v>
      </c>
      <c r="J7" s="65" t="s">
        <v>858</v>
      </c>
      <c r="K7" s="65"/>
      <c r="L7" s="65"/>
    </row>
    <row r="8" spans="1:12" ht="14.25" x14ac:dyDescent="0.2">
      <c r="A8" s="10"/>
      <c r="B8" s="10"/>
      <c r="C8" s="10"/>
      <c r="D8" s="10"/>
      <c r="E8" s="10"/>
      <c r="F8" s="10"/>
      <c r="G8" s="10"/>
      <c r="H8" s="10"/>
      <c r="I8" s="10"/>
      <c r="J8" s="64" t="str">
        <f>IF(Source!AT15 &lt;&gt; "", Source!AT15, "")</f>
        <v/>
      </c>
      <c r="K8" s="64"/>
      <c r="L8" s="64"/>
    </row>
    <row r="9" spans="1:12" ht="14.25" x14ac:dyDescent="0.2">
      <c r="A9" s="10" t="s">
        <v>859</v>
      </c>
      <c r="B9" s="10"/>
      <c r="C9" s="66" t="str">
        <f>IF(Source!BA15 &lt;&gt; "", Source!BA15, IF(Source!AU15 &lt;&gt; "", Source!AU15, ""))</f>
        <v/>
      </c>
      <c r="D9" s="66"/>
      <c r="E9" s="66"/>
      <c r="F9" s="66"/>
      <c r="G9" s="66"/>
      <c r="H9" s="66"/>
      <c r="I9" s="9" t="s">
        <v>860</v>
      </c>
      <c r="J9" s="64"/>
      <c r="K9" s="64"/>
      <c r="L9" s="64"/>
    </row>
    <row r="10" spans="1:12" ht="14.25" x14ac:dyDescent="0.2">
      <c r="A10" s="10"/>
      <c r="B10" s="10"/>
      <c r="C10" s="62" t="s">
        <v>861</v>
      </c>
      <c r="D10" s="62"/>
      <c r="E10" s="62"/>
      <c r="F10" s="62"/>
      <c r="G10" s="62"/>
      <c r="H10" s="62"/>
      <c r="I10" s="10"/>
      <c r="J10" s="64" t="str">
        <f>IF(Source!AK15 &lt;&gt; "", Source!AK15, "")</f>
        <v/>
      </c>
      <c r="K10" s="64"/>
      <c r="L10" s="64"/>
    </row>
    <row r="11" spans="1:12" ht="14.25" x14ac:dyDescent="0.2">
      <c r="A11" s="10" t="s">
        <v>862</v>
      </c>
      <c r="B11" s="10"/>
      <c r="C11" s="66" t="str">
        <f>IF(Source!AX12&lt;&gt; "", Source!AX12, IF(Source!AJ12 &lt;&gt; "", Source!AJ12, ""))</f>
        <v/>
      </c>
      <c r="D11" s="66"/>
      <c r="E11" s="66"/>
      <c r="F11" s="66"/>
      <c r="G11" s="66"/>
      <c r="H11" s="66"/>
      <c r="I11" s="9" t="s">
        <v>860</v>
      </c>
      <c r="J11" s="64"/>
      <c r="K11" s="64"/>
      <c r="L11" s="64"/>
    </row>
    <row r="12" spans="1:12" ht="14.25" x14ac:dyDescent="0.2">
      <c r="A12" s="10"/>
      <c r="B12" s="10"/>
      <c r="C12" s="62" t="s">
        <v>861</v>
      </c>
      <c r="D12" s="62"/>
      <c r="E12" s="62"/>
      <c r="F12" s="62"/>
      <c r="G12" s="62"/>
      <c r="H12" s="62"/>
      <c r="I12" s="10"/>
      <c r="J12" s="64" t="str">
        <f>IF(Source!AO15 &lt;&gt; "", Source!AO15, "")</f>
        <v/>
      </c>
      <c r="K12" s="64"/>
      <c r="L12" s="64"/>
    </row>
    <row r="13" spans="1:12" ht="14.25" x14ac:dyDescent="0.2">
      <c r="A13" s="10" t="s">
        <v>863</v>
      </c>
      <c r="B13" s="10"/>
      <c r="C13" s="66" t="str">
        <f>IF(Source!AY12&lt;&gt; "", Source!AY12, IF(Source!AN12 &lt;&gt; "", Source!AN12, ""))</f>
        <v/>
      </c>
      <c r="D13" s="66"/>
      <c r="E13" s="66"/>
      <c r="F13" s="66"/>
      <c r="G13" s="66"/>
      <c r="H13" s="66"/>
      <c r="I13" s="9" t="s">
        <v>860</v>
      </c>
      <c r="J13" s="64"/>
      <c r="K13" s="64"/>
      <c r="L13" s="64"/>
    </row>
    <row r="14" spans="1:12" ht="14.25" x14ac:dyDescent="0.2">
      <c r="A14" s="10"/>
      <c r="B14" s="10"/>
      <c r="C14" s="62" t="s">
        <v>861</v>
      </c>
      <c r="D14" s="62"/>
      <c r="E14" s="62"/>
      <c r="F14" s="62"/>
      <c r="G14" s="62"/>
      <c r="H14" s="62"/>
      <c r="I14" s="10"/>
      <c r="J14" s="64" t="str">
        <f>IF(Source!CO15 &lt;&gt; "", Source!CO15, "")</f>
        <v/>
      </c>
      <c r="K14" s="64"/>
      <c r="L14" s="64"/>
    </row>
    <row r="15" spans="1:12" ht="14.25" x14ac:dyDescent="0.2">
      <c r="A15" s="10" t="s">
        <v>864</v>
      </c>
      <c r="B15" s="10"/>
      <c r="C15" s="66" t="s">
        <v>5</v>
      </c>
      <c r="D15" s="66"/>
      <c r="E15" s="66"/>
      <c r="F15" s="66"/>
      <c r="G15" s="66"/>
      <c r="H15" s="66"/>
      <c r="I15" s="10"/>
      <c r="J15" s="64"/>
      <c r="K15" s="64"/>
      <c r="L15" s="64"/>
    </row>
    <row r="16" spans="1:12" ht="14.25" x14ac:dyDescent="0.2">
      <c r="A16" s="10"/>
      <c r="B16" s="10"/>
      <c r="C16" s="62" t="s">
        <v>865</v>
      </c>
      <c r="D16" s="62"/>
      <c r="E16" s="62"/>
      <c r="F16" s="62"/>
      <c r="G16" s="62"/>
      <c r="H16" s="62"/>
      <c r="I16" s="10"/>
      <c r="J16" s="64" t="str">
        <f>IF(Source!CP15 &lt;&gt; "", Source!CP15, "")</f>
        <v/>
      </c>
      <c r="K16" s="64"/>
      <c r="L16" s="64"/>
    </row>
    <row r="17" spans="1:12" ht="14.25" x14ac:dyDescent="0.2">
      <c r="A17" s="10" t="s">
        <v>866</v>
      </c>
      <c r="B17" s="10"/>
      <c r="C17" s="42" t="str">
        <f>IF(Source!G12&lt;&gt;"Новый объект", Source!G12, "")</f>
        <v>СН_7.2_на 4 мес. (10%) испр.</v>
      </c>
      <c r="D17" s="42"/>
      <c r="E17" s="42"/>
      <c r="F17" s="42"/>
      <c r="G17" s="42"/>
      <c r="H17" s="42"/>
      <c r="I17" s="10"/>
      <c r="J17" s="64"/>
      <c r="K17" s="64"/>
      <c r="L17" s="64"/>
    </row>
    <row r="18" spans="1:12" ht="14.25" x14ac:dyDescent="0.2">
      <c r="A18" s="10"/>
      <c r="B18" s="10"/>
      <c r="C18" s="62" t="s">
        <v>867</v>
      </c>
      <c r="D18" s="62"/>
      <c r="E18" s="62"/>
      <c r="F18" s="62"/>
      <c r="G18" s="62"/>
      <c r="H18" s="62"/>
      <c r="I18" s="10"/>
      <c r="J18" s="10"/>
      <c r="K18" s="10"/>
      <c r="L18" s="10"/>
    </row>
    <row r="19" spans="1:12" ht="14.25" x14ac:dyDescent="0.2">
      <c r="A19" s="10"/>
      <c r="B19" s="10"/>
      <c r="C19" s="10"/>
      <c r="D19" s="10"/>
      <c r="E19" s="10"/>
      <c r="F19" s="10"/>
      <c r="G19" s="43" t="s">
        <v>868</v>
      </c>
      <c r="H19" s="43"/>
      <c r="I19" s="43"/>
      <c r="J19" s="64" t="str">
        <f>IF(Source!CQ15 &lt;&gt; "", Source!CQ15, "")</f>
        <v/>
      </c>
      <c r="K19" s="64"/>
      <c r="L19" s="64"/>
    </row>
    <row r="20" spans="1:12" ht="14.25" x14ac:dyDescent="0.2">
      <c r="A20" s="10"/>
      <c r="B20" s="10"/>
      <c r="C20" s="10"/>
      <c r="D20" s="10"/>
      <c r="E20" s="10"/>
      <c r="F20" s="10"/>
      <c r="G20" s="43" t="s">
        <v>869</v>
      </c>
      <c r="H20" s="73"/>
      <c r="I20" s="33" t="s">
        <v>870</v>
      </c>
      <c r="J20" s="64" t="str">
        <f>IF(Source!CR15 &lt;&gt; "", Source!CR15, "")</f>
        <v/>
      </c>
      <c r="K20" s="64"/>
      <c r="L20" s="64"/>
    </row>
    <row r="21" spans="1:12" ht="14.25" x14ac:dyDescent="0.2">
      <c r="A21" s="10"/>
      <c r="B21" s="10"/>
      <c r="C21" s="10"/>
      <c r="D21" s="10"/>
      <c r="E21" s="10"/>
      <c r="F21" s="10"/>
      <c r="G21" s="10"/>
      <c r="H21" s="10"/>
      <c r="I21" s="34" t="s">
        <v>871</v>
      </c>
      <c r="J21" s="74" t="str">
        <f>IF(Source!CS15 &lt;&gt; 0, Source!CS15, "")</f>
        <v/>
      </c>
      <c r="K21" s="74"/>
      <c r="L21" s="74"/>
    </row>
    <row r="22" spans="1:12" ht="14.25" x14ac:dyDescent="0.2">
      <c r="A22" s="10"/>
      <c r="B22" s="10"/>
      <c r="C22" s="10"/>
      <c r="D22" s="10"/>
      <c r="E22" s="10"/>
      <c r="F22" s="10"/>
      <c r="G22" s="10"/>
      <c r="H22" s="10"/>
      <c r="I22" s="9" t="s">
        <v>872</v>
      </c>
      <c r="J22" s="64" t="str">
        <f>IF(Source!CT15 &lt;&gt; "", Source!CT15, "")</f>
        <v/>
      </c>
      <c r="K22" s="64"/>
      <c r="L22" s="64"/>
    </row>
    <row r="23" spans="1:12" ht="14.2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4.25" x14ac:dyDescent="0.2">
      <c r="A24" s="10"/>
      <c r="B24" s="10"/>
      <c r="C24" s="10"/>
      <c r="D24" s="10"/>
      <c r="E24" s="10"/>
      <c r="F24" s="10"/>
      <c r="G24" s="67" t="s">
        <v>873</v>
      </c>
      <c r="H24" s="69" t="s">
        <v>874</v>
      </c>
      <c r="I24" s="69" t="s">
        <v>875</v>
      </c>
      <c r="J24" s="71"/>
      <c r="K24" s="10"/>
      <c r="L24" s="10"/>
    </row>
    <row r="25" spans="1:12" ht="14.25" x14ac:dyDescent="0.2">
      <c r="A25" s="10"/>
      <c r="B25" s="10"/>
      <c r="C25" s="10"/>
      <c r="D25" s="10"/>
      <c r="E25" s="10"/>
      <c r="F25" s="10"/>
      <c r="G25" s="68"/>
      <c r="H25" s="70"/>
      <c r="I25" s="35" t="s">
        <v>876</v>
      </c>
      <c r="J25" s="36" t="s">
        <v>877</v>
      </c>
      <c r="K25" s="10"/>
      <c r="L25" s="10"/>
    </row>
    <row r="26" spans="1:12" ht="14.25" x14ac:dyDescent="0.2">
      <c r="A26" s="10"/>
      <c r="B26" s="10"/>
      <c r="C26" s="10"/>
      <c r="D26" s="10"/>
      <c r="E26" s="10"/>
      <c r="F26" s="10"/>
      <c r="G26" s="34" t="str">
        <f>IF(Source!CN15 &lt;&gt; "", Source!CN15, "")</f>
        <v/>
      </c>
      <c r="H26" s="37" t="str">
        <f>IF(Source!CX15 &lt;&gt; 0, Source!CX15, "")</f>
        <v/>
      </c>
      <c r="I26" s="38" t="str">
        <f>IF(Source!CV15 &lt;&gt; 0, Source!CV15, "")</f>
        <v/>
      </c>
      <c r="J26" s="38" t="str">
        <f>IF(Source!CW15 &lt;&gt; 0, Source!CW15, "")</f>
        <v/>
      </c>
      <c r="K26" s="10"/>
      <c r="L26" s="10"/>
    </row>
    <row r="27" spans="1:12" ht="14.2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8" x14ac:dyDescent="0.25">
      <c r="A28" s="72" t="s">
        <v>878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</row>
    <row r="29" spans="1:12" ht="18" x14ac:dyDescent="0.25">
      <c r="A29" s="72" t="s">
        <v>879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</row>
    <row r="30" spans="1:12" ht="14.2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" x14ac:dyDescent="0.25">
      <c r="A31" s="10" t="s">
        <v>880</v>
      </c>
      <c r="B31" s="10"/>
      <c r="C31" s="10"/>
      <c r="D31" s="10"/>
      <c r="E31" s="10"/>
      <c r="F31" s="10"/>
      <c r="G31" s="10"/>
      <c r="H31" s="75">
        <f>J1196/1000</f>
        <v>2641.8149299999995</v>
      </c>
      <c r="I31" s="75"/>
      <c r="J31" s="10" t="s">
        <v>881</v>
      </c>
      <c r="K31" s="10"/>
      <c r="L31" s="10"/>
    </row>
    <row r="32" spans="1:12" ht="14.25" x14ac:dyDescent="0.2">
      <c r="A32" s="10" t="s">
        <v>824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22" ht="14.25" x14ac:dyDescent="0.2">
      <c r="A33" s="76" t="s">
        <v>882</v>
      </c>
      <c r="B33" s="76"/>
      <c r="C33" s="53" t="s">
        <v>812</v>
      </c>
      <c r="D33" s="53" t="s">
        <v>813</v>
      </c>
      <c r="E33" s="53" t="s">
        <v>814</v>
      </c>
      <c r="F33" s="53" t="s">
        <v>815</v>
      </c>
      <c r="G33" s="53" t="s">
        <v>816</v>
      </c>
      <c r="H33" s="53" t="s">
        <v>817</v>
      </c>
      <c r="I33" s="53" t="s">
        <v>818</v>
      </c>
      <c r="J33" s="53" t="s">
        <v>819</v>
      </c>
      <c r="K33" s="53" t="s">
        <v>820</v>
      </c>
      <c r="L33" s="39" t="s">
        <v>821</v>
      </c>
    </row>
    <row r="34" spans="1:22" ht="28.5" x14ac:dyDescent="0.2">
      <c r="A34" s="77" t="s">
        <v>883</v>
      </c>
      <c r="B34" s="77" t="s">
        <v>884</v>
      </c>
      <c r="C34" s="54"/>
      <c r="D34" s="54"/>
      <c r="E34" s="54"/>
      <c r="F34" s="54"/>
      <c r="G34" s="54"/>
      <c r="H34" s="54"/>
      <c r="I34" s="54"/>
      <c r="J34" s="54"/>
      <c r="K34" s="54"/>
      <c r="L34" s="40" t="s">
        <v>822</v>
      </c>
    </row>
    <row r="35" spans="1:22" ht="28.5" x14ac:dyDescent="0.2">
      <c r="A35" s="77"/>
      <c r="B35" s="77"/>
      <c r="C35" s="54"/>
      <c r="D35" s="54"/>
      <c r="E35" s="54"/>
      <c r="F35" s="54"/>
      <c r="G35" s="54"/>
      <c r="H35" s="54"/>
      <c r="I35" s="54"/>
      <c r="J35" s="54"/>
      <c r="K35" s="54"/>
      <c r="L35" s="40" t="s">
        <v>823</v>
      </c>
    </row>
    <row r="36" spans="1:22" ht="14.25" x14ac:dyDescent="0.2">
      <c r="A36" s="17">
        <v>1</v>
      </c>
      <c r="B36" s="17">
        <v>2</v>
      </c>
      <c r="C36" s="17">
        <v>3</v>
      </c>
      <c r="D36" s="17">
        <v>4</v>
      </c>
      <c r="E36" s="17">
        <v>5</v>
      </c>
      <c r="F36" s="17">
        <v>6</v>
      </c>
      <c r="G36" s="17">
        <v>7</v>
      </c>
      <c r="H36" s="17">
        <v>8</v>
      </c>
      <c r="I36" s="17">
        <v>9</v>
      </c>
      <c r="J36" s="17">
        <v>10</v>
      </c>
      <c r="K36" s="17">
        <v>11</v>
      </c>
      <c r="L36" s="17">
        <v>12</v>
      </c>
    </row>
    <row r="37" spans="1:22" hidden="1" x14ac:dyDescent="0.2"/>
    <row r="38" spans="1:22" ht="16.5" hidden="1" x14ac:dyDescent="0.25">
      <c r="A38" s="55" t="str">
        <f>CONCATENATE("Локальная смета: ",IF(Source!G20&lt;&gt;"Новая локальная смета", Source!G20, ""))</f>
        <v xml:space="preserve">Локальная смета: 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</row>
    <row r="40" spans="1:22" ht="16.5" x14ac:dyDescent="0.25">
      <c r="A40" s="55" t="str">
        <f>CONCATENATE("Раздел: ",IF(Source!G24&lt;&gt;"Новый раздел", Source!G24, ""))</f>
        <v>Раздел: 1.Водоснабжение и водоотведение</v>
      </c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</row>
    <row r="42" spans="1:22" ht="16.5" x14ac:dyDescent="0.25">
      <c r="A42" s="55" t="str">
        <f>CONCATENATE("Подраздел: ",IF(Source!G28&lt;&gt;"Новый подраздел", Source!G28, ""))</f>
        <v>Подраздел: Водопровод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</row>
    <row r="44" spans="1:22" ht="15" x14ac:dyDescent="0.25">
      <c r="C44" s="56" t="str">
        <f>Source!G32</f>
        <v>Корпуса 7.2.1, 7.2.2,7.2.3</v>
      </c>
      <c r="D44" s="56"/>
      <c r="E44" s="56"/>
      <c r="F44" s="56"/>
      <c r="G44" s="56"/>
      <c r="H44" s="56"/>
      <c r="I44" s="56"/>
      <c r="J44" s="56"/>
      <c r="K44" s="56"/>
    </row>
    <row r="45" spans="1:22" ht="57" x14ac:dyDescent="0.2">
      <c r="A45" s="19">
        <v>1</v>
      </c>
      <c r="B45" s="19">
        <v>1</v>
      </c>
      <c r="C45" s="19" t="str">
        <f>Source!F35</f>
        <v>1.23-2103-41-1/1</v>
      </c>
      <c r="D45" s="19" t="str">
        <f>Source!G35</f>
        <v>Техническое обслуживание регулирующего клапана/ Комплект угловых кранов 1/2 для подключения гибкой подводки смесителя</v>
      </c>
      <c r="E45" s="20" t="str">
        <f>Source!H35</f>
        <v>шт.</v>
      </c>
      <c r="F45" s="9">
        <f>Source!I35</f>
        <v>144</v>
      </c>
      <c r="G45" s="22"/>
      <c r="H45" s="21"/>
      <c r="I45" s="9"/>
      <c r="J45" s="9"/>
      <c r="K45" s="22"/>
      <c r="L45" s="22"/>
      <c r="Q45">
        <f>ROUND((Source!BZ35/100)*ROUND((Source!AF35*Source!AV35)*Source!I35, 2), 2)</f>
        <v>20966.400000000001</v>
      </c>
      <c r="R45">
        <f>Source!X35</f>
        <v>20966.400000000001</v>
      </c>
      <c r="S45">
        <f>ROUND((Source!CA35/100)*ROUND((Source!AF35*Source!AV35)*Source!I35, 2), 2)</f>
        <v>2995.2</v>
      </c>
      <c r="T45">
        <f>Source!Y35</f>
        <v>2995.2</v>
      </c>
      <c r="U45">
        <f>ROUND((175/100)*ROUND((Source!AE35*Source!AV35)*Source!I35, 2), 2)</f>
        <v>12491.64</v>
      </c>
      <c r="V45">
        <f>ROUND((108/100)*ROUND(Source!CS35*Source!I35, 2), 2)</f>
        <v>7709.13</v>
      </c>
    </row>
    <row r="46" spans="1:22" x14ac:dyDescent="0.2">
      <c r="D46" s="23" t="str">
        <f>"Объем: "&amp;Source!I35&amp;"=(24*"&amp;"2)*"&amp;"3"</f>
        <v>Объем: 144=(24*2)*3</v>
      </c>
    </row>
    <row r="47" spans="1:22" ht="14.25" x14ac:dyDescent="0.2">
      <c r="A47" s="19"/>
      <c r="B47" s="19"/>
      <c r="C47" s="19"/>
      <c r="D47" s="19" t="s">
        <v>825</v>
      </c>
      <c r="E47" s="20"/>
      <c r="F47" s="9"/>
      <c r="G47" s="22">
        <f>Source!AO35</f>
        <v>208</v>
      </c>
      <c r="H47" s="21" t="str">
        <f>Source!DG35</f>
        <v/>
      </c>
      <c r="I47" s="9">
        <f>Source!AV35</f>
        <v>1</v>
      </c>
      <c r="J47" s="9">
        <f>IF(Source!BA35&lt;&gt; 0, Source!BA35, 1)</f>
        <v>1</v>
      </c>
      <c r="K47" s="22">
        <f>Source!S35</f>
        <v>29952</v>
      </c>
      <c r="L47" s="22"/>
    </row>
    <row r="48" spans="1:22" ht="14.25" x14ac:dyDescent="0.2">
      <c r="A48" s="19"/>
      <c r="B48" s="19"/>
      <c r="C48" s="19"/>
      <c r="D48" s="19" t="s">
        <v>826</v>
      </c>
      <c r="E48" s="20"/>
      <c r="F48" s="9"/>
      <c r="G48" s="22">
        <f>Source!AM35</f>
        <v>78.180000000000007</v>
      </c>
      <c r="H48" s="21" t="str">
        <f>Source!DE35</f>
        <v/>
      </c>
      <c r="I48" s="9">
        <f>Source!AV35</f>
        <v>1</v>
      </c>
      <c r="J48" s="9">
        <f>IF(Source!BB35&lt;&gt; 0, Source!BB35, 1)</f>
        <v>1</v>
      </c>
      <c r="K48" s="22">
        <f>Source!Q35</f>
        <v>11257.92</v>
      </c>
      <c r="L48" s="22"/>
    </row>
    <row r="49" spans="1:22" ht="14.25" x14ac:dyDescent="0.2">
      <c r="A49" s="19"/>
      <c r="B49" s="19"/>
      <c r="C49" s="19"/>
      <c r="D49" s="19" t="s">
        <v>827</v>
      </c>
      <c r="E49" s="20"/>
      <c r="F49" s="9"/>
      <c r="G49" s="22">
        <f>Source!AN35</f>
        <v>49.57</v>
      </c>
      <c r="H49" s="21" t="str">
        <f>Source!DF35</f>
        <v/>
      </c>
      <c r="I49" s="9">
        <f>Source!AV35</f>
        <v>1</v>
      </c>
      <c r="J49" s="9">
        <f>IF(Source!BS35&lt;&gt; 0, Source!BS35, 1)</f>
        <v>1</v>
      </c>
      <c r="K49" s="24">
        <f>Source!R35</f>
        <v>7138.08</v>
      </c>
      <c r="L49" s="22"/>
    </row>
    <row r="50" spans="1:22" ht="14.25" x14ac:dyDescent="0.2">
      <c r="A50" s="19"/>
      <c r="B50" s="19"/>
      <c r="C50" s="19"/>
      <c r="D50" s="19" t="s">
        <v>828</v>
      </c>
      <c r="E50" s="20" t="s">
        <v>829</v>
      </c>
      <c r="F50" s="9">
        <f>Source!AT35</f>
        <v>70</v>
      </c>
      <c r="G50" s="22"/>
      <c r="H50" s="21"/>
      <c r="I50" s="9"/>
      <c r="J50" s="9"/>
      <c r="K50" s="22">
        <f>SUM(R45:R49)</f>
        <v>20966.400000000001</v>
      </c>
      <c r="L50" s="22"/>
    </row>
    <row r="51" spans="1:22" ht="14.25" x14ac:dyDescent="0.2">
      <c r="A51" s="19"/>
      <c r="B51" s="19"/>
      <c r="C51" s="19"/>
      <c r="D51" s="19" t="s">
        <v>830</v>
      </c>
      <c r="E51" s="20" t="s">
        <v>829</v>
      </c>
      <c r="F51" s="9">
        <f>Source!AU35</f>
        <v>10</v>
      </c>
      <c r="G51" s="22"/>
      <c r="H51" s="21"/>
      <c r="I51" s="9"/>
      <c r="J51" s="9"/>
      <c r="K51" s="22">
        <f>SUM(T45:T50)</f>
        <v>2995.2</v>
      </c>
      <c r="L51" s="22"/>
    </row>
    <row r="52" spans="1:22" ht="14.25" x14ac:dyDescent="0.2">
      <c r="A52" s="19"/>
      <c r="B52" s="19"/>
      <c r="C52" s="19"/>
      <c r="D52" s="19" t="s">
        <v>831</v>
      </c>
      <c r="E52" s="20" t="s">
        <v>829</v>
      </c>
      <c r="F52" s="9">
        <f>108</f>
        <v>108</v>
      </c>
      <c r="G52" s="22"/>
      <c r="H52" s="21"/>
      <c r="I52" s="9"/>
      <c r="J52" s="9"/>
      <c r="K52" s="22">
        <f>SUM(V45:V51)</f>
        <v>7709.13</v>
      </c>
      <c r="L52" s="22"/>
    </row>
    <row r="53" spans="1:22" ht="14.25" x14ac:dyDescent="0.2">
      <c r="A53" s="19"/>
      <c r="B53" s="19"/>
      <c r="C53" s="19"/>
      <c r="D53" s="19" t="s">
        <v>832</v>
      </c>
      <c r="E53" s="20" t="s">
        <v>833</v>
      </c>
      <c r="F53" s="9">
        <f>Source!AQ35</f>
        <v>0.37</v>
      </c>
      <c r="G53" s="22"/>
      <c r="H53" s="21" t="str">
        <f>Source!DI35</f>
        <v/>
      </c>
      <c r="I53" s="9">
        <f>Source!AV35</f>
        <v>1</v>
      </c>
      <c r="J53" s="9"/>
      <c r="K53" s="22"/>
      <c r="L53" s="22">
        <f>Source!U35</f>
        <v>53.28</v>
      </c>
    </row>
    <row r="54" spans="1:22" ht="15" x14ac:dyDescent="0.25">
      <c r="A54" s="27"/>
      <c r="B54" s="27"/>
      <c r="C54" s="27"/>
      <c r="D54" s="27"/>
      <c r="E54" s="27"/>
      <c r="F54" s="27"/>
      <c r="G54" s="27"/>
      <c r="H54" s="27"/>
      <c r="I54" s="27"/>
      <c r="J54" s="60">
        <f>K47+K48+K50+K51+K52</f>
        <v>72880.649999999994</v>
      </c>
      <c r="K54" s="60"/>
      <c r="L54" s="28">
        <f>IF(Source!I35&lt;&gt;0, ROUND(J54/Source!I35, 2), 0)</f>
        <v>506.12</v>
      </c>
      <c r="P54" s="25">
        <f>J54</f>
        <v>72880.649999999994</v>
      </c>
    </row>
    <row r="55" spans="1:22" ht="42.75" x14ac:dyDescent="0.2">
      <c r="A55" s="19">
        <v>2</v>
      </c>
      <c r="B55" s="19">
        <v>2</v>
      </c>
      <c r="C55" s="19" t="str">
        <f>Source!F36</f>
        <v>1.15-2203-7-1/1</v>
      </c>
      <c r="D55" s="19" t="str">
        <f>Source!G36</f>
        <v>Техническое обслуживание крана шарового латунного никелированного диаметром до 25 мм</v>
      </c>
      <c r="E55" s="20" t="str">
        <f>Source!H36</f>
        <v>10 шт.</v>
      </c>
      <c r="F55" s="9">
        <f>Source!I36</f>
        <v>60</v>
      </c>
      <c r="G55" s="22"/>
      <c r="H55" s="21"/>
      <c r="I55" s="9"/>
      <c r="J55" s="9"/>
      <c r="K55" s="22"/>
      <c r="L55" s="22"/>
      <c r="Q55">
        <f>ROUND((Source!BZ36/100)*ROUND((Source!AF36*Source!AV36)*Source!I36, 2), 2)</f>
        <v>11670.54</v>
      </c>
      <c r="R55">
        <f>Source!X36</f>
        <v>11670.54</v>
      </c>
      <c r="S55">
        <f>ROUND((Source!CA36/100)*ROUND((Source!AF36*Source!AV36)*Source!I36, 2), 2)</f>
        <v>1667.22</v>
      </c>
      <c r="T55">
        <f>Source!Y36</f>
        <v>1667.22</v>
      </c>
      <c r="U55">
        <f>ROUND((175/100)*ROUND((Source!AE36*Source!AV36)*Source!I36, 2), 2)</f>
        <v>0</v>
      </c>
      <c r="V55">
        <f>ROUND((108/100)*ROUND(Source!CS36*Source!I36, 2), 2)</f>
        <v>0</v>
      </c>
    </row>
    <row r="56" spans="1:22" x14ac:dyDescent="0.2">
      <c r="D56" s="23" t="str">
        <f>"Объем: "&amp;Source!I36&amp;"=(75+"&amp;"125)*"&amp;"3/"&amp;"10"</f>
        <v>Объем: 60=(75+125)*3/10</v>
      </c>
    </row>
    <row r="57" spans="1:22" ht="14.25" x14ac:dyDescent="0.2">
      <c r="A57" s="19"/>
      <c r="B57" s="19"/>
      <c r="C57" s="19"/>
      <c r="D57" s="19" t="s">
        <v>825</v>
      </c>
      <c r="E57" s="20"/>
      <c r="F57" s="9"/>
      <c r="G57" s="22">
        <f>Source!AO36</f>
        <v>277.87</v>
      </c>
      <c r="H57" s="21" t="str">
        <f>Source!DG36</f>
        <v/>
      </c>
      <c r="I57" s="9">
        <f>Source!AV36</f>
        <v>1</v>
      </c>
      <c r="J57" s="9">
        <f>IF(Source!BA36&lt;&gt; 0, Source!BA36, 1)</f>
        <v>1</v>
      </c>
      <c r="K57" s="22">
        <f>Source!S36</f>
        <v>16672.2</v>
      </c>
      <c r="L57" s="22"/>
    </row>
    <row r="58" spans="1:22" ht="14.25" x14ac:dyDescent="0.2">
      <c r="A58" s="19"/>
      <c r="B58" s="19"/>
      <c r="C58" s="19"/>
      <c r="D58" s="19" t="s">
        <v>828</v>
      </c>
      <c r="E58" s="20" t="s">
        <v>829</v>
      </c>
      <c r="F58" s="9">
        <f>Source!AT36</f>
        <v>70</v>
      </c>
      <c r="G58" s="22"/>
      <c r="H58" s="21"/>
      <c r="I58" s="9"/>
      <c r="J58" s="9"/>
      <c r="K58" s="22">
        <f>SUM(R55:R57)</f>
        <v>11670.54</v>
      </c>
      <c r="L58" s="22"/>
    </row>
    <row r="59" spans="1:22" ht="14.25" x14ac:dyDescent="0.2">
      <c r="A59" s="19"/>
      <c r="B59" s="19"/>
      <c r="C59" s="19"/>
      <c r="D59" s="19" t="s">
        <v>830</v>
      </c>
      <c r="E59" s="20" t="s">
        <v>829</v>
      </c>
      <c r="F59" s="9">
        <f>Source!AU36</f>
        <v>10</v>
      </c>
      <c r="G59" s="22"/>
      <c r="H59" s="21"/>
      <c r="I59" s="9"/>
      <c r="J59" s="9"/>
      <c r="K59" s="22">
        <f>SUM(T55:T58)</f>
        <v>1667.22</v>
      </c>
      <c r="L59" s="22"/>
    </row>
    <row r="60" spans="1:22" ht="14.25" x14ac:dyDescent="0.2">
      <c r="A60" s="19"/>
      <c r="B60" s="19"/>
      <c r="C60" s="19"/>
      <c r="D60" s="19" t="s">
        <v>832</v>
      </c>
      <c r="E60" s="20" t="s">
        <v>833</v>
      </c>
      <c r="F60" s="9">
        <f>Source!AQ36</f>
        <v>0.45</v>
      </c>
      <c r="G60" s="22"/>
      <c r="H60" s="21" t="str">
        <f>Source!DI36</f>
        <v/>
      </c>
      <c r="I60" s="9">
        <f>Source!AV36</f>
        <v>1</v>
      </c>
      <c r="J60" s="9"/>
      <c r="K60" s="22"/>
      <c r="L60" s="22">
        <f>Source!U36</f>
        <v>27</v>
      </c>
    </row>
    <row r="61" spans="1:22" ht="15" x14ac:dyDescent="0.25">
      <c r="A61" s="27"/>
      <c r="B61" s="27"/>
      <c r="C61" s="27"/>
      <c r="D61" s="27"/>
      <c r="E61" s="27"/>
      <c r="F61" s="27"/>
      <c r="G61" s="27"/>
      <c r="H61" s="27"/>
      <c r="I61" s="27"/>
      <c r="J61" s="60">
        <f>K57+K58+K59</f>
        <v>30009.960000000003</v>
      </c>
      <c r="K61" s="60"/>
      <c r="L61" s="28">
        <f>IF(Source!I36&lt;&gt;0, ROUND(J61/Source!I36, 2), 0)</f>
        <v>500.17</v>
      </c>
      <c r="P61" s="25">
        <f>J61</f>
        <v>30009.960000000003</v>
      </c>
    </row>
    <row r="62" spans="1:22" ht="42.75" x14ac:dyDescent="0.2">
      <c r="A62" s="19">
        <v>3</v>
      </c>
      <c r="B62" s="19">
        <v>3</v>
      </c>
      <c r="C62" s="19" t="str">
        <f>Source!F37</f>
        <v>1.15-2203-6-1/1</v>
      </c>
      <c r="D62" s="19" t="str">
        <f>Source!G37</f>
        <v>Техническое обслуживание кранов шаровых из НПВХ с разъемными муфтами диаметром до 50 мм</v>
      </c>
      <c r="E62" s="20" t="str">
        <f>Source!H37</f>
        <v>шт.</v>
      </c>
      <c r="F62" s="9">
        <f>Source!I37</f>
        <v>150</v>
      </c>
      <c r="G62" s="22"/>
      <c r="H62" s="21"/>
      <c r="I62" s="9"/>
      <c r="J62" s="9"/>
      <c r="K62" s="22"/>
      <c r="L62" s="22"/>
      <c r="Q62">
        <f>ROUND((Source!BZ37/100)*ROUND((Source!AF37*Source!AV37)*Source!I37, 2), 2)</f>
        <v>43680</v>
      </c>
      <c r="R62">
        <f>Source!X37</f>
        <v>43680</v>
      </c>
      <c r="S62">
        <f>ROUND((Source!CA37/100)*ROUND((Source!AF37*Source!AV37)*Source!I37, 2), 2)</f>
        <v>6240</v>
      </c>
      <c r="T62">
        <f>Source!Y37</f>
        <v>6240</v>
      </c>
      <c r="U62">
        <f>ROUND((175/100)*ROUND((Source!AE37*Source!AV37)*Source!I37, 2), 2)</f>
        <v>0</v>
      </c>
      <c r="V62">
        <f>ROUND((108/100)*ROUND(Source!CS37*Source!I37, 2), 2)</f>
        <v>0</v>
      </c>
    </row>
    <row r="63" spans="1:22" x14ac:dyDescent="0.2">
      <c r="D63" s="23" t="str">
        <f>"Объем: "&amp;Source!I37&amp;"=50*"&amp;"3"</f>
        <v>Объем: 150=50*3</v>
      </c>
    </row>
    <row r="64" spans="1:22" ht="14.25" x14ac:dyDescent="0.2">
      <c r="A64" s="19"/>
      <c r="B64" s="19"/>
      <c r="C64" s="19"/>
      <c r="D64" s="19" t="s">
        <v>825</v>
      </c>
      <c r="E64" s="20"/>
      <c r="F64" s="9"/>
      <c r="G64" s="22">
        <f>Source!AO37</f>
        <v>416</v>
      </c>
      <c r="H64" s="21" t="str">
        <f>Source!DG37</f>
        <v/>
      </c>
      <c r="I64" s="9">
        <f>Source!AV37</f>
        <v>1</v>
      </c>
      <c r="J64" s="9">
        <f>IF(Source!BA37&lt;&gt; 0, Source!BA37, 1)</f>
        <v>1</v>
      </c>
      <c r="K64" s="22">
        <f>Source!S37</f>
        <v>62400</v>
      </c>
      <c r="L64" s="22"/>
    </row>
    <row r="65" spans="1:22" ht="14.25" x14ac:dyDescent="0.2">
      <c r="A65" s="19"/>
      <c r="B65" s="19"/>
      <c r="C65" s="19"/>
      <c r="D65" s="19" t="s">
        <v>834</v>
      </c>
      <c r="E65" s="20"/>
      <c r="F65" s="9"/>
      <c r="G65" s="22">
        <f>Source!AL37</f>
        <v>0.28000000000000003</v>
      </c>
      <c r="H65" s="21" t="str">
        <f>Source!DD37</f>
        <v/>
      </c>
      <c r="I65" s="9">
        <f>Source!AW37</f>
        <v>1</v>
      </c>
      <c r="J65" s="9">
        <f>IF(Source!BC37&lt;&gt; 0, Source!BC37, 1)</f>
        <v>1</v>
      </c>
      <c r="K65" s="22">
        <f>Source!P37</f>
        <v>42</v>
      </c>
      <c r="L65" s="22"/>
    </row>
    <row r="66" spans="1:22" ht="14.25" x14ac:dyDescent="0.2">
      <c r="A66" s="19"/>
      <c r="B66" s="19"/>
      <c r="C66" s="19"/>
      <c r="D66" s="19" t="s">
        <v>828</v>
      </c>
      <c r="E66" s="20" t="s">
        <v>829</v>
      </c>
      <c r="F66" s="9">
        <f>Source!AT37</f>
        <v>70</v>
      </c>
      <c r="G66" s="22"/>
      <c r="H66" s="21"/>
      <c r="I66" s="9"/>
      <c r="J66" s="9"/>
      <c r="K66" s="22">
        <f>SUM(R62:R65)</f>
        <v>43680</v>
      </c>
      <c r="L66" s="22"/>
    </row>
    <row r="67" spans="1:22" ht="14.25" x14ac:dyDescent="0.2">
      <c r="A67" s="19"/>
      <c r="B67" s="19"/>
      <c r="C67" s="19"/>
      <c r="D67" s="19" t="s">
        <v>830</v>
      </c>
      <c r="E67" s="20" t="s">
        <v>829</v>
      </c>
      <c r="F67" s="9">
        <f>Source!AU37</f>
        <v>10</v>
      </c>
      <c r="G67" s="22"/>
      <c r="H67" s="21"/>
      <c r="I67" s="9"/>
      <c r="J67" s="9"/>
      <c r="K67" s="22">
        <f>SUM(T62:T66)</f>
        <v>6240</v>
      </c>
      <c r="L67" s="22"/>
    </row>
    <row r="68" spans="1:22" ht="14.25" x14ac:dyDescent="0.2">
      <c r="A68" s="19"/>
      <c r="B68" s="19"/>
      <c r="C68" s="19"/>
      <c r="D68" s="19" t="s">
        <v>832</v>
      </c>
      <c r="E68" s="20" t="s">
        <v>833</v>
      </c>
      <c r="F68" s="9">
        <f>Source!AQ37</f>
        <v>0.74</v>
      </c>
      <c r="G68" s="22"/>
      <c r="H68" s="21" t="str">
        <f>Source!DI37</f>
        <v/>
      </c>
      <c r="I68" s="9">
        <f>Source!AV37</f>
        <v>1</v>
      </c>
      <c r="J68" s="9"/>
      <c r="K68" s="22"/>
      <c r="L68" s="22">
        <f>Source!U37</f>
        <v>111</v>
      </c>
    </row>
    <row r="69" spans="1:22" ht="15" x14ac:dyDescent="0.25">
      <c r="A69" s="27"/>
      <c r="B69" s="27"/>
      <c r="C69" s="27"/>
      <c r="D69" s="27"/>
      <c r="E69" s="27"/>
      <c r="F69" s="27"/>
      <c r="G69" s="27"/>
      <c r="H69" s="27"/>
      <c r="I69" s="27"/>
      <c r="J69" s="60">
        <f>K64+K65+K66+K67</f>
        <v>112362</v>
      </c>
      <c r="K69" s="60"/>
      <c r="L69" s="28">
        <f>IF(Source!I37&lt;&gt;0, ROUND(J69/Source!I37, 2), 0)</f>
        <v>749.08</v>
      </c>
      <c r="P69" s="25">
        <f>J69</f>
        <v>112362</v>
      </c>
    </row>
    <row r="71" spans="1:22" ht="15" x14ac:dyDescent="0.25">
      <c r="C71" s="56" t="str">
        <f>Source!G38</f>
        <v>Корпус 7.2.4</v>
      </c>
      <c r="D71" s="56"/>
      <c r="E71" s="56"/>
      <c r="F71" s="56"/>
      <c r="G71" s="56"/>
      <c r="H71" s="56"/>
      <c r="I71" s="56"/>
      <c r="J71" s="56"/>
      <c r="K71" s="56"/>
    </row>
    <row r="72" spans="1:22" ht="42.75" x14ac:dyDescent="0.2">
      <c r="A72" s="19">
        <v>4</v>
      </c>
      <c r="B72" s="19">
        <v>4</v>
      </c>
      <c r="C72" s="19" t="str">
        <f>Source!F41</f>
        <v>1.15-2203-7-1/1</v>
      </c>
      <c r="D72" s="19" t="str">
        <f>Source!G41</f>
        <v>Техническое обслуживание крана шарового латунного никелированного диаметром до 25 мм</v>
      </c>
      <c r="E72" s="20" t="str">
        <f>Source!H41</f>
        <v>10 шт.</v>
      </c>
      <c r="F72" s="9">
        <f>Source!I41</f>
        <v>10.9</v>
      </c>
      <c r="G72" s="22"/>
      <c r="H72" s="21"/>
      <c r="I72" s="9"/>
      <c r="J72" s="9"/>
      <c r="K72" s="22"/>
      <c r="L72" s="22"/>
      <c r="Q72">
        <f>ROUND((Source!BZ41/100)*ROUND((Source!AF41*Source!AV41)*Source!I41, 2), 2)</f>
        <v>2120.15</v>
      </c>
      <c r="R72">
        <f>Source!X41</f>
        <v>2120.15</v>
      </c>
      <c r="S72">
        <f>ROUND((Source!CA41/100)*ROUND((Source!AF41*Source!AV41)*Source!I41, 2), 2)</f>
        <v>302.88</v>
      </c>
      <c r="T72">
        <f>Source!Y41</f>
        <v>302.88</v>
      </c>
      <c r="U72">
        <f>ROUND((175/100)*ROUND((Source!AE41*Source!AV41)*Source!I41, 2), 2)</f>
        <v>0</v>
      </c>
      <c r="V72">
        <f>ROUND((108/100)*ROUND(Source!CS41*Source!I41, 2), 2)</f>
        <v>0</v>
      </c>
    </row>
    <row r="73" spans="1:22" x14ac:dyDescent="0.2">
      <c r="D73" s="23" t="str">
        <f>"Объем: "&amp;Source!I41&amp;"=(21+"&amp;"88)/"&amp;"10"</f>
        <v>Объем: 10,9=(21+88)/10</v>
      </c>
    </row>
    <row r="74" spans="1:22" ht="14.25" x14ac:dyDescent="0.2">
      <c r="A74" s="19"/>
      <c r="B74" s="19"/>
      <c r="C74" s="19"/>
      <c r="D74" s="19" t="s">
        <v>825</v>
      </c>
      <c r="E74" s="20"/>
      <c r="F74" s="9"/>
      <c r="G74" s="22">
        <f>Source!AO41</f>
        <v>277.87</v>
      </c>
      <c r="H74" s="21" t="str">
        <f>Source!DG41</f>
        <v/>
      </c>
      <c r="I74" s="9">
        <f>Source!AV41</f>
        <v>1</v>
      </c>
      <c r="J74" s="9">
        <f>IF(Source!BA41&lt;&gt; 0, Source!BA41, 1)</f>
        <v>1</v>
      </c>
      <c r="K74" s="22">
        <f>Source!S41</f>
        <v>3028.78</v>
      </c>
      <c r="L74" s="22"/>
    </row>
    <row r="75" spans="1:22" ht="14.25" x14ac:dyDescent="0.2">
      <c r="A75" s="19"/>
      <c r="B75" s="19"/>
      <c r="C75" s="19"/>
      <c r="D75" s="19" t="s">
        <v>828</v>
      </c>
      <c r="E75" s="20" t="s">
        <v>829</v>
      </c>
      <c r="F75" s="9">
        <f>Source!AT41</f>
        <v>70</v>
      </c>
      <c r="G75" s="22"/>
      <c r="H75" s="21"/>
      <c r="I75" s="9"/>
      <c r="J75" s="9"/>
      <c r="K75" s="22">
        <f>SUM(R72:R74)</f>
        <v>2120.15</v>
      </c>
      <c r="L75" s="22"/>
    </row>
    <row r="76" spans="1:22" ht="14.25" x14ac:dyDescent="0.2">
      <c r="A76" s="19"/>
      <c r="B76" s="19"/>
      <c r="C76" s="19"/>
      <c r="D76" s="19" t="s">
        <v>830</v>
      </c>
      <c r="E76" s="20" t="s">
        <v>829</v>
      </c>
      <c r="F76" s="9">
        <f>Source!AU41</f>
        <v>10</v>
      </c>
      <c r="G76" s="22"/>
      <c r="H76" s="21"/>
      <c r="I76" s="9"/>
      <c r="J76" s="9"/>
      <c r="K76" s="22">
        <f>SUM(T72:T75)</f>
        <v>302.88</v>
      </c>
      <c r="L76" s="22"/>
    </row>
    <row r="77" spans="1:22" ht="14.25" x14ac:dyDescent="0.2">
      <c r="A77" s="19"/>
      <c r="B77" s="19"/>
      <c r="C77" s="19"/>
      <c r="D77" s="19" t="s">
        <v>832</v>
      </c>
      <c r="E77" s="20" t="s">
        <v>833</v>
      </c>
      <c r="F77" s="9">
        <f>Source!AQ41</f>
        <v>0.45</v>
      </c>
      <c r="G77" s="22"/>
      <c r="H77" s="21" t="str">
        <f>Source!DI41</f>
        <v/>
      </c>
      <c r="I77" s="9">
        <f>Source!AV41</f>
        <v>1</v>
      </c>
      <c r="J77" s="9"/>
      <c r="K77" s="22"/>
      <c r="L77" s="22">
        <f>Source!U41</f>
        <v>4.9050000000000002</v>
      </c>
    </row>
    <row r="78" spans="1:22" ht="15" x14ac:dyDescent="0.25">
      <c r="A78" s="27"/>
      <c r="B78" s="27"/>
      <c r="C78" s="27"/>
      <c r="D78" s="27"/>
      <c r="E78" s="27"/>
      <c r="F78" s="27"/>
      <c r="G78" s="27"/>
      <c r="H78" s="27"/>
      <c r="I78" s="27"/>
      <c r="J78" s="60">
        <f>K74+K75+K76</f>
        <v>5451.81</v>
      </c>
      <c r="K78" s="60"/>
      <c r="L78" s="28">
        <f>IF(Source!I41&lt;&gt;0, ROUND(J78/Source!I41, 2), 0)</f>
        <v>500.17</v>
      </c>
      <c r="P78" s="25">
        <f>J78</f>
        <v>5451.81</v>
      </c>
    </row>
    <row r="79" spans="1:22" ht="57" x14ac:dyDescent="0.2">
      <c r="A79" s="19">
        <v>5</v>
      </c>
      <c r="B79" s="19">
        <v>5</v>
      </c>
      <c r="C79" s="19" t="str">
        <f>Source!F42</f>
        <v>1.23-2103-41-1/1</v>
      </c>
      <c r="D79" s="19" t="str">
        <f>Source!G42</f>
        <v>Техническое обслуживание регулирующего клапана/ Комплект угловых кранов 1/2 для подключения гибкой подводки смесителя</v>
      </c>
      <c r="E79" s="20" t="str">
        <f>Source!H42</f>
        <v>шт.</v>
      </c>
      <c r="F79" s="9">
        <f>Source!I42</f>
        <v>50</v>
      </c>
      <c r="G79" s="22"/>
      <c r="H79" s="21"/>
      <c r="I79" s="9"/>
      <c r="J79" s="9"/>
      <c r="K79" s="22"/>
      <c r="L79" s="22"/>
      <c r="Q79">
        <f>ROUND((Source!BZ42/100)*ROUND((Source!AF42*Source!AV42)*Source!I42, 2), 2)</f>
        <v>7280</v>
      </c>
      <c r="R79">
        <f>Source!X42</f>
        <v>7280</v>
      </c>
      <c r="S79">
        <f>ROUND((Source!CA42/100)*ROUND((Source!AF42*Source!AV42)*Source!I42, 2), 2)</f>
        <v>1040</v>
      </c>
      <c r="T79">
        <f>Source!Y42</f>
        <v>1040</v>
      </c>
      <c r="U79">
        <f>ROUND((175/100)*ROUND((Source!AE42*Source!AV42)*Source!I42, 2), 2)</f>
        <v>4337.38</v>
      </c>
      <c r="V79">
        <f>ROUND((108/100)*ROUND(Source!CS42*Source!I42, 2), 2)</f>
        <v>2676.78</v>
      </c>
    </row>
    <row r="80" spans="1:22" x14ac:dyDescent="0.2">
      <c r="D80" s="23" t="str">
        <f>"Объем: "&amp;Source!I42&amp;"=25*"&amp;"2"</f>
        <v>Объем: 50=25*2</v>
      </c>
    </row>
    <row r="81" spans="1:22" ht="14.25" x14ac:dyDescent="0.2">
      <c r="A81" s="19"/>
      <c r="B81" s="19"/>
      <c r="C81" s="19"/>
      <c r="D81" s="19" t="s">
        <v>825</v>
      </c>
      <c r="E81" s="20"/>
      <c r="F81" s="9"/>
      <c r="G81" s="22">
        <f>Source!AO42</f>
        <v>208</v>
      </c>
      <c r="H81" s="21" t="str">
        <f>Source!DG42</f>
        <v/>
      </c>
      <c r="I81" s="9">
        <f>Source!AV42</f>
        <v>1</v>
      </c>
      <c r="J81" s="9">
        <f>IF(Source!BA42&lt;&gt; 0, Source!BA42, 1)</f>
        <v>1</v>
      </c>
      <c r="K81" s="22">
        <f>Source!S42</f>
        <v>10400</v>
      </c>
      <c r="L81" s="22"/>
    </row>
    <row r="82" spans="1:22" ht="14.25" x14ac:dyDescent="0.2">
      <c r="A82" s="19"/>
      <c r="B82" s="19"/>
      <c r="C82" s="19"/>
      <c r="D82" s="19" t="s">
        <v>826</v>
      </c>
      <c r="E82" s="20"/>
      <c r="F82" s="9"/>
      <c r="G82" s="22">
        <f>Source!AM42</f>
        <v>78.180000000000007</v>
      </c>
      <c r="H82" s="21" t="str">
        <f>Source!DE42</f>
        <v/>
      </c>
      <c r="I82" s="9">
        <f>Source!AV42</f>
        <v>1</v>
      </c>
      <c r="J82" s="9">
        <f>IF(Source!BB42&lt;&gt; 0, Source!BB42, 1)</f>
        <v>1</v>
      </c>
      <c r="K82" s="22">
        <f>Source!Q42</f>
        <v>3909</v>
      </c>
      <c r="L82" s="22"/>
    </row>
    <row r="83" spans="1:22" ht="14.25" x14ac:dyDescent="0.2">
      <c r="A83" s="19"/>
      <c r="B83" s="19"/>
      <c r="C83" s="19"/>
      <c r="D83" s="19" t="s">
        <v>827</v>
      </c>
      <c r="E83" s="20"/>
      <c r="F83" s="9"/>
      <c r="G83" s="22">
        <f>Source!AN42</f>
        <v>49.57</v>
      </c>
      <c r="H83" s="21" t="str">
        <f>Source!DF42</f>
        <v/>
      </c>
      <c r="I83" s="9">
        <f>Source!AV42</f>
        <v>1</v>
      </c>
      <c r="J83" s="9">
        <f>IF(Source!BS42&lt;&gt; 0, Source!BS42, 1)</f>
        <v>1</v>
      </c>
      <c r="K83" s="24">
        <f>Source!R42</f>
        <v>2478.5</v>
      </c>
      <c r="L83" s="22"/>
    </row>
    <row r="84" spans="1:22" ht="14.25" x14ac:dyDescent="0.2">
      <c r="A84" s="19"/>
      <c r="B84" s="19"/>
      <c r="C84" s="19"/>
      <c r="D84" s="19" t="s">
        <v>828</v>
      </c>
      <c r="E84" s="20" t="s">
        <v>829</v>
      </c>
      <c r="F84" s="9">
        <f>Source!AT42</f>
        <v>70</v>
      </c>
      <c r="G84" s="22"/>
      <c r="H84" s="21"/>
      <c r="I84" s="9"/>
      <c r="J84" s="9"/>
      <c r="K84" s="22">
        <f>SUM(R79:R83)</f>
        <v>7280</v>
      </c>
      <c r="L84" s="22"/>
    </row>
    <row r="85" spans="1:22" ht="14.25" x14ac:dyDescent="0.2">
      <c r="A85" s="19"/>
      <c r="B85" s="19"/>
      <c r="C85" s="19"/>
      <c r="D85" s="19" t="s">
        <v>830</v>
      </c>
      <c r="E85" s="20" t="s">
        <v>829</v>
      </c>
      <c r="F85" s="9">
        <f>Source!AU42</f>
        <v>10</v>
      </c>
      <c r="G85" s="22"/>
      <c r="H85" s="21"/>
      <c r="I85" s="9"/>
      <c r="J85" s="9"/>
      <c r="K85" s="22">
        <f>SUM(T79:T84)</f>
        <v>1040</v>
      </c>
      <c r="L85" s="22"/>
    </row>
    <row r="86" spans="1:22" ht="14.25" x14ac:dyDescent="0.2">
      <c r="A86" s="19"/>
      <c r="B86" s="19"/>
      <c r="C86" s="19"/>
      <c r="D86" s="19" t="s">
        <v>831</v>
      </c>
      <c r="E86" s="20" t="s">
        <v>829</v>
      </c>
      <c r="F86" s="9">
        <f>108</f>
        <v>108</v>
      </c>
      <c r="G86" s="22"/>
      <c r="H86" s="21"/>
      <c r="I86" s="9"/>
      <c r="J86" s="9"/>
      <c r="K86" s="22">
        <f>SUM(V79:V85)</f>
        <v>2676.78</v>
      </c>
      <c r="L86" s="22"/>
    </row>
    <row r="87" spans="1:22" ht="14.25" x14ac:dyDescent="0.2">
      <c r="A87" s="19"/>
      <c r="B87" s="19"/>
      <c r="C87" s="19"/>
      <c r="D87" s="19" t="s">
        <v>832</v>
      </c>
      <c r="E87" s="20" t="s">
        <v>833</v>
      </c>
      <c r="F87" s="9">
        <f>Source!AQ42</f>
        <v>0.37</v>
      </c>
      <c r="G87" s="22"/>
      <c r="H87" s="21" t="str">
        <f>Source!DI42</f>
        <v/>
      </c>
      <c r="I87" s="9">
        <f>Source!AV42</f>
        <v>1</v>
      </c>
      <c r="J87" s="9"/>
      <c r="K87" s="22"/>
      <c r="L87" s="22">
        <f>Source!U42</f>
        <v>18.5</v>
      </c>
    </row>
    <row r="88" spans="1:22" ht="15" x14ac:dyDescent="0.25">
      <c r="A88" s="27"/>
      <c r="B88" s="27"/>
      <c r="C88" s="27"/>
      <c r="D88" s="27"/>
      <c r="E88" s="27"/>
      <c r="F88" s="27"/>
      <c r="G88" s="27"/>
      <c r="H88" s="27"/>
      <c r="I88" s="27"/>
      <c r="J88" s="60">
        <f>K81+K82+K84+K85+K86</f>
        <v>25305.78</v>
      </c>
      <c r="K88" s="60"/>
      <c r="L88" s="28">
        <f>IF(Source!I42&lt;&gt;0, ROUND(J88/Source!I42, 2), 0)</f>
        <v>506.12</v>
      </c>
      <c r="P88" s="25">
        <f>J88</f>
        <v>25305.78</v>
      </c>
    </row>
    <row r="90" spans="1:22" ht="15" x14ac:dyDescent="0.25">
      <c r="A90" s="59" t="str">
        <f>CONCATENATE("Итого по подразделу: ",IF(Source!G44&lt;&gt;"Новый подраздел", Source!G44, ""))</f>
        <v>Итого по подразделу: Водопровод</v>
      </c>
      <c r="B90" s="59"/>
      <c r="C90" s="59"/>
      <c r="D90" s="59"/>
      <c r="E90" s="59"/>
      <c r="F90" s="59"/>
      <c r="G90" s="59"/>
      <c r="H90" s="59"/>
      <c r="I90" s="59"/>
      <c r="J90" s="57">
        <f>SUM(P42:P89)</f>
        <v>246010.19999999998</v>
      </c>
      <c r="K90" s="58"/>
      <c r="L90" s="18"/>
    </row>
    <row r="93" spans="1:22" ht="16.5" x14ac:dyDescent="0.25">
      <c r="A93" s="55" t="str">
        <f>CONCATENATE("Подраздел: ",IF(Source!G74&lt;&gt;"Новый подраздел", Source!G74, ""))</f>
        <v>Подраздел: Сантехника</v>
      </c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</row>
    <row r="95" spans="1:22" ht="15" x14ac:dyDescent="0.25">
      <c r="C95" s="56" t="str">
        <f>Source!G78</f>
        <v>Корпуса 7.2.1, 7.2.2, 7.2.3</v>
      </c>
      <c r="D95" s="56"/>
      <c r="E95" s="56"/>
      <c r="F95" s="56"/>
      <c r="G95" s="56"/>
      <c r="H95" s="56"/>
      <c r="I95" s="56"/>
      <c r="J95" s="56"/>
      <c r="K95" s="56"/>
    </row>
    <row r="96" spans="1:22" ht="28.5" x14ac:dyDescent="0.2">
      <c r="A96" s="19">
        <v>6</v>
      </c>
      <c r="B96" s="19">
        <v>6</v>
      </c>
      <c r="C96" s="19" t="str">
        <f>Source!F81</f>
        <v>1.16-3201-2-1/1</v>
      </c>
      <c r="D96" s="19" t="str">
        <f>Source!G81</f>
        <v>Укрепление расшатавшихся санитарно-технических приборов - умывальники</v>
      </c>
      <c r="E96" s="20" t="str">
        <f>Source!H81</f>
        <v>100 шт.</v>
      </c>
      <c r="F96" s="9">
        <f>Source!I81</f>
        <v>0.72</v>
      </c>
      <c r="G96" s="22"/>
      <c r="H96" s="21"/>
      <c r="I96" s="9"/>
      <c r="J96" s="9"/>
      <c r="K96" s="22"/>
      <c r="L96" s="22"/>
      <c r="Q96">
        <f>ROUND((Source!BZ81/100)*ROUND((Source!AF81*Source!AV81)*Source!I81, 2), 2)</f>
        <v>26679.45</v>
      </c>
      <c r="R96">
        <f>Source!X81</f>
        <v>26679.45</v>
      </c>
      <c r="S96">
        <f>ROUND((Source!CA81/100)*ROUND((Source!AF81*Source!AV81)*Source!I81, 2), 2)</f>
        <v>3811.35</v>
      </c>
      <c r="T96">
        <f>Source!Y81</f>
        <v>3811.35</v>
      </c>
      <c r="U96">
        <f>ROUND((175/100)*ROUND((Source!AE81*Source!AV81)*Source!I81, 2), 2)</f>
        <v>0.88</v>
      </c>
      <c r="V96">
        <f>ROUND((108/100)*ROUND(Source!CS81*Source!I81, 2), 2)</f>
        <v>0.54</v>
      </c>
    </row>
    <row r="97" spans="1:22" x14ac:dyDescent="0.2">
      <c r="D97" s="23" t="str">
        <f>"Объем: "&amp;Source!I81&amp;"=(23+"&amp;"1)*"&amp;"3/"&amp;"100"</f>
        <v>Объем: 0,72=(23+1)*3/100</v>
      </c>
    </row>
    <row r="98" spans="1:22" ht="14.25" x14ac:dyDescent="0.2">
      <c r="A98" s="19"/>
      <c r="B98" s="19"/>
      <c r="C98" s="19"/>
      <c r="D98" s="19" t="s">
        <v>825</v>
      </c>
      <c r="E98" s="20"/>
      <c r="F98" s="9"/>
      <c r="G98" s="22">
        <f>Source!AO81</f>
        <v>52935.41</v>
      </c>
      <c r="H98" s="21" t="str">
        <f>Source!DG81</f>
        <v/>
      </c>
      <c r="I98" s="9">
        <f>Source!AV81</f>
        <v>1</v>
      </c>
      <c r="J98" s="9">
        <f>IF(Source!BA81&lt;&gt; 0, Source!BA81, 1)</f>
        <v>1</v>
      </c>
      <c r="K98" s="22">
        <f>Source!S81</f>
        <v>38113.5</v>
      </c>
      <c r="L98" s="22"/>
    </row>
    <row r="99" spans="1:22" ht="14.25" x14ac:dyDescent="0.2">
      <c r="A99" s="19"/>
      <c r="B99" s="19"/>
      <c r="C99" s="19"/>
      <c r="D99" s="19" t="s">
        <v>826</v>
      </c>
      <c r="E99" s="20"/>
      <c r="F99" s="9"/>
      <c r="G99" s="22">
        <f>Source!AM81</f>
        <v>61.83</v>
      </c>
      <c r="H99" s="21" t="str">
        <f>Source!DE81</f>
        <v/>
      </c>
      <c r="I99" s="9">
        <f>Source!AV81</f>
        <v>1</v>
      </c>
      <c r="J99" s="9">
        <f>IF(Source!BB81&lt;&gt; 0, Source!BB81, 1)</f>
        <v>1</v>
      </c>
      <c r="K99" s="22">
        <f>Source!Q81</f>
        <v>44.52</v>
      </c>
      <c r="L99" s="22"/>
    </row>
    <row r="100" spans="1:22" ht="14.25" x14ac:dyDescent="0.2">
      <c r="A100" s="19"/>
      <c r="B100" s="19"/>
      <c r="C100" s="19"/>
      <c r="D100" s="19" t="s">
        <v>827</v>
      </c>
      <c r="E100" s="20"/>
      <c r="F100" s="9"/>
      <c r="G100" s="22">
        <f>Source!AN81</f>
        <v>0.7</v>
      </c>
      <c r="H100" s="21" t="str">
        <f>Source!DF81</f>
        <v/>
      </c>
      <c r="I100" s="9">
        <f>Source!AV81</f>
        <v>1</v>
      </c>
      <c r="J100" s="9">
        <f>IF(Source!BS81&lt;&gt; 0, Source!BS81, 1)</f>
        <v>1</v>
      </c>
      <c r="K100" s="24">
        <f>Source!R81</f>
        <v>0.5</v>
      </c>
      <c r="L100" s="22"/>
    </row>
    <row r="101" spans="1:22" ht="14.25" x14ac:dyDescent="0.2">
      <c r="A101" s="19"/>
      <c r="B101" s="19"/>
      <c r="C101" s="19"/>
      <c r="D101" s="19" t="s">
        <v>834</v>
      </c>
      <c r="E101" s="20"/>
      <c r="F101" s="9"/>
      <c r="G101" s="22">
        <f>Source!AL81</f>
        <v>776.55</v>
      </c>
      <c r="H101" s="21" t="str">
        <f>Source!DD81</f>
        <v/>
      </c>
      <c r="I101" s="9">
        <f>Source!AW81</f>
        <v>1</v>
      </c>
      <c r="J101" s="9">
        <f>IF(Source!BC81&lt;&gt; 0, Source!BC81, 1)</f>
        <v>1</v>
      </c>
      <c r="K101" s="22">
        <f>Source!P81</f>
        <v>559.12</v>
      </c>
      <c r="L101" s="22"/>
    </row>
    <row r="102" spans="1:22" ht="14.25" x14ac:dyDescent="0.2">
      <c r="A102" s="19"/>
      <c r="B102" s="19"/>
      <c r="C102" s="19"/>
      <c r="D102" s="19" t="s">
        <v>828</v>
      </c>
      <c r="E102" s="20" t="s">
        <v>829</v>
      </c>
      <c r="F102" s="9">
        <f>Source!AT81</f>
        <v>70</v>
      </c>
      <c r="G102" s="22"/>
      <c r="H102" s="21"/>
      <c r="I102" s="9"/>
      <c r="J102" s="9"/>
      <c r="K102" s="22">
        <f>SUM(R96:R101)</f>
        <v>26679.45</v>
      </c>
      <c r="L102" s="22"/>
    </row>
    <row r="103" spans="1:22" ht="14.25" x14ac:dyDescent="0.2">
      <c r="A103" s="19"/>
      <c r="B103" s="19"/>
      <c r="C103" s="19"/>
      <c r="D103" s="19" t="s">
        <v>830</v>
      </c>
      <c r="E103" s="20" t="s">
        <v>829</v>
      </c>
      <c r="F103" s="9">
        <f>Source!AU81</f>
        <v>10</v>
      </c>
      <c r="G103" s="22"/>
      <c r="H103" s="21"/>
      <c r="I103" s="9"/>
      <c r="J103" s="9"/>
      <c r="K103" s="22">
        <f>SUM(T96:T102)</f>
        <v>3811.35</v>
      </c>
      <c r="L103" s="22"/>
    </row>
    <row r="104" spans="1:22" ht="14.25" x14ac:dyDescent="0.2">
      <c r="A104" s="19"/>
      <c r="B104" s="19"/>
      <c r="C104" s="19"/>
      <c r="D104" s="19" t="s">
        <v>831</v>
      </c>
      <c r="E104" s="20" t="s">
        <v>829</v>
      </c>
      <c r="F104" s="9">
        <f>108</f>
        <v>108</v>
      </c>
      <c r="G104" s="22"/>
      <c r="H104" s="21"/>
      <c r="I104" s="9"/>
      <c r="J104" s="9"/>
      <c r="K104" s="22">
        <f>SUM(V96:V103)</f>
        <v>0.54</v>
      </c>
      <c r="L104" s="22"/>
    </row>
    <row r="105" spans="1:22" ht="14.25" x14ac:dyDescent="0.2">
      <c r="A105" s="19"/>
      <c r="B105" s="19"/>
      <c r="C105" s="19"/>
      <c r="D105" s="19" t="s">
        <v>832</v>
      </c>
      <c r="E105" s="20" t="s">
        <v>833</v>
      </c>
      <c r="F105" s="9">
        <f>Source!AQ81</f>
        <v>104.44</v>
      </c>
      <c r="G105" s="22"/>
      <c r="H105" s="21" t="str">
        <f>Source!DI81</f>
        <v/>
      </c>
      <c r="I105" s="9">
        <f>Source!AV81</f>
        <v>1</v>
      </c>
      <c r="J105" s="9"/>
      <c r="K105" s="22"/>
      <c r="L105" s="22">
        <f>Source!U81</f>
        <v>75.196799999999996</v>
      </c>
    </row>
    <row r="106" spans="1:22" ht="15" x14ac:dyDescent="0.25">
      <c r="A106" s="27"/>
      <c r="B106" s="27"/>
      <c r="C106" s="27"/>
      <c r="D106" s="27"/>
      <c r="E106" s="27"/>
      <c r="F106" s="27"/>
      <c r="G106" s="27"/>
      <c r="H106" s="27"/>
      <c r="I106" s="27"/>
      <c r="J106" s="60">
        <f>K98+K99+K101+K102+K103+K104</f>
        <v>69208.479999999996</v>
      </c>
      <c r="K106" s="60"/>
      <c r="L106" s="28">
        <f>IF(Source!I81&lt;&gt;0, ROUND(J106/Source!I81, 2), 0)</f>
        <v>96122.89</v>
      </c>
      <c r="P106" s="25">
        <f>J106</f>
        <v>69208.479999999996</v>
      </c>
    </row>
    <row r="107" spans="1:22" ht="28.5" x14ac:dyDescent="0.2">
      <c r="A107" s="19">
        <v>7</v>
      </c>
      <c r="B107" s="19">
        <v>7</v>
      </c>
      <c r="C107" s="19" t="str">
        <f>Source!F82</f>
        <v>1.16-3201-2-2/1</v>
      </c>
      <c r="D107" s="19" t="str">
        <f>Source!G82</f>
        <v>Укрепление расшатавшихся санитарно-технических приборов - унитазы и биде</v>
      </c>
      <c r="E107" s="20" t="str">
        <f>Source!H82</f>
        <v>100 шт.</v>
      </c>
      <c r="F107" s="9">
        <f>Source!I82</f>
        <v>0.72</v>
      </c>
      <c r="G107" s="22"/>
      <c r="H107" s="21"/>
      <c r="I107" s="9"/>
      <c r="J107" s="9"/>
      <c r="K107" s="22"/>
      <c r="L107" s="22"/>
      <c r="Q107">
        <f>ROUND((Source!BZ82/100)*ROUND((Source!AF82*Source!AV82)*Source!I82, 2), 2)</f>
        <v>38810.879999999997</v>
      </c>
      <c r="R107">
        <f>Source!X82</f>
        <v>38810.879999999997</v>
      </c>
      <c r="S107">
        <f>ROUND((Source!CA82/100)*ROUND((Source!AF82*Source!AV82)*Source!I82, 2), 2)</f>
        <v>5544.41</v>
      </c>
      <c r="T107">
        <f>Source!Y82</f>
        <v>5544.41</v>
      </c>
      <c r="U107">
        <f>ROUND((175/100)*ROUND((Source!AE82*Source!AV82)*Source!I82, 2), 2)</f>
        <v>0.88</v>
      </c>
      <c r="V107">
        <f>ROUND((108/100)*ROUND(Source!CS82*Source!I82, 2), 2)</f>
        <v>0.54</v>
      </c>
    </row>
    <row r="108" spans="1:22" x14ac:dyDescent="0.2">
      <c r="D108" s="23" t="str">
        <f>"Объем: "&amp;Source!I82&amp;"=(23+"&amp;"1)*"&amp;"3/"&amp;"100"</f>
        <v>Объем: 0,72=(23+1)*3/100</v>
      </c>
    </row>
    <row r="109" spans="1:22" ht="14.25" x14ac:dyDescent="0.2">
      <c r="A109" s="19"/>
      <c r="B109" s="19"/>
      <c r="C109" s="19"/>
      <c r="D109" s="19" t="s">
        <v>825</v>
      </c>
      <c r="E109" s="20"/>
      <c r="F109" s="9"/>
      <c r="G109" s="22">
        <f>Source!AO82</f>
        <v>77005.72</v>
      </c>
      <c r="H109" s="21" t="str">
        <f>Source!DG82</f>
        <v/>
      </c>
      <c r="I109" s="9">
        <f>Source!AV82</f>
        <v>1</v>
      </c>
      <c r="J109" s="9">
        <f>IF(Source!BA82&lt;&gt; 0, Source!BA82, 1)</f>
        <v>1</v>
      </c>
      <c r="K109" s="22">
        <f>Source!S82</f>
        <v>55444.12</v>
      </c>
      <c r="L109" s="22"/>
    </row>
    <row r="110" spans="1:22" ht="14.25" x14ac:dyDescent="0.2">
      <c r="A110" s="19"/>
      <c r="B110" s="19"/>
      <c r="C110" s="19"/>
      <c r="D110" s="19" t="s">
        <v>826</v>
      </c>
      <c r="E110" s="20"/>
      <c r="F110" s="9"/>
      <c r="G110" s="22">
        <f>Source!AM82</f>
        <v>61.83</v>
      </c>
      <c r="H110" s="21" t="str">
        <f>Source!DE82</f>
        <v/>
      </c>
      <c r="I110" s="9">
        <f>Source!AV82</f>
        <v>1</v>
      </c>
      <c r="J110" s="9">
        <f>IF(Source!BB82&lt;&gt; 0, Source!BB82, 1)</f>
        <v>1</v>
      </c>
      <c r="K110" s="22">
        <f>Source!Q82</f>
        <v>44.52</v>
      </c>
      <c r="L110" s="22"/>
    </row>
    <row r="111" spans="1:22" ht="14.25" x14ac:dyDescent="0.2">
      <c r="A111" s="19"/>
      <c r="B111" s="19"/>
      <c r="C111" s="19"/>
      <c r="D111" s="19" t="s">
        <v>827</v>
      </c>
      <c r="E111" s="20"/>
      <c r="F111" s="9"/>
      <c r="G111" s="22">
        <f>Source!AN82</f>
        <v>0.7</v>
      </c>
      <c r="H111" s="21" t="str">
        <f>Source!DF82</f>
        <v/>
      </c>
      <c r="I111" s="9">
        <f>Source!AV82</f>
        <v>1</v>
      </c>
      <c r="J111" s="9">
        <f>IF(Source!BS82&lt;&gt; 0, Source!BS82, 1)</f>
        <v>1</v>
      </c>
      <c r="K111" s="24">
        <f>Source!R82</f>
        <v>0.5</v>
      </c>
      <c r="L111" s="22"/>
    </row>
    <row r="112" spans="1:22" ht="14.25" x14ac:dyDescent="0.2">
      <c r="A112" s="19"/>
      <c r="B112" s="19"/>
      <c r="C112" s="19"/>
      <c r="D112" s="19" t="s">
        <v>834</v>
      </c>
      <c r="E112" s="20"/>
      <c r="F112" s="9"/>
      <c r="G112" s="22">
        <f>Source!AL82</f>
        <v>776.55</v>
      </c>
      <c r="H112" s="21" t="str">
        <f>Source!DD82</f>
        <v/>
      </c>
      <c r="I112" s="9">
        <f>Source!AW82</f>
        <v>1</v>
      </c>
      <c r="J112" s="9">
        <f>IF(Source!BC82&lt;&gt; 0, Source!BC82, 1)</f>
        <v>1</v>
      </c>
      <c r="K112" s="22">
        <f>Source!P82</f>
        <v>559.12</v>
      </c>
      <c r="L112" s="22"/>
    </row>
    <row r="113" spans="1:22" ht="14.25" x14ac:dyDescent="0.2">
      <c r="A113" s="19"/>
      <c r="B113" s="19"/>
      <c r="C113" s="19"/>
      <c r="D113" s="19" t="s">
        <v>828</v>
      </c>
      <c r="E113" s="20" t="s">
        <v>829</v>
      </c>
      <c r="F113" s="9">
        <f>Source!AT82</f>
        <v>70</v>
      </c>
      <c r="G113" s="22"/>
      <c r="H113" s="21"/>
      <c r="I113" s="9"/>
      <c r="J113" s="9"/>
      <c r="K113" s="22">
        <f>SUM(R107:R112)</f>
        <v>38810.879999999997</v>
      </c>
      <c r="L113" s="22"/>
    </row>
    <row r="114" spans="1:22" ht="14.25" x14ac:dyDescent="0.2">
      <c r="A114" s="19"/>
      <c r="B114" s="19"/>
      <c r="C114" s="19"/>
      <c r="D114" s="19" t="s">
        <v>830</v>
      </c>
      <c r="E114" s="20" t="s">
        <v>829</v>
      </c>
      <c r="F114" s="9">
        <f>Source!AU82</f>
        <v>10</v>
      </c>
      <c r="G114" s="22"/>
      <c r="H114" s="21"/>
      <c r="I114" s="9"/>
      <c r="J114" s="9"/>
      <c r="K114" s="22">
        <f>SUM(T107:T113)</f>
        <v>5544.41</v>
      </c>
      <c r="L114" s="22"/>
    </row>
    <row r="115" spans="1:22" ht="14.25" x14ac:dyDescent="0.2">
      <c r="A115" s="19"/>
      <c r="B115" s="19"/>
      <c r="C115" s="19"/>
      <c r="D115" s="19" t="s">
        <v>831</v>
      </c>
      <c r="E115" s="20" t="s">
        <v>829</v>
      </c>
      <c r="F115" s="9">
        <f>108</f>
        <v>108</v>
      </c>
      <c r="G115" s="22"/>
      <c r="H115" s="21"/>
      <c r="I115" s="9"/>
      <c r="J115" s="9"/>
      <c r="K115" s="22">
        <f>SUM(V107:V114)</f>
        <v>0.54</v>
      </c>
      <c r="L115" s="22"/>
    </row>
    <row r="116" spans="1:22" ht="14.25" x14ac:dyDescent="0.2">
      <c r="A116" s="19"/>
      <c r="B116" s="19"/>
      <c r="C116" s="19"/>
      <c r="D116" s="19" t="s">
        <v>832</v>
      </c>
      <c r="E116" s="20" t="s">
        <v>833</v>
      </c>
      <c r="F116" s="9">
        <f>Source!AQ82</f>
        <v>151.93</v>
      </c>
      <c r="G116" s="22"/>
      <c r="H116" s="21" t="str">
        <f>Source!DI82</f>
        <v/>
      </c>
      <c r="I116" s="9">
        <f>Source!AV82</f>
        <v>1</v>
      </c>
      <c r="J116" s="9"/>
      <c r="K116" s="22"/>
      <c r="L116" s="22">
        <f>Source!U82</f>
        <v>109.3896</v>
      </c>
    </row>
    <row r="117" spans="1:22" ht="15" x14ac:dyDescent="0.25">
      <c r="A117" s="27"/>
      <c r="B117" s="27"/>
      <c r="C117" s="27"/>
      <c r="D117" s="27"/>
      <c r="E117" s="27"/>
      <c r="F117" s="27"/>
      <c r="G117" s="27"/>
      <c r="H117" s="27"/>
      <c r="I117" s="27"/>
      <c r="J117" s="60">
        <f>K109+K110+K112+K113+K114+K115</f>
        <v>100403.59</v>
      </c>
      <c r="K117" s="60"/>
      <c r="L117" s="28">
        <f>IF(Source!I82&lt;&gt;0, ROUND(J117/Source!I82, 2), 0)</f>
        <v>139449.43</v>
      </c>
      <c r="P117" s="25">
        <f>J117</f>
        <v>100403.59</v>
      </c>
    </row>
    <row r="118" spans="1:22" ht="57" x14ac:dyDescent="0.2">
      <c r="A118" s="19">
        <v>8</v>
      </c>
      <c r="B118" s="19">
        <v>8</v>
      </c>
      <c r="C118" s="19" t="str">
        <f>Source!F83</f>
        <v>1.23-2103-41-1/1</v>
      </c>
      <c r="D118" s="19" t="str">
        <f>Source!G83</f>
        <v>Техническое обслуживание регулирующего клапана / Смеситель для раковины, Смеситель медицинский</v>
      </c>
      <c r="E118" s="20" t="str">
        <f>Source!H83</f>
        <v>шт.</v>
      </c>
      <c r="F118" s="9">
        <f>Source!I83</f>
        <v>72</v>
      </c>
      <c r="G118" s="22"/>
      <c r="H118" s="21"/>
      <c r="I118" s="9"/>
      <c r="J118" s="9"/>
      <c r="K118" s="22"/>
      <c r="L118" s="22"/>
      <c r="Q118">
        <f>ROUND((Source!BZ83/100)*ROUND((Source!AF83*Source!AV83)*Source!I83, 2), 2)</f>
        <v>10483.200000000001</v>
      </c>
      <c r="R118">
        <f>Source!X83</f>
        <v>10483.200000000001</v>
      </c>
      <c r="S118">
        <f>ROUND((Source!CA83/100)*ROUND((Source!AF83*Source!AV83)*Source!I83, 2), 2)</f>
        <v>1497.6</v>
      </c>
      <c r="T118">
        <f>Source!Y83</f>
        <v>1497.6</v>
      </c>
      <c r="U118">
        <f>ROUND((175/100)*ROUND((Source!AE83*Source!AV83)*Source!I83, 2), 2)</f>
        <v>6245.82</v>
      </c>
      <c r="V118">
        <f>ROUND((108/100)*ROUND(Source!CS83*Source!I83, 2), 2)</f>
        <v>3854.56</v>
      </c>
    </row>
    <row r="119" spans="1:22" x14ac:dyDescent="0.2">
      <c r="D119" s="23" t="str">
        <f>"Объем: "&amp;Source!I83&amp;"=(23+"&amp;"1)*"&amp;"3"</f>
        <v>Объем: 72=(23+1)*3</v>
      </c>
    </row>
    <row r="120" spans="1:22" ht="14.25" x14ac:dyDescent="0.2">
      <c r="A120" s="19"/>
      <c r="B120" s="19"/>
      <c r="C120" s="19"/>
      <c r="D120" s="19" t="s">
        <v>825</v>
      </c>
      <c r="E120" s="20"/>
      <c r="F120" s="9"/>
      <c r="G120" s="22">
        <f>Source!AO83</f>
        <v>208</v>
      </c>
      <c r="H120" s="21" t="str">
        <f>Source!DG83</f>
        <v/>
      </c>
      <c r="I120" s="9">
        <f>Source!AV83</f>
        <v>1</v>
      </c>
      <c r="J120" s="9">
        <f>IF(Source!BA83&lt;&gt; 0, Source!BA83, 1)</f>
        <v>1</v>
      </c>
      <c r="K120" s="22">
        <f>Source!S83</f>
        <v>14976</v>
      </c>
      <c r="L120" s="22"/>
    </row>
    <row r="121" spans="1:22" ht="14.25" x14ac:dyDescent="0.2">
      <c r="A121" s="19"/>
      <c r="B121" s="19"/>
      <c r="C121" s="19"/>
      <c r="D121" s="19" t="s">
        <v>826</v>
      </c>
      <c r="E121" s="20"/>
      <c r="F121" s="9"/>
      <c r="G121" s="22">
        <f>Source!AM83</f>
        <v>78.180000000000007</v>
      </c>
      <c r="H121" s="21" t="str">
        <f>Source!DE83</f>
        <v/>
      </c>
      <c r="I121" s="9">
        <f>Source!AV83</f>
        <v>1</v>
      </c>
      <c r="J121" s="9">
        <f>IF(Source!BB83&lt;&gt; 0, Source!BB83, 1)</f>
        <v>1</v>
      </c>
      <c r="K121" s="22">
        <f>Source!Q83</f>
        <v>5628.96</v>
      </c>
      <c r="L121" s="22"/>
    </row>
    <row r="122" spans="1:22" ht="14.25" x14ac:dyDescent="0.2">
      <c r="A122" s="19"/>
      <c r="B122" s="19"/>
      <c r="C122" s="19"/>
      <c r="D122" s="19" t="s">
        <v>827</v>
      </c>
      <c r="E122" s="20"/>
      <c r="F122" s="9"/>
      <c r="G122" s="22">
        <f>Source!AN83</f>
        <v>49.57</v>
      </c>
      <c r="H122" s="21" t="str">
        <f>Source!DF83</f>
        <v/>
      </c>
      <c r="I122" s="9">
        <f>Source!AV83</f>
        <v>1</v>
      </c>
      <c r="J122" s="9">
        <f>IF(Source!BS83&lt;&gt; 0, Source!BS83, 1)</f>
        <v>1</v>
      </c>
      <c r="K122" s="24">
        <f>Source!R83</f>
        <v>3569.04</v>
      </c>
      <c r="L122" s="22"/>
    </row>
    <row r="123" spans="1:22" ht="14.25" x14ac:dyDescent="0.2">
      <c r="A123" s="19"/>
      <c r="B123" s="19"/>
      <c r="C123" s="19"/>
      <c r="D123" s="19" t="s">
        <v>828</v>
      </c>
      <c r="E123" s="20" t="s">
        <v>829</v>
      </c>
      <c r="F123" s="9">
        <f>Source!AT83</f>
        <v>70</v>
      </c>
      <c r="G123" s="22"/>
      <c r="H123" s="21"/>
      <c r="I123" s="9"/>
      <c r="J123" s="9"/>
      <c r="K123" s="22">
        <f>SUM(R118:R122)</f>
        <v>10483.200000000001</v>
      </c>
      <c r="L123" s="22"/>
    </row>
    <row r="124" spans="1:22" ht="14.25" x14ac:dyDescent="0.2">
      <c r="A124" s="19"/>
      <c r="B124" s="19"/>
      <c r="C124" s="19"/>
      <c r="D124" s="19" t="s">
        <v>830</v>
      </c>
      <c r="E124" s="20" t="s">
        <v>829</v>
      </c>
      <c r="F124" s="9">
        <f>Source!AU83</f>
        <v>10</v>
      </c>
      <c r="G124" s="22"/>
      <c r="H124" s="21"/>
      <c r="I124" s="9"/>
      <c r="J124" s="9"/>
      <c r="K124" s="22">
        <f>SUM(T118:T123)</f>
        <v>1497.6</v>
      </c>
      <c r="L124" s="22"/>
    </row>
    <row r="125" spans="1:22" ht="14.25" x14ac:dyDescent="0.2">
      <c r="A125" s="19"/>
      <c r="B125" s="19"/>
      <c r="C125" s="19"/>
      <c r="D125" s="19" t="s">
        <v>831</v>
      </c>
      <c r="E125" s="20" t="s">
        <v>829</v>
      </c>
      <c r="F125" s="9">
        <f>108</f>
        <v>108</v>
      </c>
      <c r="G125" s="22"/>
      <c r="H125" s="21"/>
      <c r="I125" s="9"/>
      <c r="J125" s="9"/>
      <c r="K125" s="22">
        <f>SUM(V118:V124)</f>
        <v>3854.56</v>
      </c>
      <c r="L125" s="22"/>
    </row>
    <row r="126" spans="1:22" ht="14.25" x14ac:dyDescent="0.2">
      <c r="A126" s="19"/>
      <c r="B126" s="19"/>
      <c r="C126" s="19"/>
      <c r="D126" s="19" t="s">
        <v>832</v>
      </c>
      <c r="E126" s="20" t="s">
        <v>833</v>
      </c>
      <c r="F126" s="9">
        <f>Source!AQ83</f>
        <v>0.37</v>
      </c>
      <c r="G126" s="22"/>
      <c r="H126" s="21" t="str">
        <f>Source!DI83</f>
        <v/>
      </c>
      <c r="I126" s="9">
        <f>Source!AV83</f>
        <v>1</v>
      </c>
      <c r="J126" s="9"/>
      <c r="K126" s="22"/>
      <c r="L126" s="22">
        <f>Source!U83</f>
        <v>26.64</v>
      </c>
    </row>
    <row r="127" spans="1:22" ht="15" x14ac:dyDescent="0.25">
      <c r="A127" s="27"/>
      <c r="B127" s="27"/>
      <c r="C127" s="27"/>
      <c r="D127" s="27"/>
      <c r="E127" s="27"/>
      <c r="F127" s="27"/>
      <c r="G127" s="27"/>
      <c r="H127" s="27"/>
      <c r="I127" s="27"/>
      <c r="J127" s="60">
        <f>K120+K121+K123+K124+K125</f>
        <v>36440.32</v>
      </c>
      <c r="K127" s="60"/>
      <c r="L127" s="28">
        <f>IF(Source!I83&lt;&gt;0, ROUND(J127/Source!I83, 2), 0)</f>
        <v>506.12</v>
      </c>
      <c r="P127" s="25">
        <f>J127</f>
        <v>36440.32</v>
      </c>
    </row>
    <row r="128" spans="1:22" ht="28.5" x14ac:dyDescent="0.2">
      <c r="A128" s="19">
        <v>9</v>
      </c>
      <c r="B128" s="19">
        <v>9</v>
      </c>
      <c r="C128" s="19" t="str">
        <f>Source!F84</f>
        <v>1.16-3201-1-1/1</v>
      </c>
      <c r="D128" s="19" t="str">
        <f>Source!G84</f>
        <v>Регулировка смывного бачка</v>
      </c>
      <c r="E128" s="20" t="str">
        <f>Source!H84</f>
        <v>100 приборов</v>
      </c>
      <c r="F128" s="9">
        <f>Source!I84</f>
        <v>0.69</v>
      </c>
      <c r="G128" s="22"/>
      <c r="H128" s="21"/>
      <c r="I128" s="9"/>
      <c r="J128" s="9"/>
      <c r="K128" s="22"/>
      <c r="L128" s="22"/>
      <c r="Q128">
        <f>ROUND((Source!BZ84/100)*ROUND((Source!AF84*Source!AV84)*Source!I84, 2), 2)</f>
        <v>7677.82</v>
      </c>
      <c r="R128">
        <f>Source!X84</f>
        <v>7677.82</v>
      </c>
      <c r="S128">
        <f>ROUND((Source!CA84/100)*ROUND((Source!AF84*Source!AV84)*Source!I84, 2), 2)</f>
        <v>1096.83</v>
      </c>
      <c r="T128">
        <f>Source!Y84</f>
        <v>1096.83</v>
      </c>
      <c r="U128">
        <f>ROUND((175/100)*ROUND((Source!AE84*Source!AV84)*Source!I84, 2), 2)</f>
        <v>0</v>
      </c>
      <c r="V128">
        <f>ROUND((108/100)*ROUND(Source!CS84*Source!I84, 2), 2)</f>
        <v>0</v>
      </c>
    </row>
    <row r="129" spans="1:22" x14ac:dyDescent="0.2">
      <c r="D129" s="23" t="str">
        <f>"Объем: "&amp;Source!I84&amp;"=23*"&amp;"3/"&amp;"100"</f>
        <v>Объем: 0,69=23*3/100</v>
      </c>
    </row>
    <row r="130" spans="1:22" ht="14.25" x14ac:dyDescent="0.2">
      <c r="A130" s="19"/>
      <c r="B130" s="19"/>
      <c r="C130" s="19"/>
      <c r="D130" s="19" t="s">
        <v>825</v>
      </c>
      <c r="E130" s="20"/>
      <c r="F130" s="9"/>
      <c r="G130" s="22">
        <f>Source!AO84</f>
        <v>15896.11</v>
      </c>
      <c r="H130" s="21" t="str">
        <f>Source!DG84</f>
        <v/>
      </c>
      <c r="I130" s="9">
        <f>Source!AV84</f>
        <v>1</v>
      </c>
      <c r="J130" s="9">
        <f>IF(Source!BA84&lt;&gt; 0, Source!BA84, 1)</f>
        <v>1</v>
      </c>
      <c r="K130" s="22">
        <f>Source!S84</f>
        <v>10968.32</v>
      </c>
      <c r="L130" s="22"/>
    </row>
    <row r="131" spans="1:22" ht="14.25" x14ac:dyDescent="0.2">
      <c r="A131" s="19"/>
      <c r="B131" s="19"/>
      <c r="C131" s="19"/>
      <c r="D131" s="19" t="s">
        <v>828</v>
      </c>
      <c r="E131" s="20" t="s">
        <v>829</v>
      </c>
      <c r="F131" s="9">
        <f>Source!AT84</f>
        <v>70</v>
      </c>
      <c r="G131" s="22"/>
      <c r="H131" s="21"/>
      <c r="I131" s="9"/>
      <c r="J131" s="9"/>
      <c r="K131" s="22">
        <f>SUM(R128:R130)</f>
        <v>7677.82</v>
      </c>
      <c r="L131" s="22"/>
    </row>
    <row r="132" spans="1:22" ht="14.25" x14ac:dyDescent="0.2">
      <c r="A132" s="19"/>
      <c r="B132" s="19"/>
      <c r="C132" s="19"/>
      <c r="D132" s="19" t="s">
        <v>830</v>
      </c>
      <c r="E132" s="20" t="s">
        <v>829</v>
      </c>
      <c r="F132" s="9">
        <f>Source!AU84</f>
        <v>10</v>
      </c>
      <c r="G132" s="22"/>
      <c r="H132" s="21"/>
      <c r="I132" s="9"/>
      <c r="J132" s="9"/>
      <c r="K132" s="22">
        <f>SUM(T128:T131)</f>
        <v>1096.83</v>
      </c>
      <c r="L132" s="22"/>
    </row>
    <row r="133" spans="1:22" ht="14.25" x14ac:dyDescent="0.2">
      <c r="A133" s="19"/>
      <c r="B133" s="19"/>
      <c r="C133" s="19"/>
      <c r="D133" s="19" t="s">
        <v>832</v>
      </c>
      <c r="E133" s="20" t="s">
        <v>833</v>
      </c>
      <c r="F133" s="9">
        <f>Source!AQ84</f>
        <v>26.7</v>
      </c>
      <c r="G133" s="22"/>
      <c r="H133" s="21" t="str">
        <f>Source!DI84</f>
        <v/>
      </c>
      <c r="I133" s="9">
        <f>Source!AV84</f>
        <v>1</v>
      </c>
      <c r="J133" s="9"/>
      <c r="K133" s="22"/>
      <c r="L133" s="22">
        <f>Source!U84</f>
        <v>18.422999999999998</v>
      </c>
    </row>
    <row r="134" spans="1:22" ht="15" x14ac:dyDescent="0.25">
      <c r="A134" s="27"/>
      <c r="B134" s="27"/>
      <c r="C134" s="27"/>
      <c r="D134" s="27"/>
      <c r="E134" s="27"/>
      <c r="F134" s="27"/>
      <c r="G134" s="27"/>
      <c r="H134" s="27"/>
      <c r="I134" s="27"/>
      <c r="J134" s="60">
        <f>K130+K131+K132</f>
        <v>19742.97</v>
      </c>
      <c r="K134" s="60"/>
      <c r="L134" s="28">
        <f>IF(Source!I84&lt;&gt;0, ROUND(J134/Source!I84, 2), 0)</f>
        <v>28613</v>
      </c>
      <c r="P134" s="25">
        <f>J134</f>
        <v>19742.97</v>
      </c>
    </row>
    <row r="135" spans="1:22" ht="14.25" x14ac:dyDescent="0.2">
      <c r="A135" s="19">
        <v>10</v>
      </c>
      <c r="B135" s="19">
        <v>10</v>
      </c>
      <c r="C135" s="19" t="str">
        <f>Source!F85</f>
        <v>1.16-2203-1-1/1</v>
      </c>
      <c r="D135" s="19" t="str">
        <f>Source!G85</f>
        <v>Прочистка сифонов</v>
      </c>
      <c r="E135" s="20" t="str">
        <f>Source!H85</f>
        <v>100 шт.</v>
      </c>
      <c r="F135" s="9">
        <f>Source!I85</f>
        <v>0.72</v>
      </c>
      <c r="G135" s="22"/>
      <c r="H135" s="21"/>
      <c r="I135" s="9"/>
      <c r="J135" s="9"/>
      <c r="K135" s="22"/>
      <c r="L135" s="22"/>
      <c r="Q135">
        <f>ROUND((Source!BZ85/100)*ROUND((Source!AF85*Source!AV85)*Source!I85, 2), 2)</f>
        <v>28631.11</v>
      </c>
      <c r="R135">
        <f>Source!X85</f>
        <v>28631.11</v>
      </c>
      <c r="S135">
        <f>ROUND((Source!CA85/100)*ROUND((Source!AF85*Source!AV85)*Source!I85, 2), 2)</f>
        <v>4090.16</v>
      </c>
      <c r="T135">
        <f>Source!Y85</f>
        <v>4090.16</v>
      </c>
      <c r="U135">
        <f>ROUND((175/100)*ROUND((Source!AE85*Source!AV85)*Source!I85, 2), 2)</f>
        <v>0</v>
      </c>
      <c r="V135">
        <f>ROUND((108/100)*ROUND(Source!CS85*Source!I85, 2), 2)</f>
        <v>0</v>
      </c>
    </row>
    <row r="136" spans="1:22" x14ac:dyDescent="0.2">
      <c r="D136" s="23" t="str">
        <f>"Объем: "&amp;Source!I85&amp;"=(23+"&amp;"1)*"&amp;"3/"&amp;"100"</f>
        <v>Объем: 0,72=(23+1)*3/100</v>
      </c>
    </row>
    <row r="137" spans="1:22" ht="14.25" x14ac:dyDescent="0.2">
      <c r="A137" s="19"/>
      <c r="B137" s="19"/>
      <c r="C137" s="19"/>
      <c r="D137" s="19" t="s">
        <v>825</v>
      </c>
      <c r="E137" s="20"/>
      <c r="F137" s="9"/>
      <c r="G137" s="22">
        <f>Source!AO85</f>
        <v>14201.94</v>
      </c>
      <c r="H137" s="21" t="str">
        <f>Source!DG85</f>
        <v>)*4</v>
      </c>
      <c r="I137" s="9">
        <f>Source!AV85</f>
        <v>1</v>
      </c>
      <c r="J137" s="9">
        <f>IF(Source!BA85&lt;&gt; 0, Source!BA85, 1)</f>
        <v>1</v>
      </c>
      <c r="K137" s="22">
        <f>Source!S85</f>
        <v>40901.589999999997</v>
      </c>
      <c r="L137" s="22"/>
    </row>
    <row r="138" spans="1:22" ht="14.25" x14ac:dyDescent="0.2">
      <c r="A138" s="19"/>
      <c r="B138" s="19"/>
      <c r="C138" s="19"/>
      <c r="D138" s="19" t="s">
        <v>834</v>
      </c>
      <c r="E138" s="20"/>
      <c r="F138" s="9"/>
      <c r="G138" s="22">
        <f>Source!AL85</f>
        <v>243.57</v>
      </c>
      <c r="H138" s="21" t="str">
        <f>Source!DD85</f>
        <v>)*4</v>
      </c>
      <c r="I138" s="9">
        <f>Source!AW85</f>
        <v>1</v>
      </c>
      <c r="J138" s="9">
        <f>IF(Source!BC85&lt;&gt; 0, Source!BC85, 1)</f>
        <v>1</v>
      </c>
      <c r="K138" s="22">
        <f>Source!P85</f>
        <v>701.48</v>
      </c>
      <c r="L138" s="22"/>
    </row>
    <row r="139" spans="1:22" ht="14.25" x14ac:dyDescent="0.2">
      <c r="A139" s="19"/>
      <c r="B139" s="19"/>
      <c r="C139" s="19"/>
      <c r="D139" s="19" t="s">
        <v>828</v>
      </c>
      <c r="E139" s="20" t="s">
        <v>829</v>
      </c>
      <c r="F139" s="9">
        <f>Source!AT85</f>
        <v>70</v>
      </c>
      <c r="G139" s="22"/>
      <c r="H139" s="21"/>
      <c r="I139" s="9"/>
      <c r="J139" s="9"/>
      <c r="K139" s="22">
        <f>SUM(R135:R138)</f>
        <v>28631.11</v>
      </c>
      <c r="L139" s="22"/>
    </row>
    <row r="140" spans="1:22" ht="14.25" x14ac:dyDescent="0.2">
      <c r="A140" s="19"/>
      <c r="B140" s="19"/>
      <c r="C140" s="19"/>
      <c r="D140" s="19" t="s">
        <v>830</v>
      </c>
      <c r="E140" s="20" t="s">
        <v>829</v>
      </c>
      <c r="F140" s="9">
        <f>Source!AU85</f>
        <v>10</v>
      </c>
      <c r="G140" s="22"/>
      <c r="H140" s="21"/>
      <c r="I140" s="9"/>
      <c r="J140" s="9"/>
      <c r="K140" s="22">
        <f>SUM(T135:T139)</f>
        <v>4090.16</v>
      </c>
      <c r="L140" s="22"/>
    </row>
    <row r="141" spans="1:22" ht="14.25" x14ac:dyDescent="0.2">
      <c r="A141" s="19"/>
      <c r="B141" s="19"/>
      <c r="C141" s="19"/>
      <c r="D141" s="19" t="s">
        <v>832</v>
      </c>
      <c r="E141" s="20" t="s">
        <v>833</v>
      </c>
      <c r="F141" s="9">
        <f>Source!AQ85</f>
        <v>28.02</v>
      </c>
      <c r="G141" s="22"/>
      <c r="H141" s="21" t="str">
        <f>Source!DI85</f>
        <v>)*4</v>
      </c>
      <c r="I141" s="9">
        <f>Source!AV85</f>
        <v>1</v>
      </c>
      <c r="J141" s="9"/>
      <c r="K141" s="22"/>
      <c r="L141" s="22">
        <f>Source!U85</f>
        <v>80.697599999999994</v>
      </c>
    </row>
    <row r="142" spans="1:22" ht="15" x14ac:dyDescent="0.25">
      <c r="A142" s="27"/>
      <c r="B142" s="27"/>
      <c r="C142" s="27"/>
      <c r="D142" s="27"/>
      <c r="E142" s="27"/>
      <c r="F142" s="27"/>
      <c r="G142" s="27"/>
      <c r="H142" s="27"/>
      <c r="I142" s="27"/>
      <c r="J142" s="60">
        <f>K137+K138+K139+K140</f>
        <v>74324.34</v>
      </c>
      <c r="K142" s="60"/>
      <c r="L142" s="28">
        <f>IF(Source!I85&lt;&gt;0, ROUND(J142/Source!I85, 2), 0)</f>
        <v>103228.25</v>
      </c>
      <c r="P142" s="25">
        <f>J142</f>
        <v>74324.34</v>
      </c>
    </row>
    <row r="144" spans="1:22" ht="15" x14ac:dyDescent="0.25">
      <c r="C144" s="56" t="str">
        <f>Source!G87</f>
        <v>Корпус 7.2.4</v>
      </c>
      <c r="D144" s="56"/>
      <c r="E144" s="56"/>
      <c r="F144" s="56"/>
      <c r="G144" s="56"/>
      <c r="H144" s="56"/>
      <c r="I144" s="56"/>
      <c r="J144" s="56"/>
      <c r="K144" s="56"/>
    </row>
    <row r="145" spans="1:22" ht="28.5" x14ac:dyDescent="0.2">
      <c r="A145" s="19">
        <v>11</v>
      </c>
      <c r="B145" s="19">
        <v>11</v>
      </c>
      <c r="C145" s="19" t="str">
        <f>Source!F91</f>
        <v>1.16-3201-2-1/1</v>
      </c>
      <c r="D145" s="19" t="str">
        <f>Source!G91</f>
        <v>Укрепление расшатавшихся санитарно-технических приборов - умывальники</v>
      </c>
      <c r="E145" s="20" t="str">
        <f>Source!H91</f>
        <v>100 шт.</v>
      </c>
      <c r="F145" s="9">
        <f>Source!I91</f>
        <v>0.18</v>
      </c>
      <c r="G145" s="22"/>
      <c r="H145" s="21"/>
      <c r="I145" s="9"/>
      <c r="J145" s="9"/>
      <c r="K145" s="22"/>
      <c r="L145" s="22"/>
      <c r="Q145">
        <f>ROUND((Source!BZ91/100)*ROUND((Source!AF91*Source!AV91)*Source!I91, 2), 2)</f>
        <v>6669.86</v>
      </c>
      <c r="R145">
        <f>Source!X91</f>
        <v>6669.86</v>
      </c>
      <c r="S145">
        <f>ROUND((Source!CA91/100)*ROUND((Source!AF91*Source!AV91)*Source!I91, 2), 2)</f>
        <v>952.84</v>
      </c>
      <c r="T145">
        <f>Source!Y91</f>
        <v>952.84</v>
      </c>
      <c r="U145">
        <f>ROUND((175/100)*ROUND((Source!AE91*Source!AV91)*Source!I91, 2), 2)</f>
        <v>0.23</v>
      </c>
      <c r="V145">
        <f>ROUND((108/100)*ROUND(Source!CS91*Source!I91, 2), 2)</f>
        <v>0.14000000000000001</v>
      </c>
    </row>
    <row r="146" spans="1:22" x14ac:dyDescent="0.2">
      <c r="D146" s="23" t="str">
        <f>"Объем: "&amp;Source!I91&amp;"=18/"&amp;"100"</f>
        <v>Объем: 0,18=18/100</v>
      </c>
    </row>
    <row r="147" spans="1:22" ht="14.25" x14ac:dyDescent="0.2">
      <c r="A147" s="19"/>
      <c r="B147" s="19"/>
      <c r="C147" s="19"/>
      <c r="D147" s="19" t="s">
        <v>825</v>
      </c>
      <c r="E147" s="20"/>
      <c r="F147" s="9"/>
      <c r="G147" s="22">
        <f>Source!AO91</f>
        <v>52935.41</v>
      </c>
      <c r="H147" s="21" t="str">
        <f>Source!DG91</f>
        <v/>
      </c>
      <c r="I147" s="9">
        <f>Source!AV91</f>
        <v>1</v>
      </c>
      <c r="J147" s="9">
        <f>IF(Source!BA91&lt;&gt; 0, Source!BA91, 1)</f>
        <v>1</v>
      </c>
      <c r="K147" s="22">
        <f>Source!S91</f>
        <v>9528.3700000000008</v>
      </c>
      <c r="L147" s="22"/>
    </row>
    <row r="148" spans="1:22" ht="14.25" x14ac:dyDescent="0.2">
      <c r="A148" s="19"/>
      <c r="B148" s="19"/>
      <c r="C148" s="19"/>
      <c r="D148" s="19" t="s">
        <v>826</v>
      </c>
      <c r="E148" s="20"/>
      <c r="F148" s="9"/>
      <c r="G148" s="22">
        <f>Source!AM91</f>
        <v>61.83</v>
      </c>
      <c r="H148" s="21" t="str">
        <f>Source!DE91</f>
        <v/>
      </c>
      <c r="I148" s="9">
        <f>Source!AV91</f>
        <v>1</v>
      </c>
      <c r="J148" s="9">
        <f>IF(Source!BB91&lt;&gt; 0, Source!BB91, 1)</f>
        <v>1</v>
      </c>
      <c r="K148" s="22">
        <f>Source!Q91</f>
        <v>11.13</v>
      </c>
      <c r="L148" s="22"/>
    </row>
    <row r="149" spans="1:22" ht="14.25" x14ac:dyDescent="0.2">
      <c r="A149" s="19"/>
      <c r="B149" s="19"/>
      <c r="C149" s="19"/>
      <c r="D149" s="19" t="s">
        <v>827</v>
      </c>
      <c r="E149" s="20"/>
      <c r="F149" s="9"/>
      <c r="G149" s="22">
        <f>Source!AN91</f>
        <v>0.7</v>
      </c>
      <c r="H149" s="21" t="str">
        <f>Source!DF91</f>
        <v/>
      </c>
      <c r="I149" s="9">
        <f>Source!AV91</f>
        <v>1</v>
      </c>
      <c r="J149" s="9">
        <f>IF(Source!BS91&lt;&gt; 0, Source!BS91, 1)</f>
        <v>1</v>
      </c>
      <c r="K149" s="24">
        <f>Source!R91</f>
        <v>0.13</v>
      </c>
      <c r="L149" s="22"/>
    </row>
    <row r="150" spans="1:22" ht="14.25" x14ac:dyDescent="0.2">
      <c r="A150" s="19"/>
      <c r="B150" s="19"/>
      <c r="C150" s="19"/>
      <c r="D150" s="19" t="s">
        <v>834</v>
      </c>
      <c r="E150" s="20"/>
      <c r="F150" s="9"/>
      <c r="G150" s="22">
        <f>Source!AL91</f>
        <v>776.55</v>
      </c>
      <c r="H150" s="21" t="str">
        <f>Source!DD91</f>
        <v/>
      </c>
      <c r="I150" s="9">
        <f>Source!AW91</f>
        <v>1</v>
      </c>
      <c r="J150" s="9">
        <f>IF(Source!BC91&lt;&gt; 0, Source!BC91, 1)</f>
        <v>1</v>
      </c>
      <c r="K150" s="22">
        <f>Source!P91</f>
        <v>139.78</v>
      </c>
      <c r="L150" s="22"/>
    </row>
    <row r="151" spans="1:22" ht="14.25" x14ac:dyDescent="0.2">
      <c r="A151" s="19"/>
      <c r="B151" s="19"/>
      <c r="C151" s="19"/>
      <c r="D151" s="19" t="s">
        <v>828</v>
      </c>
      <c r="E151" s="20" t="s">
        <v>829</v>
      </c>
      <c r="F151" s="9">
        <f>Source!AT91</f>
        <v>70</v>
      </c>
      <c r="G151" s="22"/>
      <c r="H151" s="21"/>
      <c r="I151" s="9"/>
      <c r="J151" s="9"/>
      <c r="K151" s="22">
        <f>SUM(R145:R150)</f>
        <v>6669.86</v>
      </c>
      <c r="L151" s="22"/>
    </row>
    <row r="152" spans="1:22" ht="14.25" x14ac:dyDescent="0.2">
      <c r="A152" s="19"/>
      <c r="B152" s="19"/>
      <c r="C152" s="19"/>
      <c r="D152" s="19" t="s">
        <v>830</v>
      </c>
      <c r="E152" s="20" t="s">
        <v>829</v>
      </c>
      <c r="F152" s="9">
        <f>Source!AU91</f>
        <v>10</v>
      </c>
      <c r="G152" s="22"/>
      <c r="H152" s="21"/>
      <c r="I152" s="9"/>
      <c r="J152" s="9"/>
      <c r="K152" s="22">
        <f>SUM(T145:T151)</f>
        <v>952.84</v>
      </c>
      <c r="L152" s="22"/>
    </row>
    <row r="153" spans="1:22" ht="14.25" x14ac:dyDescent="0.2">
      <c r="A153" s="19"/>
      <c r="B153" s="19"/>
      <c r="C153" s="19"/>
      <c r="D153" s="19" t="s">
        <v>831</v>
      </c>
      <c r="E153" s="20" t="s">
        <v>829</v>
      </c>
      <c r="F153" s="9">
        <f>108</f>
        <v>108</v>
      </c>
      <c r="G153" s="22"/>
      <c r="H153" s="21"/>
      <c r="I153" s="9"/>
      <c r="J153" s="9"/>
      <c r="K153" s="22">
        <f>SUM(V145:V152)</f>
        <v>0.14000000000000001</v>
      </c>
      <c r="L153" s="22"/>
    </row>
    <row r="154" spans="1:22" ht="14.25" x14ac:dyDescent="0.2">
      <c r="A154" s="19"/>
      <c r="B154" s="19"/>
      <c r="C154" s="19"/>
      <c r="D154" s="19" t="s">
        <v>832</v>
      </c>
      <c r="E154" s="20" t="s">
        <v>833</v>
      </c>
      <c r="F154" s="9">
        <f>Source!AQ91</f>
        <v>104.44</v>
      </c>
      <c r="G154" s="22"/>
      <c r="H154" s="21" t="str">
        <f>Source!DI91</f>
        <v/>
      </c>
      <c r="I154" s="9">
        <f>Source!AV91</f>
        <v>1</v>
      </c>
      <c r="J154" s="9"/>
      <c r="K154" s="22"/>
      <c r="L154" s="22">
        <f>Source!U91</f>
        <v>18.799199999999999</v>
      </c>
    </row>
    <row r="155" spans="1:22" ht="15" x14ac:dyDescent="0.25">
      <c r="A155" s="27"/>
      <c r="B155" s="27"/>
      <c r="C155" s="27"/>
      <c r="D155" s="27"/>
      <c r="E155" s="27"/>
      <c r="F155" s="27"/>
      <c r="G155" s="27"/>
      <c r="H155" s="27"/>
      <c r="I155" s="27"/>
      <c r="J155" s="60">
        <f>K147+K148+K150+K151+K152+K153</f>
        <v>17302.12</v>
      </c>
      <c r="K155" s="60"/>
      <c r="L155" s="28">
        <f>IF(Source!I91&lt;&gt;0, ROUND(J155/Source!I91, 2), 0)</f>
        <v>96122.89</v>
      </c>
      <c r="P155" s="25">
        <f>J155</f>
        <v>17302.12</v>
      </c>
    </row>
    <row r="156" spans="1:22" ht="28.5" x14ac:dyDescent="0.2">
      <c r="A156" s="19">
        <v>12</v>
      </c>
      <c r="B156" s="19">
        <v>12</v>
      </c>
      <c r="C156" s="19" t="str">
        <f>Source!F92</f>
        <v>1.16-3201-2-2/1</v>
      </c>
      <c r="D156" s="19" t="str">
        <f>Source!G92</f>
        <v>Укрепление расшатавшихся санитарно-технических приборов - унитазы и биде</v>
      </c>
      <c r="E156" s="20" t="str">
        <f>Source!H92</f>
        <v>100 шт.</v>
      </c>
      <c r="F156" s="9">
        <f>Source!I92</f>
        <v>0.16</v>
      </c>
      <c r="G156" s="22"/>
      <c r="H156" s="21"/>
      <c r="I156" s="9"/>
      <c r="J156" s="9"/>
      <c r="K156" s="22"/>
      <c r="L156" s="22"/>
      <c r="Q156">
        <f>ROUND((Source!BZ92/100)*ROUND((Source!AF92*Source!AV92)*Source!I92, 2), 2)</f>
        <v>8624.64</v>
      </c>
      <c r="R156">
        <f>Source!X92</f>
        <v>8624.64</v>
      </c>
      <c r="S156">
        <f>ROUND((Source!CA92/100)*ROUND((Source!AF92*Source!AV92)*Source!I92, 2), 2)</f>
        <v>1232.0899999999999</v>
      </c>
      <c r="T156">
        <f>Source!Y92</f>
        <v>1232.0899999999999</v>
      </c>
      <c r="U156">
        <f>ROUND((175/100)*ROUND((Source!AE92*Source!AV92)*Source!I92, 2), 2)</f>
        <v>0.19</v>
      </c>
      <c r="V156">
        <f>ROUND((108/100)*ROUND(Source!CS92*Source!I92, 2), 2)</f>
        <v>0.12</v>
      </c>
    </row>
    <row r="157" spans="1:22" x14ac:dyDescent="0.2">
      <c r="D157" s="23" t="str">
        <f>"Объем: "&amp;Source!I92&amp;"=16/"&amp;"100"</f>
        <v>Объем: 0,16=16/100</v>
      </c>
    </row>
    <row r="158" spans="1:22" ht="14.25" x14ac:dyDescent="0.2">
      <c r="A158" s="19"/>
      <c r="B158" s="19"/>
      <c r="C158" s="19"/>
      <c r="D158" s="19" t="s">
        <v>825</v>
      </c>
      <c r="E158" s="20"/>
      <c r="F158" s="9"/>
      <c r="G158" s="22">
        <f>Source!AO92</f>
        <v>77005.72</v>
      </c>
      <c r="H158" s="21" t="str">
        <f>Source!DG92</f>
        <v/>
      </c>
      <c r="I158" s="9">
        <f>Source!AV92</f>
        <v>1</v>
      </c>
      <c r="J158" s="9">
        <f>IF(Source!BA92&lt;&gt; 0, Source!BA92, 1)</f>
        <v>1</v>
      </c>
      <c r="K158" s="22">
        <f>Source!S92</f>
        <v>12320.92</v>
      </c>
      <c r="L158" s="22"/>
    </row>
    <row r="159" spans="1:22" ht="14.25" x14ac:dyDescent="0.2">
      <c r="A159" s="19"/>
      <c r="B159" s="19"/>
      <c r="C159" s="19"/>
      <c r="D159" s="19" t="s">
        <v>826</v>
      </c>
      <c r="E159" s="20"/>
      <c r="F159" s="9"/>
      <c r="G159" s="22">
        <f>Source!AM92</f>
        <v>61.83</v>
      </c>
      <c r="H159" s="21" t="str">
        <f>Source!DE92</f>
        <v/>
      </c>
      <c r="I159" s="9">
        <f>Source!AV92</f>
        <v>1</v>
      </c>
      <c r="J159" s="9">
        <f>IF(Source!BB92&lt;&gt; 0, Source!BB92, 1)</f>
        <v>1</v>
      </c>
      <c r="K159" s="22">
        <f>Source!Q92</f>
        <v>9.89</v>
      </c>
      <c r="L159" s="22"/>
    </row>
    <row r="160" spans="1:22" ht="14.25" x14ac:dyDescent="0.2">
      <c r="A160" s="19"/>
      <c r="B160" s="19"/>
      <c r="C160" s="19"/>
      <c r="D160" s="19" t="s">
        <v>827</v>
      </c>
      <c r="E160" s="20"/>
      <c r="F160" s="9"/>
      <c r="G160" s="22">
        <f>Source!AN92</f>
        <v>0.7</v>
      </c>
      <c r="H160" s="21" t="str">
        <f>Source!DF92</f>
        <v/>
      </c>
      <c r="I160" s="9">
        <f>Source!AV92</f>
        <v>1</v>
      </c>
      <c r="J160" s="9">
        <f>IF(Source!BS92&lt;&gt; 0, Source!BS92, 1)</f>
        <v>1</v>
      </c>
      <c r="K160" s="24">
        <f>Source!R92</f>
        <v>0.11</v>
      </c>
      <c r="L160" s="22"/>
    </row>
    <row r="161" spans="1:22" ht="14.25" x14ac:dyDescent="0.2">
      <c r="A161" s="19"/>
      <c r="B161" s="19"/>
      <c r="C161" s="19"/>
      <c r="D161" s="19" t="s">
        <v>834</v>
      </c>
      <c r="E161" s="20"/>
      <c r="F161" s="9"/>
      <c r="G161" s="22">
        <f>Source!AL92</f>
        <v>776.55</v>
      </c>
      <c r="H161" s="21" t="str">
        <f>Source!DD92</f>
        <v/>
      </c>
      <c r="I161" s="9">
        <f>Source!AW92</f>
        <v>1</v>
      </c>
      <c r="J161" s="9">
        <f>IF(Source!BC92&lt;&gt; 0, Source!BC92, 1)</f>
        <v>1</v>
      </c>
      <c r="K161" s="22">
        <f>Source!P92</f>
        <v>124.25</v>
      </c>
      <c r="L161" s="22"/>
    </row>
    <row r="162" spans="1:22" ht="14.25" x14ac:dyDescent="0.2">
      <c r="A162" s="19"/>
      <c r="B162" s="19"/>
      <c r="C162" s="19"/>
      <c r="D162" s="19" t="s">
        <v>828</v>
      </c>
      <c r="E162" s="20" t="s">
        <v>829</v>
      </c>
      <c r="F162" s="9">
        <f>Source!AT92</f>
        <v>70</v>
      </c>
      <c r="G162" s="22"/>
      <c r="H162" s="21"/>
      <c r="I162" s="9"/>
      <c r="J162" s="9"/>
      <c r="K162" s="22">
        <f>SUM(R156:R161)</f>
        <v>8624.64</v>
      </c>
      <c r="L162" s="22"/>
    </row>
    <row r="163" spans="1:22" ht="14.25" x14ac:dyDescent="0.2">
      <c r="A163" s="19"/>
      <c r="B163" s="19"/>
      <c r="C163" s="19"/>
      <c r="D163" s="19" t="s">
        <v>830</v>
      </c>
      <c r="E163" s="20" t="s">
        <v>829</v>
      </c>
      <c r="F163" s="9">
        <f>Source!AU92</f>
        <v>10</v>
      </c>
      <c r="G163" s="22"/>
      <c r="H163" s="21"/>
      <c r="I163" s="9"/>
      <c r="J163" s="9"/>
      <c r="K163" s="22">
        <f>SUM(T156:T162)</f>
        <v>1232.0899999999999</v>
      </c>
      <c r="L163" s="22"/>
    </row>
    <row r="164" spans="1:22" ht="14.25" x14ac:dyDescent="0.2">
      <c r="A164" s="19"/>
      <c r="B164" s="19"/>
      <c r="C164" s="19"/>
      <c r="D164" s="19" t="s">
        <v>831</v>
      </c>
      <c r="E164" s="20" t="s">
        <v>829</v>
      </c>
      <c r="F164" s="9">
        <f>108</f>
        <v>108</v>
      </c>
      <c r="G164" s="22"/>
      <c r="H164" s="21"/>
      <c r="I164" s="9"/>
      <c r="J164" s="9"/>
      <c r="K164" s="22">
        <f>SUM(V156:V163)</f>
        <v>0.12</v>
      </c>
      <c r="L164" s="22"/>
    </row>
    <row r="165" spans="1:22" ht="14.25" x14ac:dyDescent="0.2">
      <c r="A165" s="19"/>
      <c r="B165" s="19"/>
      <c r="C165" s="19"/>
      <c r="D165" s="19" t="s">
        <v>832</v>
      </c>
      <c r="E165" s="20" t="s">
        <v>833</v>
      </c>
      <c r="F165" s="9">
        <f>Source!AQ92</f>
        <v>151.93</v>
      </c>
      <c r="G165" s="22"/>
      <c r="H165" s="21" t="str">
        <f>Source!DI92</f>
        <v/>
      </c>
      <c r="I165" s="9">
        <f>Source!AV92</f>
        <v>1</v>
      </c>
      <c r="J165" s="9"/>
      <c r="K165" s="22"/>
      <c r="L165" s="22">
        <f>Source!U92</f>
        <v>24.308800000000002</v>
      </c>
    </row>
    <row r="166" spans="1:22" ht="15" x14ac:dyDescent="0.25">
      <c r="A166" s="27"/>
      <c r="B166" s="27"/>
      <c r="C166" s="27"/>
      <c r="D166" s="27"/>
      <c r="E166" s="27"/>
      <c r="F166" s="27"/>
      <c r="G166" s="27"/>
      <c r="H166" s="27"/>
      <c r="I166" s="27"/>
      <c r="J166" s="60">
        <f>K158+K159+K161+K162+K163+K164</f>
        <v>22311.909999999996</v>
      </c>
      <c r="K166" s="60"/>
      <c r="L166" s="28">
        <f>IF(Source!I92&lt;&gt;0, ROUND(J166/Source!I92, 2), 0)</f>
        <v>139449.44</v>
      </c>
      <c r="P166" s="25">
        <f>J166</f>
        <v>22311.909999999996</v>
      </c>
    </row>
    <row r="167" spans="1:22" ht="57" x14ac:dyDescent="0.2">
      <c r="A167" s="19">
        <v>13</v>
      </c>
      <c r="B167" s="19">
        <v>13</v>
      </c>
      <c r="C167" s="19" t="str">
        <f>Source!F93</f>
        <v>1.23-2103-41-1/1</v>
      </c>
      <c r="D167" s="19" t="str">
        <f>Source!G93</f>
        <v>Техническое обслуживание регулирующего клапана / Смеситель для раковины, Смеситель медицинский</v>
      </c>
      <c r="E167" s="20" t="str">
        <f>Source!H93</f>
        <v>шт.</v>
      </c>
      <c r="F167" s="9">
        <f>Source!I93</f>
        <v>22</v>
      </c>
      <c r="G167" s="22"/>
      <c r="H167" s="21"/>
      <c r="I167" s="9"/>
      <c r="J167" s="9"/>
      <c r="K167" s="22"/>
      <c r="L167" s="22"/>
      <c r="Q167">
        <f>ROUND((Source!BZ93/100)*ROUND((Source!AF93*Source!AV93)*Source!I93, 2), 2)</f>
        <v>3203.2</v>
      </c>
      <c r="R167">
        <f>Source!X93</f>
        <v>3203.2</v>
      </c>
      <c r="S167">
        <f>ROUND((Source!CA93/100)*ROUND((Source!AF93*Source!AV93)*Source!I93, 2), 2)</f>
        <v>457.6</v>
      </c>
      <c r="T167">
        <f>Source!Y93</f>
        <v>457.6</v>
      </c>
      <c r="U167">
        <f>ROUND((175/100)*ROUND((Source!AE93*Source!AV93)*Source!I93, 2), 2)</f>
        <v>1908.45</v>
      </c>
      <c r="V167">
        <f>ROUND((108/100)*ROUND(Source!CS93*Source!I93, 2), 2)</f>
        <v>1177.78</v>
      </c>
    </row>
    <row r="168" spans="1:22" ht="14.25" x14ac:dyDescent="0.2">
      <c r="A168" s="19"/>
      <c r="B168" s="19"/>
      <c r="C168" s="19"/>
      <c r="D168" s="19" t="s">
        <v>825</v>
      </c>
      <c r="E168" s="20"/>
      <c r="F168" s="9"/>
      <c r="G168" s="22">
        <f>Source!AO93</f>
        <v>208</v>
      </c>
      <c r="H168" s="21" t="str">
        <f>Source!DG93</f>
        <v/>
      </c>
      <c r="I168" s="9">
        <f>Source!AV93</f>
        <v>1</v>
      </c>
      <c r="J168" s="9">
        <f>IF(Source!BA93&lt;&gt; 0, Source!BA93, 1)</f>
        <v>1</v>
      </c>
      <c r="K168" s="22">
        <f>Source!S93</f>
        <v>4576</v>
      </c>
      <c r="L168" s="22"/>
    </row>
    <row r="169" spans="1:22" ht="14.25" x14ac:dyDescent="0.2">
      <c r="A169" s="19"/>
      <c r="B169" s="19"/>
      <c r="C169" s="19"/>
      <c r="D169" s="19" t="s">
        <v>826</v>
      </c>
      <c r="E169" s="20"/>
      <c r="F169" s="9"/>
      <c r="G169" s="22">
        <f>Source!AM93</f>
        <v>78.180000000000007</v>
      </c>
      <c r="H169" s="21" t="str">
        <f>Source!DE93</f>
        <v/>
      </c>
      <c r="I169" s="9">
        <f>Source!AV93</f>
        <v>1</v>
      </c>
      <c r="J169" s="9">
        <f>IF(Source!BB93&lt;&gt; 0, Source!BB93, 1)</f>
        <v>1</v>
      </c>
      <c r="K169" s="22">
        <f>Source!Q93</f>
        <v>1719.96</v>
      </c>
      <c r="L169" s="22"/>
    </row>
    <row r="170" spans="1:22" ht="14.25" x14ac:dyDescent="0.2">
      <c r="A170" s="19"/>
      <c r="B170" s="19"/>
      <c r="C170" s="19"/>
      <c r="D170" s="19" t="s">
        <v>827</v>
      </c>
      <c r="E170" s="20"/>
      <c r="F170" s="9"/>
      <c r="G170" s="22">
        <f>Source!AN93</f>
        <v>49.57</v>
      </c>
      <c r="H170" s="21" t="str">
        <f>Source!DF93</f>
        <v/>
      </c>
      <c r="I170" s="9">
        <f>Source!AV93</f>
        <v>1</v>
      </c>
      <c r="J170" s="9">
        <f>IF(Source!BS93&lt;&gt; 0, Source!BS93, 1)</f>
        <v>1</v>
      </c>
      <c r="K170" s="24">
        <f>Source!R93</f>
        <v>1090.54</v>
      </c>
      <c r="L170" s="22"/>
    </row>
    <row r="171" spans="1:22" ht="14.25" x14ac:dyDescent="0.2">
      <c r="A171" s="19"/>
      <c r="B171" s="19"/>
      <c r="C171" s="19"/>
      <c r="D171" s="19" t="s">
        <v>828</v>
      </c>
      <c r="E171" s="20" t="s">
        <v>829</v>
      </c>
      <c r="F171" s="9">
        <f>Source!AT93</f>
        <v>70</v>
      </c>
      <c r="G171" s="22"/>
      <c r="H171" s="21"/>
      <c r="I171" s="9"/>
      <c r="J171" s="9"/>
      <c r="K171" s="22">
        <f>SUM(R167:R170)</f>
        <v>3203.2</v>
      </c>
      <c r="L171" s="22"/>
    </row>
    <row r="172" spans="1:22" ht="14.25" x14ac:dyDescent="0.2">
      <c r="A172" s="19"/>
      <c r="B172" s="19"/>
      <c r="C172" s="19"/>
      <c r="D172" s="19" t="s">
        <v>830</v>
      </c>
      <c r="E172" s="20" t="s">
        <v>829</v>
      </c>
      <c r="F172" s="9">
        <f>Source!AU93</f>
        <v>10</v>
      </c>
      <c r="G172" s="22"/>
      <c r="H172" s="21"/>
      <c r="I172" s="9"/>
      <c r="J172" s="9"/>
      <c r="K172" s="22">
        <f>SUM(T167:T171)</f>
        <v>457.6</v>
      </c>
      <c r="L172" s="22"/>
    </row>
    <row r="173" spans="1:22" ht="14.25" x14ac:dyDescent="0.2">
      <c r="A173" s="19"/>
      <c r="B173" s="19"/>
      <c r="C173" s="19"/>
      <c r="D173" s="19" t="s">
        <v>831</v>
      </c>
      <c r="E173" s="20" t="s">
        <v>829</v>
      </c>
      <c r="F173" s="9">
        <f>108</f>
        <v>108</v>
      </c>
      <c r="G173" s="22"/>
      <c r="H173" s="21"/>
      <c r="I173" s="9"/>
      <c r="J173" s="9"/>
      <c r="K173" s="22">
        <f>SUM(V167:V172)</f>
        <v>1177.78</v>
      </c>
      <c r="L173" s="22"/>
    </row>
    <row r="174" spans="1:22" ht="14.25" x14ac:dyDescent="0.2">
      <c r="A174" s="19"/>
      <c r="B174" s="19"/>
      <c r="C174" s="19"/>
      <c r="D174" s="19" t="s">
        <v>832</v>
      </c>
      <c r="E174" s="20" t="s">
        <v>833</v>
      </c>
      <c r="F174" s="9">
        <f>Source!AQ93</f>
        <v>0.37</v>
      </c>
      <c r="G174" s="22"/>
      <c r="H174" s="21" t="str">
        <f>Source!DI93</f>
        <v/>
      </c>
      <c r="I174" s="9">
        <f>Source!AV93</f>
        <v>1</v>
      </c>
      <c r="J174" s="9"/>
      <c r="K174" s="22"/>
      <c r="L174" s="22">
        <f>Source!U93</f>
        <v>8.14</v>
      </c>
    </row>
    <row r="175" spans="1:22" ht="15" x14ac:dyDescent="0.25">
      <c r="A175" s="27"/>
      <c r="B175" s="27"/>
      <c r="C175" s="27"/>
      <c r="D175" s="27"/>
      <c r="E175" s="27"/>
      <c r="F175" s="27"/>
      <c r="G175" s="27"/>
      <c r="H175" s="27"/>
      <c r="I175" s="27"/>
      <c r="J175" s="60">
        <f>K168+K169+K171+K172+K173</f>
        <v>11134.54</v>
      </c>
      <c r="K175" s="60"/>
      <c r="L175" s="28">
        <f>IF(Source!I93&lt;&gt;0, ROUND(J175/Source!I93, 2), 0)</f>
        <v>506.12</v>
      </c>
      <c r="P175" s="25">
        <f>J175</f>
        <v>11134.54</v>
      </c>
    </row>
    <row r="176" spans="1:22" ht="28.5" x14ac:dyDescent="0.2">
      <c r="A176" s="19">
        <v>14</v>
      </c>
      <c r="B176" s="19">
        <v>14</v>
      </c>
      <c r="C176" s="19" t="str">
        <f>Source!F94</f>
        <v>1.16-3201-1-1/1</v>
      </c>
      <c r="D176" s="19" t="str">
        <f>Source!G94</f>
        <v>Регулировка смывного бачка</v>
      </c>
      <c r="E176" s="20" t="str">
        <f>Source!H94</f>
        <v>100 приборов</v>
      </c>
      <c r="F176" s="9">
        <f>Source!I94</f>
        <v>0.16</v>
      </c>
      <c r="G176" s="22"/>
      <c r="H176" s="21"/>
      <c r="I176" s="9"/>
      <c r="J176" s="9"/>
      <c r="K176" s="22"/>
      <c r="L176" s="22"/>
      <c r="Q176">
        <f>ROUND((Source!BZ94/100)*ROUND((Source!AF94*Source!AV94)*Source!I94, 2), 2)</f>
        <v>1780.37</v>
      </c>
      <c r="R176">
        <f>Source!X94</f>
        <v>1780.37</v>
      </c>
      <c r="S176">
        <f>ROUND((Source!CA94/100)*ROUND((Source!AF94*Source!AV94)*Source!I94, 2), 2)</f>
        <v>254.34</v>
      </c>
      <c r="T176">
        <f>Source!Y94</f>
        <v>254.34</v>
      </c>
      <c r="U176">
        <f>ROUND((175/100)*ROUND((Source!AE94*Source!AV94)*Source!I94, 2), 2)</f>
        <v>0</v>
      </c>
      <c r="V176">
        <f>ROUND((108/100)*ROUND(Source!CS94*Source!I94, 2), 2)</f>
        <v>0</v>
      </c>
    </row>
    <row r="177" spans="1:22" x14ac:dyDescent="0.2">
      <c r="D177" s="23" t="str">
        <f>"Объем: "&amp;Source!I94&amp;"=16/"&amp;"100"</f>
        <v>Объем: 0,16=16/100</v>
      </c>
    </row>
    <row r="178" spans="1:22" ht="14.25" x14ac:dyDescent="0.2">
      <c r="A178" s="19"/>
      <c r="B178" s="19"/>
      <c r="C178" s="19"/>
      <c r="D178" s="19" t="s">
        <v>825</v>
      </c>
      <c r="E178" s="20"/>
      <c r="F178" s="9"/>
      <c r="G178" s="22">
        <f>Source!AO94</f>
        <v>15896.11</v>
      </c>
      <c r="H178" s="21" t="str">
        <f>Source!DG94</f>
        <v/>
      </c>
      <c r="I178" s="9">
        <f>Source!AV94</f>
        <v>1</v>
      </c>
      <c r="J178" s="9">
        <f>IF(Source!BA94&lt;&gt; 0, Source!BA94, 1)</f>
        <v>1</v>
      </c>
      <c r="K178" s="22">
        <f>Source!S94</f>
        <v>2543.38</v>
      </c>
      <c r="L178" s="22"/>
    </row>
    <row r="179" spans="1:22" ht="14.25" x14ac:dyDescent="0.2">
      <c r="A179" s="19"/>
      <c r="B179" s="19"/>
      <c r="C179" s="19"/>
      <c r="D179" s="19" t="s">
        <v>828</v>
      </c>
      <c r="E179" s="20" t="s">
        <v>829</v>
      </c>
      <c r="F179" s="9">
        <f>Source!AT94</f>
        <v>70</v>
      </c>
      <c r="G179" s="22"/>
      <c r="H179" s="21"/>
      <c r="I179" s="9"/>
      <c r="J179" s="9"/>
      <c r="K179" s="22">
        <f>SUM(R176:R178)</f>
        <v>1780.37</v>
      </c>
      <c r="L179" s="22"/>
    </row>
    <row r="180" spans="1:22" ht="14.25" x14ac:dyDescent="0.2">
      <c r="A180" s="19"/>
      <c r="B180" s="19"/>
      <c r="C180" s="19"/>
      <c r="D180" s="19" t="s">
        <v>830</v>
      </c>
      <c r="E180" s="20" t="s">
        <v>829</v>
      </c>
      <c r="F180" s="9">
        <f>Source!AU94</f>
        <v>10</v>
      </c>
      <c r="G180" s="22"/>
      <c r="H180" s="21"/>
      <c r="I180" s="9"/>
      <c r="J180" s="9"/>
      <c r="K180" s="22">
        <f>SUM(T176:T179)</f>
        <v>254.34</v>
      </c>
      <c r="L180" s="22"/>
    </row>
    <row r="181" spans="1:22" ht="14.25" x14ac:dyDescent="0.2">
      <c r="A181" s="19"/>
      <c r="B181" s="19"/>
      <c r="C181" s="19"/>
      <c r="D181" s="19" t="s">
        <v>832</v>
      </c>
      <c r="E181" s="20" t="s">
        <v>833</v>
      </c>
      <c r="F181" s="9">
        <f>Source!AQ94</f>
        <v>26.7</v>
      </c>
      <c r="G181" s="22"/>
      <c r="H181" s="21" t="str">
        <f>Source!DI94</f>
        <v/>
      </c>
      <c r="I181" s="9">
        <f>Source!AV94</f>
        <v>1</v>
      </c>
      <c r="J181" s="9"/>
      <c r="K181" s="22"/>
      <c r="L181" s="22">
        <f>Source!U94</f>
        <v>4.2720000000000002</v>
      </c>
    </row>
    <row r="182" spans="1:22" ht="15" x14ac:dyDescent="0.25">
      <c r="A182" s="27"/>
      <c r="B182" s="27"/>
      <c r="C182" s="27"/>
      <c r="D182" s="27"/>
      <c r="E182" s="27"/>
      <c r="F182" s="27"/>
      <c r="G182" s="27"/>
      <c r="H182" s="27"/>
      <c r="I182" s="27"/>
      <c r="J182" s="60">
        <f>K178+K179+K180</f>
        <v>4578.09</v>
      </c>
      <c r="K182" s="60"/>
      <c r="L182" s="28">
        <f>IF(Source!I94&lt;&gt;0, ROUND(J182/Source!I94, 2), 0)</f>
        <v>28613.06</v>
      </c>
      <c r="P182" s="25">
        <f>J182</f>
        <v>4578.09</v>
      </c>
    </row>
    <row r="183" spans="1:22" ht="14.25" x14ac:dyDescent="0.2">
      <c r="A183" s="19">
        <v>15</v>
      </c>
      <c r="B183" s="19">
        <v>15</v>
      </c>
      <c r="C183" s="19" t="str">
        <f>Source!F95</f>
        <v>1.16-2203-1-1/1</v>
      </c>
      <c r="D183" s="19" t="str">
        <f>Source!G95</f>
        <v>Прочистка сифонов</v>
      </c>
      <c r="E183" s="20" t="str">
        <f>Source!H95</f>
        <v>100 шт.</v>
      </c>
      <c r="F183" s="9">
        <f>Source!I95</f>
        <v>0.11</v>
      </c>
      <c r="G183" s="22"/>
      <c r="H183" s="21"/>
      <c r="I183" s="9"/>
      <c r="J183" s="9"/>
      <c r="K183" s="22"/>
      <c r="L183" s="22"/>
      <c r="Q183">
        <f>ROUND((Source!BZ95/100)*ROUND((Source!AF95*Source!AV95)*Source!I95, 2), 2)</f>
        <v>4374.2</v>
      </c>
      <c r="R183">
        <f>Source!X95</f>
        <v>4374.2</v>
      </c>
      <c r="S183">
        <f>ROUND((Source!CA95/100)*ROUND((Source!AF95*Source!AV95)*Source!I95, 2), 2)</f>
        <v>624.89</v>
      </c>
      <c r="T183">
        <f>Source!Y95</f>
        <v>624.89</v>
      </c>
      <c r="U183">
        <f>ROUND((175/100)*ROUND((Source!AE95*Source!AV95)*Source!I95, 2), 2)</f>
        <v>0</v>
      </c>
      <c r="V183">
        <f>ROUND((108/100)*ROUND(Source!CS95*Source!I95, 2), 2)</f>
        <v>0</v>
      </c>
    </row>
    <row r="184" spans="1:22" x14ac:dyDescent="0.2">
      <c r="D184" s="23" t="str">
        <f>"Объем: "&amp;Source!I95&amp;"=11/"&amp;"100"</f>
        <v>Объем: 0,11=11/100</v>
      </c>
    </row>
    <row r="185" spans="1:22" ht="14.25" x14ac:dyDescent="0.2">
      <c r="A185" s="19"/>
      <c r="B185" s="19"/>
      <c r="C185" s="19"/>
      <c r="D185" s="19" t="s">
        <v>825</v>
      </c>
      <c r="E185" s="20"/>
      <c r="F185" s="9"/>
      <c r="G185" s="22">
        <f>Source!AO95</f>
        <v>14201.94</v>
      </c>
      <c r="H185" s="21" t="str">
        <f>Source!DG95</f>
        <v>)*4</v>
      </c>
      <c r="I185" s="9">
        <f>Source!AV95</f>
        <v>1</v>
      </c>
      <c r="J185" s="9">
        <f>IF(Source!BA95&lt;&gt; 0, Source!BA95, 1)</f>
        <v>1</v>
      </c>
      <c r="K185" s="22">
        <f>Source!S95</f>
        <v>6248.85</v>
      </c>
      <c r="L185" s="22"/>
    </row>
    <row r="186" spans="1:22" ht="14.25" x14ac:dyDescent="0.2">
      <c r="A186" s="19"/>
      <c r="B186" s="19"/>
      <c r="C186" s="19"/>
      <c r="D186" s="19" t="s">
        <v>834</v>
      </c>
      <c r="E186" s="20"/>
      <c r="F186" s="9"/>
      <c r="G186" s="22">
        <f>Source!AL95</f>
        <v>243.57</v>
      </c>
      <c r="H186" s="21" t="str">
        <f>Source!DD95</f>
        <v>)*4</v>
      </c>
      <c r="I186" s="9">
        <f>Source!AW95</f>
        <v>1</v>
      </c>
      <c r="J186" s="9">
        <f>IF(Source!BC95&lt;&gt; 0, Source!BC95, 1)</f>
        <v>1</v>
      </c>
      <c r="K186" s="22">
        <f>Source!P95</f>
        <v>107.17</v>
      </c>
      <c r="L186" s="22"/>
    </row>
    <row r="187" spans="1:22" ht="14.25" x14ac:dyDescent="0.2">
      <c r="A187" s="19"/>
      <c r="B187" s="19"/>
      <c r="C187" s="19"/>
      <c r="D187" s="19" t="s">
        <v>828</v>
      </c>
      <c r="E187" s="20" t="s">
        <v>829</v>
      </c>
      <c r="F187" s="9">
        <f>Source!AT95</f>
        <v>70</v>
      </c>
      <c r="G187" s="22"/>
      <c r="H187" s="21"/>
      <c r="I187" s="9"/>
      <c r="J187" s="9"/>
      <c r="K187" s="22">
        <f>SUM(R183:R186)</f>
        <v>4374.2</v>
      </c>
      <c r="L187" s="22"/>
    </row>
    <row r="188" spans="1:22" ht="14.25" x14ac:dyDescent="0.2">
      <c r="A188" s="19"/>
      <c r="B188" s="19"/>
      <c r="C188" s="19"/>
      <c r="D188" s="19" t="s">
        <v>830</v>
      </c>
      <c r="E188" s="20" t="s">
        <v>829</v>
      </c>
      <c r="F188" s="9">
        <f>Source!AU95</f>
        <v>10</v>
      </c>
      <c r="G188" s="22"/>
      <c r="H188" s="21"/>
      <c r="I188" s="9"/>
      <c r="J188" s="9"/>
      <c r="K188" s="22">
        <f>SUM(T183:T187)</f>
        <v>624.89</v>
      </c>
      <c r="L188" s="22"/>
    </row>
    <row r="189" spans="1:22" ht="14.25" x14ac:dyDescent="0.2">
      <c r="A189" s="19"/>
      <c r="B189" s="19"/>
      <c r="C189" s="19"/>
      <c r="D189" s="19" t="s">
        <v>832</v>
      </c>
      <c r="E189" s="20" t="s">
        <v>833</v>
      </c>
      <c r="F189" s="9">
        <f>Source!AQ95</f>
        <v>28.02</v>
      </c>
      <c r="G189" s="22"/>
      <c r="H189" s="21" t="str">
        <f>Source!DI95</f>
        <v>)*4</v>
      </c>
      <c r="I189" s="9">
        <f>Source!AV95</f>
        <v>1</v>
      </c>
      <c r="J189" s="9"/>
      <c r="K189" s="22"/>
      <c r="L189" s="22">
        <f>Source!U95</f>
        <v>12.328799999999999</v>
      </c>
    </row>
    <row r="190" spans="1:22" ht="15" x14ac:dyDescent="0.25">
      <c r="A190" s="27"/>
      <c r="B190" s="27"/>
      <c r="C190" s="27"/>
      <c r="D190" s="27"/>
      <c r="E190" s="27"/>
      <c r="F190" s="27"/>
      <c r="G190" s="27"/>
      <c r="H190" s="27"/>
      <c r="I190" s="27"/>
      <c r="J190" s="60">
        <f>K185+K186+K187+K188</f>
        <v>11355.11</v>
      </c>
      <c r="K190" s="60"/>
      <c r="L190" s="28">
        <f>IF(Source!I95&lt;&gt;0, ROUND(J190/Source!I95, 2), 0)</f>
        <v>103228.27</v>
      </c>
      <c r="P190" s="25">
        <f>J190</f>
        <v>11355.11</v>
      </c>
    </row>
    <row r="192" spans="1:22" ht="15" x14ac:dyDescent="0.25">
      <c r="A192" s="59" t="str">
        <f>CONCATENATE("Итого по подразделу: ",IF(Source!G97&lt;&gt;"Новый подраздел", Source!G97, ""))</f>
        <v>Итого по подразделу: Сантехника</v>
      </c>
      <c r="B192" s="59"/>
      <c r="C192" s="59"/>
      <c r="D192" s="59"/>
      <c r="E192" s="59"/>
      <c r="F192" s="59"/>
      <c r="G192" s="59"/>
      <c r="H192" s="59"/>
      <c r="I192" s="59"/>
      <c r="J192" s="57">
        <f>SUM(P93:P191)</f>
        <v>366801.47</v>
      </c>
      <c r="K192" s="58"/>
      <c r="L192" s="18"/>
    </row>
    <row r="194" spans="1:12" hidden="1" x14ac:dyDescent="0.2"/>
    <row r="195" spans="1:12" ht="16.5" hidden="1" x14ac:dyDescent="0.25">
      <c r="A195" s="55" t="str">
        <f>CONCATENATE("Подраздел: ",IF(Source!G127&lt;&gt;"Новый подраздел", Source!G127, ""))</f>
        <v>Подраздел: Канализация</v>
      </c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</row>
    <row r="196" spans="1:12" hidden="1" x14ac:dyDescent="0.2"/>
    <row r="197" spans="1:12" ht="15" hidden="1" x14ac:dyDescent="0.25">
      <c r="C197" s="56" t="str">
        <f>Source!G131</f>
        <v>Корпуса 7.2.1, 7.2.2, 7.2.3</v>
      </c>
      <c r="D197" s="56"/>
      <c r="E197" s="56"/>
      <c r="F197" s="56"/>
      <c r="G197" s="56"/>
      <c r="H197" s="56"/>
      <c r="I197" s="56"/>
      <c r="J197" s="56"/>
      <c r="K197" s="56"/>
    </row>
    <row r="198" spans="1:12" hidden="1" x14ac:dyDescent="0.2"/>
    <row r="199" spans="1:12" ht="15" hidden="1" x14ac:dyDescent="0.25">
      <c r="C199" s="56" t="str">
        <f>Source!G136</f>
        <v>Корпус 7.2.4</v>
      </c>
      <c r="D199" s="56"/>
      <c r="E199" s="56"/>
      <c r="F199" s="56"/>
      <c r="G199" s="56"/>
      <c r="H199" s="56"/>
      <c r="I199" s="56"/>
      <c r="J199" s="56"/>
      <c r="K199" s="56"/>
    </row>
    <row r="200" spans="1:12" hidden="1" x14ac:dyDescent="0.2"/>
    <row r="201" spans="1:12" ht="15" hidden="1" x14ac:dyDescent="0.25">
      <c r="A201" s="59" t="str">
        <f>CONCATENATE("Итого по подразделу: ",IF(Source!G142&lt;&gt;"Новый подраздел", Source!G142, ""))</f>
        <v>Итого по подразделу: Канализация</v>
      </c>
      <c r="B201" s="59"/>
      <c r="C201" s="59"/>
      <c r="D201" s="59"/>
      <c r="E201" s="59"/>
      <c r="F201" s="59"/>
      <c r="G201" s="59"/>
      <c r="H201" s="59"/>
      <c r="I201" s="59"/>
      <c r="J201" s="57">
        <f>SUM(P195:P200)</f>
        <v>0</v>
      </c>
      <c r="K201" s="58"/>
      <c r="L201" s="18"/>
    </row>
    <row r="204" spans="1:12" ht="15" x14ac:dyDescent="0.25">
      <c r="A204" s="59" t="str">
        <f>CONCATENATE("Итого по разделу: ",IF(Source!G172&lt;&gt;"Новый раздел", Source!G172, ""))</f>
        <v>Итого по разделу: 1.Водоснабжение и водоотведение</v>
      </c>
      <c r="B204" s="59"/>
      <c r="C204" s="59"/>
      <c r="D204" s="59"/>
      <c r="E204" s="59"/>
      <c r="F204" s="59"/>
      <c r="G204" s="59"/>
      <c r="H204" s="59"/>
      <c r="I204" s="59"/>
      <c r="J204" s="57">
        <f>SUM(P40:P203)</f>
        <v>612811.67000000004</v>
      </c>
      <c r="K204" s="58"/>
      <c r="L204" s="18"/>
    </row>
    <row r="207" spans="1:12" ht="16.5" x14ac:dyDescent="0.25">
      <c r="A207" s="55" t="str">
        <f>CONCATENATE("Раздел: ",IF(Source!G202&lt;&gt;"Новый раздел", Source!G202, ""))</f>
        <v>Раздел: 2. Внутренние сети отопления и ИТП</v>
      </c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</row>
    <row r="209" spans="1:22" ht="16.5" x14ac:dyDescent="0.25">
      <c r="A209" s="55" t="str">
        <f>CONCATENATE("Подраздел: ",IF(Source!G206&lt;&gt;"Новый подраздел", Source!G206, ""))</f>
        <v>Подраздел: Индивидуальный тепловой пункт</v>
      </c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</row>
    <row r="211" spans="1:22" ht="15" x14ac:dyDescent="0.25">
      <c r="C211" s="56" t="str">
        <f>Source!G210</f>
        <v>Тепломеханические решения</v>
      </c>
      <c r="D211" s="56"/>
      <c r="E211" s="56"/>
      <c r="F211" s="56"/>
      <c r="G211" s="56"/>
      <c r="H211" s="56"/>
      <c r="I211" s="56"/>
      <c r="J211" s="56"/>
      <c r="K211" s="56"/>
    </row>
    <row r="213" spans="1:22" ht="15" x14ac:dyDescent="0.25">
      <c r="C213" s="56" t="str">
        <f>Source!G211</f>
        <v>Корпуса 7.2.1, 7.2.2,7.2.3,7.2.4</v>
      </c>
      <c r="D213" s="56"/>
      <c r="E213" s="56"/>
      <c r="F213" s="56"/>
      <c r="G213" s="56"/>
      <c r="H213" s="56"/>
      <c r="I213" s="56"/>
      <c r="J213" s="56"/>
      <c r="K213" s="56"/>
    </row>
    <row r="214" spans="1:22" ht="42.75" x14ac:dyDescent="0.2">
      <c r="A214" s="19">
        <v>16</v>
      </c>
      <c r="B214" s="19">
        <v>16</v>
      </c>
      <c r="C214" s="19" t="str">
        <f>Source!F214</f>
        <v>1.23-2103-41-1/1</v>
      </c>
      <c r="D214" s="19" t="str">
        <f>Source!G214</f>
        <v>Техническое обслуживание регулирующего клапана/ Клапан 2хход c приводом</v>
      </c>
      <c r="E214" s="20" t="str">
        <f>Source!H214</f>
        <v>шт.</v>
      </c>
      <c r="F214" s="9">
        <f>Source!I214</f>
        <v>12</v>
      </c>
      <c r="G214" s="22"/>
      <c r="H214" s="21"/>
      <c r="I214" s="9"/>
      <c r="J214" s="9"/>
      <c r="K214" s="22"/>
      <c r="L214" s="22"/>
      <c r="Q214">
        <f>ROUND((Source!BZ214/100)*ROUND((Source!AF214*Source!AV214)*Source!I214, 2), 2)</f>
        <v>3494.4</v>
      </c>
      <c r="R214">
        <f>Source!X214</f>
        <v>3494.4</v>
      </c>
      <c r="S214">
        <f>ROUND((Source!CA214/100)*ROUND((Source!AF214*Source!AV214)*Source!I214, 2), 2)</f>
        <v>499.2</v>
      </c>
      <c r="T214">
        <f>Source!Y214</f>
        <v>499.2</v>
      </c>
      <c r="U214">
        <f>ROUND((175/100)*ROUND((Source!AE214*Source!AV214)*Source!I214, 2), 2)</f>
        <v>2081.94</v>
      </c>
      <c r="V214">
        <f>ROUND((108/100)*ROUND(Source!CS214*Source!I214, 2), 2)</f>
        <v>1284.8499999999999</v>
      </c>
    </row>
    <row r="215" spans="1:22" x14ac:dyDescent="0.2">
      <c r="D215" s="23" t="str">
        <f>"Объем: "&amp;Source!I214&amp;"=(1+"&amp;"1+"&amp;"1)*"&amp;"4"</f>
        <v>Объем: 12=(1+1+1)*4</v>
      </c>
    </row>
    <row r="216" spans="1:22" ht="14.25" x14ac:dyDescent="0.2">
      <c r="A216" s="19"/>
      <c r="B216" s="19"/>
      <c r="C216" s="19"/>
      <c r="D216" s="19" t="s">
        <v>825</v>
      </c>
      <c r="E216" s="20"/>
      <c r="F216" s="9"/>
      <c r="G216" s="22">
        <f>Source!AO214</f>
        <v>208</v>
      </c>
      <c r="H216" s="21" t="str">
        <f>Source!DG214</f>
        <v>)*2</v>
      </c>
      <c r="I216" s="9">
        <f>Source!AV214</f>
        <v>1</v>
      </c>
      <c r="J216" s="9">
        <f>IF(Source!BA214&lt;&gt; 0, Source!BA214, 1)</f>
        <v>1</v>
      </c>
      <c r="K216" s="22">
        <f>Source!S214</f>
        <v>4992</v>
      </c>
      <c r="L216" s="22"/>
    </row>
    <row r="217" spans="1:22" ht="14.25" x14ac:dyDescent="0.2">
      <c r="A217" s="19"/>
      <c r="B217" s="19"/>
      <c r="C217" s="19"/>
      <c r="D217" s="19" t="s">
        <v>826</v>
      </c>
      <c r="E217" s="20"/>
      <c r="F217" s="9"/>
      <c r="G217" s="22">
        <f>Source!AM214</f>
        <v>78.180000000000007</v>
      </c>
      <c r="H217" s="21" t="str">
        <f>Source!DE214</f>
        <v>)*2</v>
      </c>
      <c r="I217" s="9">
        <f>Source!AV214</f>
        <v>1</v>
      </c>
      <c r="J217" s="9">
        <f>IF(Source!BB214&lt;&gt; 0, Source!BB214, 1)</f>
        <v>1</v>
      </c>
      <c r="K217" s="22">
        <f>Source!Q214</f>
        <v>1876.32</v>
      </c>
      <c r="L217" s="22"/>
    </row>
    <row r="218" spans="1:22" ht="14.25" x14ac:dyDescent="0.2">
      <c r="A218" s="19"/>
      <c r="B218" s="19"/>
      <c r="C218" s="19"/>
      <c r="D218" s="19" t="s">
        <v>827</v>
      </c>
      <c r="E218" s="20"/>
      <c r="F218" s="9"/>
      <c r="G218" s="22">
        <f>Source!AN214</f>
        <v>49.57</v>
      </c>
      <c r="H218" s="21" t="str">
        <f>Source!DF214</f>
        <v>)*2</v>
      </c>
      <c r="I218" s="9">
        <f>Source!AV214</f>
        <v>1</v>
      </c>
      <c r="J218" s="9">
        <f>IF(Source!BS214&lt;&gt; 0, Source!BS214, 1)</f>
        <v>1</v>
      </c>
      <c r="K218" s="24">
        <f>Source!R214</f>
        <v>1189.68</v>
      </c>
      <c r="L218" s="22"/>
    </row>
    <row r="219" spans="1:22" ht="14.25" x14ac:dyDescent="0.2">
      <c r="A219" s="19"/>
      <c r="B219" s="19"/>
      <c r="C219" s="19"/>
      <c r="D219" s="19" t="s">
        <v>828</v>
      </c>
      <c r="E219" s="20" t="s">
        <v>829</v>
      </c>
      <c r="F219" s="9">
        <f>Source!AT214</f>
        <v>70</v>
      </c>
      <c r="G219" s="22"/>
      <c r="H219" s="21"/>
      <c r="I219" s="9"/>
      <c r="J219" s="9"/>
      <c r="K219" s="22">
        <f>SUM(R214:R218)</f>
        <v>3494.4</v>
      </c>
      <c r="L219" s="22"/>
    </row>
    <row r="220" spans="1:22" ht="14.25" x14ac:dyDescent="0.2">
      <c r="A220" s="19"/>
      <c r="B220" s="19"/>
      <c r="C220" s="19"/>
      <c r="D220" s="19" t="s">
        <v>830</v>
      </c>
      <c r="E220" s="20" t="s">
        <v>829</v>
      </c>
      <c r="F220" s="9">
        <f>Source!AU214</f>
        <v>10</v>
      </c>
      <c r="G220" s="22"/>
      <c r="H220" s="21"/>
      <c r="I220" s="9"/>
      <c r="J220" s="9"/>
      <c r="K220" s="22">
        <f>SUM(T214:T219)</f>
        <v>499.2</v>
      </c>
      <c r="L220" s="22"/>
    </row>
    <row r="221" spans="1:22" ht="14.25" x14ac:dyDescent="0.2">
      <c r="A221" s="19"/>
      <c r="B221" s="19"/>
      <c r="C221" s="19"/>
      <c r="D221" s="19" t="s">
        <v>831</v>
      </c>
      <c r="E221" s="20" t="s">
        <v>829</v>
      </c>
      <c r="F221" s="9">
        <f>108</f>
        <v>108</v>
      </c>
      <c r="G221" s="22"/>
      <c r="H221" s="21"/>
      <c r="I221" s="9"/>
      <c r="J221" s="9"/>
      <c r="K221" s="22">
        <f>SUM(V214:V220)</f>
        <v>1284.8499999999999</v>
      </c>
      <c r="L221" s="22"/>
    </row>
    <row r="222" spans="1:22" ht="14.25" x14ac:dyDescent="0.2">
      <c r="A222" s="19"/>
      <c r="B222" s="19"/>
      <c r="C222" s="19"/>
      <c r="D222" s="19" t="s">
        <v>832</v>
      </c>
      <c r="E222" s="20" t="s">
        <v>833</v>
      </c>
      <c r="F222" s="9">
        <f>Source!AQ214</f>
        <v>0.37</v>
      </c>
      <c r="G222" s="22"/>
      <c r="H222" s="21" t="str">
        <f>Source!DI214</f>
        <v>)*2</v>
      </c>
      <c r="I222" s="9">
        <f>Source!AV214</f>
        <v>1</v>
      </c>
      <c r="J222" s="9"/>
      <c r="K222" s="22"/>
      <c r="L222" s="22">
        <f>Source!U214</f>
        <v>8.879999999999999</v>
      </c>
    </row>
    <row r="223" spans="1:22" ht="15" x14ac:dyDescent="0.25">
      <c r="A223" s="27"/>
      <c r="B223" s="27"/>
      <c r="C223" s="27"/>
      <c r="D223" s="27"/>
      <c r="E223" s="27"/>
      <c r="F223" s="27"/>
      <c r="G223" s="27"/>
      <c r="H223" s="27"/>
      <c r="I223" s="27"/>
      <c r="J223" s="60">
        <f>K216+K217+K219+K220+K221</f>
        <v>12146.77</v>
      </c>
      <c r="K223" s="60"/>
      <c r="L223" s="28">
        <f>IF(Source!I214&lt;&gt;0, ROUND(J223/Source!I214, 2), 0)</f>
        <v>1012.23</v>
      </c>
      <c r="P223" s="25">
        <f>J223</f>
        <v>12146.77</v>
      </c>
    </row>
    <row r="224" spans="1:22" ht="57" x14ac:dyDescent="0.2">
      <c r="A224" s="19">
        <v>17</v>
      </c>
      <c r="B224" s="19">
        <v>17</v>
      </c>
      <c r="C224" s="19" t="str">
        <f>Source!F215</f>
        <v>1.17-2103-14-1/1</v>
      </c>
      <c r="D224" s="19" t="str">
        <f>Source!G215</f>
        <v>Техническое обслуживание мембранного расширительного бака объемом 100 л/Бак расширительный мембранный, V=80л</v>
      </c>
      <c r="E224" s="20" t="str">
        <f>Source!H215</f>
        <v>шт.</v>
      </c>
      <c r="F224" s="9">
        <f>Source!I215</f>
        <v>4</v>
      </c>
      <c r="G224" s="22"/>
      <c r="H224" s="21"/>
      <c r="I224" s="9"/>
      <c r="J224" s="9"/>
      <c r="K224" s="22"/>
      <c r="L224" s="22"/>
      <c r="Q224">
        <f>ROUND((Source!BZ215/100)*ROUND((Source!AF215*Source!AV215)*Source!I215, 2), 2)</f>
        <v>1002.79</v>
      </c>
      <c r="R224">
        <f>Source!X215</f>
        <v>1002.79</v>
      </c>
      <c r="S224">
        <f>ROUND((Source!CA215/100)*ROUND((Source!AF215*Source!AV215)*Source!I215, 2), 2)</f>
        <v>143.26</v>
      </c>
      <c r="T224">
        <f>Source!Y215</f>
        <v>143.26</v>
      </c>
      <c r="U224">
        <f>ROUND((175/100)*ROUND((Source!AE215*Source!AV215)*Source!I215, 2), 2)</f>
        <v>0</v>
      </c>
      <c r="V224">
        <f>ROUND((108/100)*ROUND(Source!CS215*Source!I215, 2), 2)</f>
        <v>0</v>
      </c>
    </row>
    <row r="225" spans="1:22" x14ac:dyDescent="0.2">
      <c r="D225" s="23" t="str">
        <f>"Объем: "&amp;Source!I215&amp;"=1+"&amp;"1+"&amp;"1+"&amp;"1"</f>
        <v>Объем: 4=1+1+1+1</v>
      </c>
    </row>
    <row r="226" spans="1:22" ht="14.25" x14ac:dyDescent="0.2">
      <c r="A226" s="19"/>
      <c r="B226" s="19"/>
      <c r="C226" s="19"/>
      <c r="D226" s="19" t="s">
        <v>825</v>
      </c>
      <c r="E226" s="20"/>
      <c r="F226" s="9"/>
      <c r="G226" s="22">
        <f>Source!AO215</f>
        <v>358.14</v>
      </c>
      <c r="H226" s="21" t="str">
        <f>Source!DG215</f>
        <v/>
      </c>
      <c r="I226" s="9">
        <f>Source!AV215</f>
        <v>1</v>
      </c>
      <c r="J226" s="9">
        <f>IF(Source!BA215&lt;&gt; 0, Source!BA215, 1)</f>
        <v>1</v>
      </c>
      <c r="K226" s="22">
        <f>Source!S215</f>
        <v>1432.56</v>
      </c>
      <c r="L226" s="22"/>
    </row>
    <row r="227" spans="1:22" ht="14.25" x14ac:dyDescent="0.2">
      <c r="A227" s="19"/>
      <c r="B227" s="19"/>
      <c r="C227" s="19"/>
      <c r="D227" s="19" t="s">
        <v>834</v>
      </c>
      <c r="E227" s="20"/>
      <c r="F227" s="9"/>
      <c r="G227" s="22">
        <f>Source!AL215</f>
        <v>0.63</v>
      </c>
      <c r="H227" s="21" t="str">
        <f>Source!DD215</f>
        <v/>
      </c>
      <c r="I227" s="9">
        <f>Source!AW215</f>
        <v>1</v>
      </c>
      <c r="J227" s="9">
        <f>IF(Source!BC215&lt;&gt; 0, Source!BC215, 1)</f>
        <v>1</v>
      </c>
      <c r="K227" s="22">
        <f>Source!P215</f>
        <v>2.52</v>
      </c>
      <c r="L227" s="22"/>
    </row>
    <row r="228" spans="1:22" ht="14.25" x14ac:dyDescent="0.2">
      <c r="A228" s="19"/>
      <c r="B228" s="19"/>
      <c r="C228" s="19"/>
      <c r="D228" s="19" t="s">
        <v>828</v>
      </c>
      <c r="E228" s="20" t="s">
        <v>829</v>
      </c>
      <c r="F228" s="9">
        <f>Source!AT215</f>
        <v>70</v>
      </c>
      <c r="G228" s="22"/>
      <c r="H228" s="21"/>
      <c r="I228" s="9"/>
      <c r="J228" s="9"/>
      <c r="K228" s="22">
        <f>SUM(R224:R227)</f>
        <v>1002.79</v>
      </c>
      <c r="L228" s="22"/>
    </row>
    <row r="229" spans="1:22" ht="14.25" x14ac:dyDescent="0.2">
      <c r="A229" s="19"/>
      <c r="B229" s="19"/>
      <c r="C229" s="19"/>
      <c r="D229" s="19" t="s">
        <v>830</v>
      </c>
      <c r="E229" s="20" t="s">
        <v>829</v>
      </c>
      <c r="F229" s="9">
        <f>Source!AU215</f>
        <v>10</v>
      </c>
      <c r="G229" s="22"/>
      <c r="H229" s="21"/>
      <c r="I229" s="9"/>
      <c r="J229" s="9"/>
      <c r="K229" s="22">
        <f>SUM(T224:T228)</f>
        <v>143.26</v>
      </c>
      <c r="L229" s="22"/>
    </row>
    <row r="230" spans="1:22" ht="14.25" x14ac:dyDescent="0.2">
      <c r="A230" s="19"/>
      <c r="B230" s="19"/>
      <c r="C230" s="19"/>
      <c r="D230" s="19" t="s">
        <v>832</v>
      </c>
      <c r="E230" s="20" t="s">
        <v>833</v>
      </c>
      <c r="F230" s="9">
        <f>Source!AQ215</f>
        <v>0.57999999999999996</v>
      </c>
      <c r="G230" s="22"/>
      <c r="H230" s="21" t="str">
        <f>Source!DI215</f>
        <v/>
      </c>
      <c r="I230" s="9">
        <f>Source!AV215</f>
        <v>1</v>
      </c>
      <c r="J230" s="9"/>
      <c r="K230" s="22"/>
      <c r="L230" s="22">
        <f>Source!U215</f>
        <v>2.3199999999999998</v>
      </c>
    </row>
    <row r="231" spans="1:22" ht="15" x14ac:dyDescent="0.25">
      <c r="A231" s="27"/>
      <c r="B231" s="27"/>
      <c r="C231" s="27"/>
      <c r="D231" s="27"/>
      <c r="E231" s="27"/>
      <c r="F231" s="27"/>
      <c r="G231" s="27"/>
      <c r="H231" s="27"/>
      <c r="I231" s="27"/>
      <c r="J231" s="60">
        <f>K226+K227+K228+K229</f>
        <v>2581.13</v>
      </c>
      <c r="K231" s="60"/>
      <c r="L231" s="28">
        <f>IF(Source!I215&lt;&gt;0, ROUND(J231/Source!I215, 2), 0)</f>
        <v>645.28</v>
      </c>
      <c r="P231" s="25">
        <f>J231</f>
        <v>2581.13</v>
      </c>
    </row>
    <row r="232" spans="1:22" ht="42.75" x14ac:dyDescent="0.2">
      <c r="A232" s="19">
        <v>18</v>
      </c>
      <c r="B232" s="19">
        <v>18</v>
      </c>
      <c r="C232" s="19" t="str">
        <f>Source!F216</f>
        <v>1.21-2303-24-1/1</v>
      </c>
      <c r="D232" s="19" t="str">
        <f>Source!G216</f>
        <v>Техническое обслуживание электроводонагревателей объемом до 80 литров</v>
      </c>
      <c r="E232" s="20" t="str">
        <f>Source!H216</f>
        <v>шт.</v>
      </c>
      <c r="F232" s="9">
        <f>Source!I216</f>
        <v>4</v>
      </c>
      <c r="G232" s="22"/>
      <c r="H232" s="21"/>
      <c r="I232" s="9"/>
      <c r="J232" s="9"/>
      <c r="K232" s="22"/>
      <c r="L232" s="22"/>
      <c r="Q232">
        <f>ROUND((Source!BZ216/100)*ROUND((Source!AF216*Source!AV216)*Source!I216, 2), 2)</f>
        <v>3483.28</v>
      </c>
      <c r="R232">
        <f>Source!X216</f>
        <v>3483.28</v>
      </c>
      <c r="S232">
        <f>ROUND((Source!CA216/100)*ROUND((Source!AF216*Source!AV216)*Source!I216, 2), 2)</f>
        <v>497.61</v>
      </c>
      <c r="T232">
        <f>Source!Y216</f>
        <v>497.61</v>
      </c>
      <c r="U232">
        <f>ROUND((175/100)*ROUND((Source!AE216*Source!AV216)*Source!I216, 2), 2)</f>
        <v>6263.39</v>
      </c>
      <c r="V232">
        <f>ROUND((108/100)*ROUND(Source!CS216*Source!I216, 2), 2)</f>
        <v>3865.41</v>
      </c>
    </row>
    <row r="233" spans="1:22" ht="14.25" x14ac:dyDescent="0.2">
      <c r="A233" s="19"/>
      <c r="B233" s="19"/>
      <c r="C233" s="19"/>
      <c r="D233" s="19" t="s">
        <v>825</v>
      </c>
      <c r="E233" s="20"/>
      <c r="F233" s="9"/>
      <c r="G233" s="22">
        <f>Source!AO216</f>
        <v>1244.03</v>
      </c>
      <c r="H233" s="21" t="str">
        <f>Source!DG216</f>
        <v/>
      </c>
      <c r="I233" s="9">
        <f>Source!AV216</f>
        <v>1</v>
      </c>
      <c r="J233" s="9">
        <f>IF(Source!BA216&lt;&gt; 0, Source!BA216, 1)</f>
        <v>1</v>
      </c>
      <c r="K233" s="22">
        <f>Source!S216</f>
        <v>4976.12</v>
      </c>
      <c r="L233" s="22"/>
    </row>
    <row r="234" spans="1:22" ht="14.25" x14ac:dyDescent="0.2">
      <c r="A234" s="19"/>
      <c r="B234" s="19"/>
      <c r="C234" s="19"/>
      <c r="D234" s="19" t="s">
        <v>826</v>
      </c>
      <c r="E234" s="20"/>
      <c r="F234" s="9"/>
      <c r="G234" s="22">
        <f>Source!AM216</f>
        <v>1411.16</v>
      </c>
      <c r="H234" s="21" t="str">
        <f>Source!DE216</f>
        <v/>
      </c>
      <c r="I234" s="9">
        <f>Source!AV216</f>
        <v>1</v>
      </c>
      <c r="J234" s="9">
        <f>IF(Source!BB216&lt;&gt; 0, Source!BB216, 1)</f>
        <v>1</v>
      </c>
      <c r="K234" s="22">
        <f>Source!Q216</f>
        <v>5644.64</v>
      </c>
      <c r="L234" s="22"/>
    </row>
    <row r="235" spans="1:22" ht="14.25" x14ac:dyDescent="0.2">
      <c r="A235" s="19"/>
      <c r="B235" s="19"/>
      <c r="C235" s="19"/>
      <c r="D235" s="19" t="s">
        <v>827</v>
      </c>
      <c r="E235" s="20"/>
      <c r="F235" s="9"/>
      <c r="G235" s="22">
        <f>Source!AN216</f>
        <v>894.77</v>
      </c>
      <c r="H235" s="21" t="str">
        <f>Source!DF216</f>
        <v/>
      </c>
      <c r="I235" s="9">
        <f>Source!AV216</f>
        <v>1</v>
      </c>
      <c r="J235" s="9">
        <f>IF(Source!BS216&lt;&gt; 0, Source!BS216, 1)</f>
        <v>1</v>
      </c>
      <c r="K235" s="24">
        <f>Source!R216</f>
        <v>3579.08</v>
      </c>
      <c r="L235" s="22"/>
    </row>
    <row r="236" spans="1:22" ht="14.25" x14ac:dyDescent="0.2">
      <c r="A236" s="19"/>
      <c r="B236" s="19"/>
      <c r="C236" s="19"/>
      <c r="D236" s="19" t="s">
        <v>834</v>
      </c>
      <c r="E236" s="20"/>
      <c r="F236" s="9"/>
      <c r="G236" s="22">
        <f>Source!AL216</f>
        <v>0.63</v>
      </c>
      <c r="H236" s="21" t="str">
        <f>Source!DD216</f>
        <v/>
      </c>
      <c r="I236" s="9">
        <f>Source!AW216</f>
        <v>1</v>
      </c>
      <c r="J236" s="9">
        <f>IF(Source!BC216&lt;&gt; 0, Source!BC216, 1)</f>
        <v>1</v>
      </c>
      <c r="K236" s="22">
        <f>Source!P216</f>
        <v>2.52</v>
      </c>
      <c r="L236" s="22"/>
    </row>
    <row r="237" spans="1:22" ht="14.25" x14ac:dyDescent="0.2">
      <c r="A237" s="19"/>
      <c r="B237" s="19"/>
      <c r="C237" s="19"/>
      <c r="D237" s="19" t="s">
        <v>828</v>
      </c>
      <c r="E237" s="20" t="s">
        <v>829</v>
      </c>
      <c r="F237" s="9">
        <f>Source!AT216</f>
        <v>70</v>
      </c>
      <c r="G237" s="22"/>
      <c r="H237" s="21"/>
      <c r="I237" s="9"/>
      <c r="J237" s="9"/>
      <c r="K237" s="22">
        <f>SUM(R232:R236)</f>
        <v>3483.28</v>
      </c>
      <c r="L237" s="22"/>
    </row>
    <row r="238" spans="1:22" ht="14.25" x14ac:dyDescent="0.2">
      <c r="A238" s="19"/>
      <c r="B238" s="19"/>
      <c r="C238" s="19"/>
      <c r="D238" s="19" t="s">
        <v>830</v>
      </c>
      <c r="E238" s="20" t="s">
        <v>829</v>
      </c>
      <c r="F238" s="9">
        <f>Source!AU216</f>
        <v>10</v>
      </c>
      <c r="G238" s="22"/>
      <c r="H238" s="21"/>
      <c r="I238" s="9"/>
      <c r="J238" s="9"/>
      <c r="K238" s="22">
        <f>SUM(T232:T237)</f>
        <v>497.61</v>
      </c>
      <c r="L238" s="22"/>
    </row>
    <row r="239" spans="1:22" ht="14.25" x14ac:dyDescent="0.2">
      <c r="A239" s="19"/>
      <c r="B239" s="19"/>
      <c r="C239" s="19"/>
      <c r="D239" s="19" t="s">
        <v>831</v>
      </c>
      <c r="E239" s="20" t="s">
        <v>829</v>
      </c>
      <c r="F239" s="9">
        <f>108</f>
        <v>108</v>
      </c>
      <c r="G239" s="22"/>
      <c r="H239" s="21"/>
      <c r="I239" s="9"/>
      <c r="J239" s="9"/>
      <c r="K239" s="22">
        <f>SUM(V232:V238)</f>
        <v>3865.41</v>
      </c>
      <c r="L239" s="22"/>
    </row>
    <row r="240" spans="1:22" ht="14.25" x14ac:dyDescent="0.2">
      <c r="A240" s="19"/>
      <c r="B240" s="19"/>
      <c r="C240" s="19"/>
      <c r="D240" s="19" t="s">
        <v>832</v>
      </c>
      <c r="E240" s="20" t="s">
        <v>833</v>
      </c>
      <c r="F240" s="9">
        <f>Source!AQ216</f>
        <v>1.75</v>
      </c>
      <c r="G240" s="22"/>
      <c r="H240" s="21" t="str">
        <f>Source!DI216</f>
        <v/>
      </c>
      <c r="I240" s="9">
        <f>Source!AV216</f>
        <v>1</v>
      </c>
      <c r="J240" s="9"/>
      <c r="K240" s="22"/>
      <c r="L240" s="22">
        <f>Source!U216</f>
        <v>7</v>
      </c>
    </row>
    <row r="241" spans="1:22" ht="15" x14ac:dyDescent="0.25">
      <c r="A241" s="27"/>
      <c r="B241" s="27"/>
      <c r="C241" s="27"/>
      <c r="D241" s="27"/>
      <c r="E241" s="27"/>
      <c r="F241" s="27"/>
      <c r="G241" s="27"/>
      <c r="H241" s="27"/>
      <c r="I241" s="27"/>
      <c r="J241" s="60">
        <f>K233+K234+K236+K237+K238+K239</f>
        <v>18469.580000000002</v>
      </c>
      <c r="K241" s="60"/>
      <c r="L241" s="28">
        <f>IF(Source!I216&lt;&gt;0, ROUND(J241/Source!I216, 2), 0)</f>
        <v>4617.3999999999996</v>
      </c>
      <c r="P241" s="25">
        <f>J241</f>
        <v>18469.580000000002</v>
      </c>
    </row>
    <row r="242" spans="1:22" ht="71.25" x14ac:dyDescent="0.2">
      <c r="A242" s="19">
        <v>19</v>
      </c>
      <c r="B242" s="19">
        <v>19</v>
      </c>
      <c r="C242" s="19" t="str">
        <f>Source!F217</f>
        <v>1.23-2103-21-1/1</v>
      </c>
      <c r="D242" s="19" t="str">
        <f>Source!G217</f>
        <v>Техническое обслуживание преобразователей давления, перепада давления, тензорезисторных, дифференциальных (Сапфир) / Регулятор перепада давлений</v>
      </c>
      <c r="E242" s="20" t="str">
        <f>Source!H217</f>
        <v>шт.</v>
      </c>
      <c r="F242" s="9">
        <f>Source!I217</f>
        <v>4</v>
      </c>
      <c r="G242" s="22"/>
      <c r="H242" s="21"/>
      <c r="I242" s="9"/>
      <c r="J242" s="9"/>
      <c r="K242" s="22"/>
      <c r="L242" s="22"/>
      <c r="Q242">
        <f>ROUND((Source!BZ217/100)*ROUND((Source!AF217*Source!AV217)*Source!I217, 2), 2)</f>
        <v>3576.66</v>
      </c>
      <c r="R242">
        <f>Source!X217</f>
        <v>3576.66</v>
      </c>
      <c r="S242">
        <f>ROUND((Source!CA217/100)*ROUND((Source!AF217*Source!AV217)*Source!I217, 2), 2)</f>
        <v>510.95</v>
      </c>
      <c r="T242">
        <f>Source!Y217</f>
        <v>510.95</v>
      </c>
      <c r="U242">
        <f>ROUND((175/100)*ROUND((Source!AE217*Source!AV217)*Source!I217, 2), 2)</f>
        <v>0</v>
      </c>
      <c r="V242">
        <f>ROUND((108/100)*ROUND(Source!CS217*Source!I217, 2), 2)</f>
        <v>0</v>
      </c>
    </row>
    <row r="243" spans="1:22" ht="14.25" x14ac:dyDescent="0.2">
      <c r="A243" s="19"/>
      <c r="B243" s="19"/>
      <c r="C243" s="19"/>
      <c r="D243" s="19" t="s">
        <v>825</v>
      </c>
      <c r="E243" s="20"/>
      <c r="F243" s="9"/>
      <c r="G243" s="22">
        <f>Source!AO217</f>
        <v>638.69000000000005</v>
      </c>
      <c r="H243" s="21" t="str">
        <f>Source!DG217</f>
        <v>)*2</v>
      </c>
      <c r="I243" s="9">
        <f>Source!AV217</f>
        <v>1</v>
      </c>
      <c r="J243" s="9">
        <f>IF(Source!BA217&lt;&gt; 0, Source!BA217, 1)</f>
        <v>1</v>
      </c>
      <c r="K243" s="22">
        <f>Source!S217</f>
        <v>5109.5200000000004</v>
      </c>
      <c r="L243" s="22"/>
    </row>
    <row r="244" spans="1:22" ht="14.25" x14ac:dyDescent="0.2">
      <c r="A244" s="19"/>
      <c r="B244" s="19"/>
      <c r="C244" s="19"/>
      <c r="D244" s="19" t="s">
        <v>834</v>
      </c>
      <c r="E244" s="20"/>
      <c r="F244" s="9"/>
      <c r="G244" s="22">
        <f>Source!AL217</f>
        <v>19.14</v>
      </c>
      <c r="H244" s="21" t="str">
        <f>Source!DD217</f>
        <v>)*2</v>
      </c>
      <c r="I244" s="9">
        <f>Source!AW217</f>
        <v>1</v>
      </c>
      <c r="J244" s="9">
        <f>IF(Source!BC217&lt;&gt; 0, Source!BC217, 1)</f>
        <v>1</v>
      </c>
      <c r="K244" s="22">
        <f>Source!P217</f>
        <v>153.12</v>
      </c>
      <c r="L244" s="22"/>
    </row>
    <row r="245" spans="1:22" ht="14.25" x14ac:dyDescent="0.2">
      <c r="A245" s="19"/>
      <c r="B245" s="19"/>
      <c r="C245" s="19"/>
      <c r="D245" s="19" t="s">
        <v>828</v>
      </c>
      <c r="E245" s="20" t="s">
        <v>829</v>
      </c>
      <c r="F245" s="9">
        <f>Source!AT217</f>
        <v>70</v>
      </c>
      <c r="G245" s="22"/>
      <c r="H245" s="21"/>
      <c r="I245" s="9"/>
      <c r="J245" s="9"/>
      <c r="K245" s="22">
        <f>SUM(R242:R244)</f>
        <v>3576.66</v>
      </c>
      <c r="L245" s="22"/>
    </row>
    <row r="246" spans="1:22" ht="14.25" x14ac:dyDescent="0.2">
      <c r="A246" s="19"/>
      <c r="B246" s="19"/>
      <c r="C246" s="19"/>
      <c r="D246" s="19" t="s">
        <v>830</v>
      </c>
      <c r="E246" s="20" t="s">
        <v>829</v>
      </c>
      <c r="F246" s="9">
        <f>Source!AU217</f>
        <v>10</v>
      </c>
      <c r="G246" s="22"/>
      <c r="H246" s="21"/>
      <c r="I246" s="9"/>
      <c r="J246" s="9"/>
      <c r="K246" s="22">
        <f>SUM(T242:T245)</f>
        <v>510.95</v>
      </c>
      <c r="L246" s="22"/>
    </row>
    <row r="247" spans="1:22" ht="14.25" x14ac:dyDescent="0.2">
      <c r="A247" s="19"/>
      <c r="B247" s="19"/>
      <c r="C247" s="19"/>
      <c r="D247" s="19" t="s">
        <v>832</v>
      </c>
      <c r="E247" s="20" t="s">
        <v>833</v>
      </c>
      <c r="F247" s="9">
        <f>Source!AQ217</f>
        <v>0.77</v>
      </c>
      <c r="G247" s="22"/>
      <c r="H247" s="21" t="str">
        <f>Source!DI217</f>
        <v>)*2</v>
      </c>
      <c r="I247" s="9">
        <f>Source!AV217</f>
        <v>1</v>
      </c>
      <c r="J247" s="9"/>
      <c r="K247" s="22"/>
      <c r="L247" s="22">
        <f>Source!U217</f>
        <v>6.16</v>
      </c>
    </row>
    <row r="248" spans="1:22" ht="15" x14ac:dyDescent="0.25">
      <c r="A248" s="27"/>
      <c r="B248" s="27"/>
      <c r="C248" s="27"/>
      <c r="D248" s="27"/>
      <c r="E248" s="27"/>
      <c r="F248" s="27"/>
      <c r="G248" s="27"/>
      <c r="H248" s="27"/>
      <c r="I248" s="27"/>
      <c r="J248" s="60">
        <f>K243+K244+K245+K246</f>
        <v>9350.25</v>
      </c>
      <c r="K248" s="60"/>
      <c r="L248" s="28">
        <f>IF(Source!I217&lt;&gt;0, ROUND(J248/Source!I217, 2), 0)</f>
        <v>2337.56</v>
      </c>
      <c r="P248" s="25">
        <f>J248</f>
        <v>9350.25</v>
      </c>
    </row>
    <row r="249" spans="1:22" ht="42.75" x14ac:dyDescent="0.2">
      <c r="A249" s="19">
        <v>20</v>
      </c>
      <c r="B249" s="19">
        <v>20</v>
      </c>
      <c r="C249" s="19" t="str">
        <f>Source!F218</f>
        <v>1.23-2103-41-1/1</v>
      </c>
      <c r="D249" s="19" t="str">
        <f>Source!G218</f>
        <v>Техническое обслуживание регулирующего клапана/ Клапан электромагнитный, муфтовый</v>
      </c>
      <c r="E249" s="20" t="str">
        <f>Source!H218</f>
        <v>шт.</v>
      </c>
      <c r="F249" s="9">
        <f>Source!I218</f>
        <v>4</v>
      </c>
      <c r="G249" s="22"/>
      <c r="H249" s="21"/>
      <c r="I249" s="9"/>
      <c r="J249" s="9"/>
      <c r="K249" s="22"/>
      <c r="L249" s="22"/>
      <c r="Q249">
        <f>ROUND((Source!BZ218/100)*ROUND((Source!AF218*Source!AV218)*Source!I218, 2), 2)</f>
        <v>1164.8</v>
      </c>
      <c r="R249">
        <f>Source!X218</f>
        <v>1164.8</v>
      </c>
      <c r="S249">
        <f>ROUND((Source!CA218/100)*ROUND((Source!AF218*Source!AV218)*Source!I218, 2), 2)</f>
        <v>166.4</v>
      </c>
      <c r="T249">
        <f>Source!Y218</f>
        <v>166.4</v>
      </c>
      <c r="U249">
        <f>ROUND((175/100)*ROUND((Source!AE218*Source!AV218)*Source!I218, 2), 2)</f>
        <v>693.98</v>
      </c>
      <c r="V249">
        <f>ROUND((108/100)*ROUND(Source!CS218*Source!I218, 2), 2)</f>
        <v>428.28</v>
      </c>
    </row>
    <row r="250" spans="1:22" x14ac:dyDescent="0.2">
      <c r="D250" s="23" t="str">
        <f>"Объем: "&amp;Source!I218&amp;"=1+"&amp;"1+"&amp;"1+"&amp;"1"</f>
        <v>Объем: 4=1+1+1+1</v>
      </c>
    </row>
    <row r="251" spans="1:22" ht="14.25" x14ac:dyDescent="0.2">
      <c r="A251" s="19"/>
      <c r="B251" s="19"/>
      <c r="C251" s="19"/>
      <c r="D251" s="19" t="s">
        <v>825</v>
      </c>
      <c r="E251" s="20"/>
      <c r="F251" s="9"/>
      <c r="G251" s="22">
        <f>Source!AO218</f>
        <v>208</v>
      </c>
      <c r="H251" s="21" t="str">
        <f>Source!DG218</f>
        <v>)*2</v>
      </c>
      <c r="I251" s="9">
        <f>Source!AV218</f>
        <v>1</v>
      </c>
      <c r="J251" s="9">
        <f>IF(Source!BA218&lt;&gt; 0, Source!BA218, 1)</f>
        <v>1</v>
      </c>
      <c r="K251" s="22">
        <f>Source!S218</f>
        <v>1664</v>
      </c>
      <c r="L251" s="22"/>
    </row>
    <row r="252" spans="1:22" ht="14.25" x14ac:dyDescent="0.2">
      <c r="A252" s="19"/>
      <c r="B252" s="19"/>
      <c r="C252" s="19"/>
      <c r="D252" s="19" t="s">
        <v>826</v>
      </c>
      <c r="E252" s="20"/>
      <c r="F252" s="9"/>
      <c r="G252" s="22">
        <f>Source!AM218</f>
        <v>78.180000000000007</v>
      </c>
      <c r="H252" s="21" t="str">
        <f>Source!DE218</f>
        <v>)*2</v>
      </c>
      <c r="I252" s="9">
        <f>Source!AV218</f>
        <v>1</v>
      </c>
      <c r="J252" s="9">
        <f>IF(Source!BB218&lt;&gt; 0, Source!BB218, 1)</f>
        <v>1</v>
      </c>
      <c r="K252" s="22">
        <f>Source!Q218</f>
        <v>625.44000000000005</v>
      </c>
      <c r="L252" s="22"/>
    </row>
    <row r="253" spans="1:22" ht="14.25" x14ac:dyDescent="0.2">
      <c r="A253" s="19"/>
      <c r="B253" s="19"/>
      <c r="C253" s="19"/>
      <c r="D253" s="19" t="s">
        <v>827</v>
      </c>
      <c r="E253" s="20"/>
      <c r="F253" s="9"/>
      <c r="G253" s="22">
        <f>Source!AN218</f>
        <v>49.57</v>
      </c>
      <c r="H253" s="21" t="str">
        <f>Source!DF218</f>
        <v>)*2</v>
      </c>
      <c r="I253" s="9">
        <f>Source!AV218</f>
        <v>1</v>
      </c>
      <c r="J253" s="9">
        <f>IF(Source!BS218&lt;&gt; 0, Source!BS218, 1)</f>
        <v>1</v>
      </c>
      <c r="K253" s="24">
        <f>Source!R218</f>
        <v>396.56</v>
      </c>
      <c r="L253" s="22"/>
    </row>
    <row r="254" spans="1:22" ht="14.25" x14ac:dyDescent="0.2">
      <c r="A254" s="19"/>
      <c r="B254" s="19"/>
      <c r="C254" s="19"/>
      <c r="D254" s="19" t="s">
        <v>828</v>
      </c>
      <c r="E254" s="20" t="s">
        <v>829</v>
      </c>
      <c r="F254" s="9">
        <f>Source!AT218</f>
        <v>70</v>
      </c>
      <c r="G254" s="22"/>
      <c r="H254" s="21"/>
      <c r="I254" s="9"/>
      <c r="J254" s="9"/>
      <c r="K254" s="22">
        <f>SUM(R249:R253)</f>
        <v>1164.8</v>
      </c>
      <c r="L254" s="22"/>
    </row>
    <row r="255" spans="1:22" ht="14.25" x14ac:dyDescent="0.2">
      <c r="A255" s="19"/>
      <c r="B255" s="19"/>
      <c r="C255" s="19"/>
      <c r="D255" s="19" t="s">
        <v>830</v>
      </c>
      <c r="E255" s="20" t="s">
        <v>829</v>
      </c>
      <c r="F255" s="9">
        <f>Source!AU218</f>
        <v>10</v>
      </c>
      <c r="G255" s="22"/>
      <c r="H255" s="21"/>
      <c r="I255" s="9"/>
      <c r="J255" s="9"/>
      <c r="K255" s="22">
        <f>SUM(T249:T254)</f>
        <v>166.4</v>
      </c>
      <c r="L255" s="22"/>
    </row>
    <row r="256" spans="1:22" ht="14.25" x14ac:dyDescent="0.2">
      <c r="A256" s="19"/>
      <c r="B256" s="19"/>
      <c r="C256" s="19"/>
      <c r="D256" s="19" t="s">
        <v>831</v>
      </c>
      <c r="E256" s="20" t="s">
        <v>829</v>
      </c>
      <c r="F256" s="9">
        <f>108</f>
        <v>108</v>
      </c>
      <c r="G256" s="22"/>
      <c r="H256" s="21"/>
      <c r="I256" s="9"/>
      <c r="J256" s="9"/>
      <c r="K256" s="22">
        <f>SUM(V249:V255)</f>
        <v>428.28</v>
      </c>
      <c r="L256" s="22"/>
    </row>
    <row r="257" spans="1:22" ht="14.25" x14ac:dyDescent="0.2">
      <c r="A257" s="19"/>
      <c r="B257" s="19"/>
      <c r="C257" s="19"/>
      <c r="D257" s="19" t="s">
        <v>832</v>
      </c>
      <c r="E257" s="20" t="s">
        <v>833</v>
      </c>
      <c r="F257" s="9">
        <f>Source!AQ218</f>
        <v>0.37</v>
      </c>
      <c r="G257" s="22"/>
      <c r="H257" s="21" t="str">
        <f>Source!DI218</f>
        <v>)*2</v>
      </c>
      <c r="I257" s="9">
        <f>Source!AV218</f>
        <v>1</v>
      </c>
      <c r="J257" s="9"/>
      <c r="K257" s="22"/>
      <c r="L257" s="22">
        <f>Source!U218</f>
        <v>2.96</v>
      </c>
    </row>
    <row r="258" spans="1:22" ht="15" x14ac:dyDescent="0.25">
      <c r="A258" s="27"/>
      <c r="B258" s="27"/>
      <c r="C258" s="27"/>
      <c r="D258" s="27"/>
      <c r="E258" s="27"/>
      <c r="F258" s="27"/>
      <c r="G258" s="27"/>
      <c r="H258" s="27"/>
      <c r="I258" s="27"/>
      <c r="J258" s="60">
        <f>K251+K252+K254+K255+K256</f>
        <v>4048.92</v>
      </c>
      <c r="K258" s="60"/>
      <c r="L258" s="28">
        <f>IF(Source!I218&lt;&gt;0, ROUND(J258/Source!I218, 2), 0)</f>
        <v>1012.23</v>
      </c>
      <c r="P258" s="25">
        <f>J258</f>
        <v>4048.92</v>
      </c>
    </row>
    <row r="259" spans="1:22" ht="28.5" x14ac:dyDescent="0.2">
      <c r="A259" s="19">
        <v>21</v>
      </c>
      <c r="B259" s="19">
        <v>21</v>
      </c>
      <c r="C259" s="19" t="str">
        <f>Source!F219</f>
        <v>1.23-2103-22-3/1</v>
      </c>
      <c r="D259" s="19" t="str">
        <f>Source!G219</f>
        <v>Техническое обслуживание расходомера электромагнитного</v>
      </c>
      <c r="E259" s="20" t="str">
        <f>Source!H219</f>
        <v>шт.</v>
      </c>
      <c r="F259" s="9">
        <f>Source!I219</f>
        <v>12</v>
      </c>
      <c r="G259" s="22"/>
      <c r="H259" s="21"/>
      <c r="I259" s="9"/>
      <c r="J259" s="9"/>
      <c r="K259" s="22"/>
      <c r="L259" s="22"/>
      <c r="Q259">
        <f>ROUND((Source!BZ219/100)*ROUND((Source!AF219*Source!AV219)*Source!I219, 2), 2)</f>
        <v>12541.62</v>
      </c>
      <c r="R259">
        <f>Source!X219</f>
        <v>12541.62</v>
      </c>
      <c r="S259">
        <f>ROUND((Source!CA219/100)*ROUND((Source!AF219*Source!AV219)*Source!I219, 2), 2)</f>
        <v>1791.66</v>
      </c>
      <c r="T259">
        <f>Source!Y219</f>
        <v>1791.66</v>
      </c>
      <c r="U259">
        <f>ROUND((175/100)*ROUND((Source!AE219*Source!AV219)*Source!I219, 2), 2)</f>
        <v>0</v>
      </c>
      <c r="V259">
        <f>ROUND((108/100)*ROUND(Source!CS219*Source!I219, 2), 2)</f>
        <v>0</v>
      </c>
    </row>
    <row r="260" spans="1:22" x14ac:dyDescent="0.2">
      <c r="D260" s="23" t="str">
        <f>"Объем: "&amp;Source!I219&amp;"=(1+"&amp;"1+"&amp;"1)*"&amp;"4"</f>
        <v>Объем: 12=(1+1+1)*4</v>
      </c>
    </row>
    <row r="261" spans="1:22" ht="14.25" x14ac:dyDescent="0.2">
      <c r="A261" s="19"/>
      <c r="B261" s="19"/>
      <c r="C261" s="19"/>
      <c r="D261" s="19" t="s">
        <v>825</v>
      </c>
      <c r="E261" s="20"/>
      <c r="F261" s="9"/>
      <c r="G261" s="22">
        <f>Source!AO219</f>
        <v>1493.05</v>
      </c>
      <c r="H261" s="21" t="str">
        <f>Source!DG219</f>
        <v/>
      </c>
      <c r="I261" s="9">
        <f>Source!AV219</f>
        <v>1</v>
      </c>
      <c r="J261" s="9">
        <f>IF(Source!BA219&lt;&gt; 0, Source!BA219, 1)</f>
        <v>1</v>
      </c>
      <c r="K261" s="22">
        <f>Source!S219</f>
        <v>17916.599999999999</v>
      </c>
      <c r="L261" s="22"/>
    </row>
    <row r="262" spans="1:22" ht="14.25" x14ac:dyDescent="0.2">
      <c r="A262" s="19"/>
      <c r="B262" s="19"/>
      <c r="C262" s="19"/>
      <c r="D262" s="19" t="s">
        <v>834</v>
      </c>
      <c r="E262" s="20"/>
      <c r="F262" s="9"/>
      <c r="G262" s="22">
        <f>Source!AL219</f>
        <v>19.14</v>
      </c>
      <c r="H262" s="21" t="str">
        <f>Source!DD219</f>
        <v/>
      </c>
      <c r="I262" s="9">
        <f>Source!AW219</f>
        <v>1</v>
      </c>
      <c r="J262" s="9">
        <f>IF(Source!BC219&lt;&gt; 0, Source!BC219, 1)</f>
        <v>1</v>
      </c>
      <c r="K262" s="22">
        <f>Source!P219</f>
        <v>229.68</v>
      </c>
      <c r="L262" s="22"/>
    </row>
    <row r="263" spans="1:22" ht="14.25" x14ac:dyDescent="0.2">
      <c r="A263" s="19"/>
      <c r="B263" s="19"/>
      <c r="C263" s="19"/>
      <c r="D263" s="19" t="s">
        <v>828</v>
      </c>
      <c r="E263" s="20" t="s">
        <v>829</v>
      </c>
      <c r="F263" s="9">
        <f>Source!AT219</f>
        <v>70</v>
      </c>
      <c r="G263" s="22"/>
      <c r="H263" s="21"/>
      <c r="I263" s="9"/>
      <c r="J263" s="9"/>
      <c r="K263" s="22">
        <f>SUM(R259:R262)</f>
        <v>12541.62</v>
      </c>
      <c r="L263" s="22"/>
    </row>
    <row r="264" spans="1:22" ht="14.25" x14ac:dyDescent="0.2">
      <c r="A264" s="19"/>
      <c r="B264" s="19"/>
      <c r="C264" s="19"/>
      <c r="D264" s="19" t="s">
        <v>830</v>
      </c>
      <c r="E264" s="20" t="s">
        <v>829</v>
      </c>
      <c r="F264" s="9">
        <f>Source!AU219</f>
        <v>10</v>
      </c>
      <c r="G264" s="22"/>
      <c r="H264" s="21"/>
      <c r="I264" s="9"/>
      <c r="J264" s="9"/>
      <c r="K264" s="22">
        <f>SUM(T259:T263)</f>
        <v>1791.66</v>
      </c>
      <c r="L264" s="22"/>
    </row>
    <row r="265" spans="1:22" ht="14.25" x14ac:dyDescent="0.2">
      <c r="A265" s="19"/>
      <c r="B265" s="19"/>
      <c r="C265" s="19"/>
      <c r="D265" s="19" t="s">
        <v>832</v>
      </c>
      <c r="E265" s="20" t="s">
        <v>833</v>
      </c>
      <c r="F265" s="9">
        <f>Source!AQ219</f>
        <v>1.8</v>
      </c>
      <c r="G265" s="22"/>
      <c r="H265" s="21" t="str">
        <f>Source!DI219</f>
        <v/>
      </c>
      <c r="I265" s="9">
        <f>Source!AV219</f>
        <v>1</v>
      </c>
      <c r="J265" s="9"/>
      <c r="K265" s="22"/>
      <c r="L265" s="22">
        <f>Source!U219</f>
        <v>21.6</v>
      </c>
    </row>
    <row r="266" spans="1:22" ht="15" x14ac:dyDescent="0.25">
      <c r="A266" s="27"/>
      <c r="B266" s="27"/>
      <c r="C266" s="27"/>
      <c r="D266" s="27"/>
      <c r="E266" s="27"/>
      <c r="F266" s="27"/>
      <c r="G266" s="27"/>
      <c r="H266" s="27"/>
      <c r="I266" s="27"/>
      <c r="J266" s="60">
        <f>K261+K262+K263+K264</f>
        <v>32479.56</v>
      </c>
      <c r="K266" s="60"/>
      <c r="L266" s="28">
        <f>IF(Source!I219&lt;&gt;0, ROUND(J266/Source!I219, 2), 0)</f>
        <v>2706.63</v>
      </c>
      <c r="P266" s="25">
        <f>J266</f>
        <v>32479.56</v>
      </c>
    </row>
    <row r="267" spans="1:22" ht="42.75" x14ac:dyDescent="0.2">
      <c r="A267" s="19">
        <v>22</v>
      </c>
      <c r="B267" s="19">
        <v>22</v>
      </c>
      <c r="C267" s="19" t="str">
        <f>Source!F220</f>
        <v>1.15-2203-7-1/1</v>
      </c>
      <c r="D267" s="19" t="str">
        <f>Source!G220</f>
        <v>Техническое обслуживание крана шарового латунного никелированного диаметром до 25 мм</v>
      </c>
      <c r="E267" s="20" t="str">
        <f>Source!H220</f>
        <v>10 шт.</v>
      </c>
      <c r="F267" s="9">
        <f>Source!I220</f>
        <v>16.8</v>
      </c>
      <c r="G267" s="22"/>
      <c r="H267" s="21"/>
      <c r="I267" s="9"/>
      <c r="J267" s="9"/>
      <c r="K267" s="22"/>
      <c r="L267" s="22"/>
      <c r="Q267">
        <f>ROUND((Source!BZ220/100)*ROUND((Source!AF220*Source!AV220)*Source!I220, 2), 2)</f>
        <v>3267.75</v>
      </c>
      <c r="R267">
        <f>Source!X220</f>
        <v>3267.75</v>
      </c>
      <c r="S267">
        <f>ROUND((Source!CA220/100)*ROUND((Source!AF220*Source!AV220)*Source!I220, 2), 2)</f>
        <v>466.82</v>
      </c>
      <c r="T267">
        <f>Source!Y220</f>
        <v>466.82</v>
      </c>
      <c r="U267">
        <f>ROUND((175/100)*ROUND((Source!AE220*Source!AV220)*Source!I220, 2), 2)</f>
        <v>0</v>
      </c>
      <c r="V267">
        <f>ROUND((108/100)*ROUND(Source!CS220*Source!I220, 2), 2)</f>
        <v>0</v>
      </c>
    </row>
    <row r="268" spans="1:22" ht="25.5" x14ac:dyDescent="0.2">
      <c r="D268" s="23" t="str">
        <f>"Объем: "&amp;Source!I220&amp;"=((14+"&amp;"1+"&amp;"4+"&amp;"23)*"&amp;"3+"&amp;"(13+"&amp;"1+"&amp;"1+"&amp;"4+"&amp;"23))/"&amp;"10"</f>
        <v>Объем: 16,8=((14+1+4+23)*3+(13+1+1+4+23))/10</v>
      </c>
    </row>
    <row r="269" spans="1:22" ht="14.25" x14ac:dyDescent="0.2">
      <c r="A269" s="19"/>
      <c r="B269" s="19"/>
      <c r="C269" s="19"/>
      <c r="D269" s="19" t="s">
        <v>825</v>
      </c>
      <c r="E269" s="20"/>
      <c r="F269" s="9"/>
      <c r="G269" s="22">
        <f>Source!AO220</f>
        <v>277.87</v>
      </c>
      <c r="H269" s="21" t="str">
        <f>Source!DG220</f>
        <v/>
      </c>
      <c r="I269" s="9">
        <f>Source!AV220</f>
        <v>1</v>
      </c>
      <c r="J269" s="9">
        <f>IF(Source!BA220&lt;&gt; 0, Source!BA220, 1)</f>
        <v>1</v>
      </c>
      <c r="K269" s="22">
        <f>Source!S220</f>
        <v>4668.22</v>
      </c>
      <c r="L269" s="22"/>
    </row>
    <row r="270" spans="1:22" ht="14.25" x14ac:dyDescent="0.2">
      <c r="A270" s="19"/>
      <c r="B270" s="19"/>
      <c r="C270" s="19"/>
      <c r="D270" s="19" t="s">
        <v>828</v>
      </c>
      <c r="E270" s="20" t="s">
        <v>829</v>
      </c>
      <c r="F270" s="9">
        <f>Source!AT220</f>
        <v>70</v>
      </c>
      <c r="G270" s="22"/>
      <c r="H270" s="21"/>
      <c r="I270" s="9"/>
      <c r="J270" s="9"/>
      <c r="K270" s="22">
        <f>SUM(R267:R269)</f>
        <v>3267.75</v>
      </c>
      <c r="L270" s="22"/>
    </row>
    <row r="271" spans="1:22" ht="14.25" x14ac:dyDescent="0.2">
      <c r="A271" s="19"/>
      <c r="B271" s="19"/>
      <c r="C271" s="19"/>
      <c r="D271" s="19" t="s">
        <v>830</v>
      </c>
      <c r="E271" s="20" t="s">
        <v>829</v>
      </c>
      <c r="F271" s="9">
        <f>Source!AU220</f>
        <v>10</v>
      </c>
      <c r="G271" s="22"/>
      <c r="H271" s="21"/>
      <c r="I271" s="9"/>
      <c r="J271" s="9"/>
      <c r="K271" s="22">
        <f>SUM(T267:T270)</f>
        <v>466.82</v>
      </c>
      <c r="L271" s="22"/>
    </row>
    <row r="272" spans="1:22" ht="14.25" x14ac:dyDescent="0.2">
      <c r="A272" s="19"/>
      <c r="B272" s="19"/>
      <c r="C272" s="19"/>
      <c r="D272" s="19" t="s">
        <v>832</v>
      </c>
      <c r="E272" s="20" t="s">
        <v>833</v>
      </c>
      <c r="F272" s="9">
        <f>Source!AQ220</f>
        <v>0.45</v>
      </c>
      <c r="G272" s="22"/>
      <c r="H272" s="21" t="str">
        <f>Source!DI220</f>
        <v/>
      </c>
      <c r="I272" s="9">
        <f>Source!AV220</f>
        <v>1</v>
      </c>
      <c r="J272" s="9"/>
      <c r="K272" s="22"/>
      <c r="L272" s="22">
        <f>Source!U220</f>
        <v>7.5600000000000005</v>
      </c>
    </row>
    <row r="273" spans="1:22" ht="15" x14ac:dyDescent="0.25">
      <c r="A273" s="27"/>
      <c r="B273" s="27"/>
      <c r="C273" s="27"/>
      <c r="D273" s="27"/>
      <c r="E273" s="27"/>
      <c r="F273" s="27"/>
      <c r="G273" s="27"/>
      <c r="H273" s="27"/>
      <c r="I273" s="27"/>
      <c r="J273" s="60">
        <f>K269+K270+K271</f>
        <v>8402.7900000000009</v>
      </c>
      <c r="K273" s="60"/>
      <c r="L273" s="28">
        <f>IF(Source!I220&lt;&gt;0, ROUND(J273/Source!I220, 2), 0)</f>
        <v>500.17</v>
      </c>
      <c r="P273" s="25">
        <f>J273</f>
        <v>8402.7900000000009</v>
      </c>
    </row>
    <row r="274" spans="1:22" ht="42.75" x14ac:dyDescent="0.2">
      <c r="A274" s="19">
        <v>23</v>
      </c>
      <c r="B274" s="19">
        <v>23</v>
      </c>
      <c r="C274" s="19" t="str">
        <f>Source!F221</f>
        <v>1.15-2203-7-2/1</v>
      </c>
      <c r="D274" s="19" t="str">
        <f>Source!G221</f>
        <v>Техническое обслуживание крана шарового латунного никелированного диаметром до 50 мм</v>
      </c>
      <c r="E274" s="20" t="str">
        <f>Source!H221</f>
        <v>10 шт.</v>
      </c>
      <c r="F274" s="9">
        <f>Source!I221</f>
        <v>7.5</v>
      </c>
      <c r="G274" s="22"/>
      <c r="H274" s="21"/>
      <c r="I274" s="9"/>
      <c r="J274" s="9"/>
      <c r="K274" s="22"/>
      <c r="L274" s="22"/>
      <c r="Q274">
        <f>ROUND((Source!BZ221/100)*ROUND((Source!AF221*Source!AV221)*Source!I221, 2), 2)</f>
        <v>1977.52</v>
      </c>
      <c r="R274">
        <f>Source!X221</f>
        <v>1977.52</v>
      </c>
      <c r="S274">
        <f>ROUND((Source!CA221/100)*ROUND((Source!AF221*Source!AV221)*Source!I221, 2), 2)</f>
        <v>282.5</v>
      </c>
      <c r="T274">
        <f>Source!Y221</f>
        <v>282.5</v>
      </c>
      <c r="U274">
        <f>ROUND((175/100)*ROUND((Source!AE221*Source!AV221)*Source!I221, 2), 2)</f>
        <v>0</v>
      </c>
      <c r="V274">
        <f>ROUND((108/100)*ROUND(Source!CS221*Source!I221, 2), 2)</f>
        <v>0</v>
      </c>
    </row>
    <row r="275" spans="1:22" ht="25.5" x14ac:dyDescent="0.2">
      <c r="D275" s="23" t="str">
        <f>"Объем: "&amp;Source!I221&amp;"=((4+"&amp;"7+"&amp;"3+"&amp;"2+"&amp;"2+"&amp;"1)*"&amp;"3+"&amp;"(4+"&amp;"6+"&amp;"1+"&amp;"3+"&amp;"2+"&amp;"1+"&amp;"1))/"&amp;"10"</f>
        <v>Объем: 7,5=((4+7+3+2+2+1)*3+(4+6+1+3+2+1+1))/10</v>
      </c>
    </row>
    <row r="276" spans="1:22" ht="14.25" x14ac:dyDescent="0.2">
      <c r="A276" s="19"/>
      <c r="B276" s="19"/>
      <c r="C276" s="19"/>
      <c r="D276" s="19" t="s">
        <v>825</v>
      </c>
      <c r="E276" s="20"/>
      <c r="F276" s="9"/>
      <c r="G276" s="22">
        <f>Source!AO221</f>
        <v>376.67</v>
      </c>
      <c r="H276" s="21" t="str">
        <f>Source!DG221</f>
        <v/>
      </c>
      <c r="I276" s="9">
        <f>Source!AV221</f>
        <v>1</v>
      </c>
      <c r="J276" s="9">
        <f>IF(Source!BA221&lt;&gt; 0, Source!BA221, 1)</f>
        <v>1</v>
      </c>
      <c r="K276" s="22">
        <f>Source!S221</f>
        <v>2825.03</v>
      </c>
      <c r="L276" s="22"/>
    </row>
    <row r="277" spans="1:22" ht="14.25" x14ac:dyDescent="0.2">
      <c r="A277" s="19"/>
      <c r="B277" s="19"/>
      <c r="C277" s="19"/>
      <c r="D277" s="19" t="s">
        <v>828</v>
      </c>
      <c r="E277" s="20" t="s">
        <v>829</v>
      </c>
      <c r="F277" s="9">
        <f>Source!AT221</f>
        <v>70</v>
      </c>
      <c r="G277" s="22"/>
      <c r="H277" s="21"/>
      <c r="I277" s="9"/>
      <c r="J277" s="9"/>
      <c r="K277" s="22">
        <f>SUM(R274:R276)</f>
        <v>1977.52</v>
      </c>
      <c r="L277" s="22"/>
    </row>
    <row r="278" spans="1:22" ht="14.25" x14ac:dyDescent="0.2">
      <c r="A278" s="19"/>
      <c r="B278" s="19"/>
      <c r="C278" s="19"/>
      <c r="D278" s="19" t="s">
        <v>830</v>
      </c>
      <c r="E278" s="20" t="s">
        <v>829</v>
      </c>
      <c r="F278" s="9">
        <f>Source!AU221</f>
        <v>10</v>
      </c>
      <c r="G278" s="22"/>
      <c r="H278" s="21"/>
      <c r="I278" s="9"/>
      <c r="J278" s="9"/>
      <c r="K278" s="22">
        <f>SUM(T274:T277)</f>
        <v>282.5</v>
      </c>
      <c r="L278" s="22"/>
    </row>
    <row r="279" spans="1:22" ht="14.25" x14ac:dyDescent="0.2">
      <c r="A279" s="19"/>
      <c r="B279" s="19"/>
      <c r="C279" s="19"/>
      <c r="D279" s="19" t="s">
        <v>832</v>
      </c>
      <c r="E279" s="20" t="s">
        <v>833</v>
      </c>
      <c r="F279" s="9">
        <f>Source!AQ221</f>
        <v>0.61</v>
      </c>
      <c r="G279" s="22"/>
      <c r="H279" s="21" t="str">
        <f>Source!DI221</f>
        <v/>
      </c>
      <c r="I279" s="9">
        <f>Source!AV221</f>
        <v>1</v>
      </c>
      <c r="J279" s="9"/>
      <c r="K279" s="22"/>
      <c r="L279" s="22">
        <f>Source!U221</f>
        <v>4.5750000000000002</v>
      </c>
    </row>
    <row r="280" spans="1:22" ht="15" x14ac:dyDescent="0.25">
      <c r="A280" s="27"/>
      <c r="B280" s="27"/>
      <c r="C280" s="27"/>
      <c r="D280" s="27"/>
      <c r="E280" s="27"/>
      <c r="F280" s="27"/>
      <c r="G280" s="27"/>
      <c r="H280" s="27"/>
      <c r="I280" s="27"/>
      <c r="J280" s="60">
        <f>K276+K277+K278</f>
        <v>5085.05</v>
      </c>
      <c r="K280" s="60"/>
      <c r="L280" s="28">
        <f>IF(Source!I221&lt;&gt;0, ROUND(J280/Source!I221, 2), 0)</f>
        <v>678.01</v>
      </c>
      <c r="P280" s="25">
        <f>J280</f>
        <v>5085.05</v>
      </c>
    </row>
    <row r="281" spans="1:22" ht="57" x14ac:dyDescent="0.2">
      <c r="A281" s="19">
        <v>24</v>
      </c>
      <c r="B281" s="19">
        <v>24</v>
      </c>
      <c r="C281" s="19" t="str">
        <f>Source!F222</f>
        <v>1.15-2303-5-1/1</v>
      </c>
      <c r="D281" s="19" t="str">
        <f>Source!G222</f>
        <v>Техническое обслуживание фильтров водяных фланцевых сетчатых диаметром до 65 мм/ Грязевик абонентский стальной фланцевый</v>
      </c>
      <c r="E281" s="20" t="str">
        <f>Source!H222</f>
        <v>10 шт.</v>
      </c>
      <c r="F281" s="9">
        <f>Source!I222</f>
        <v>0.4</v>
      </c>
      <c r="G281" s="22"/>
      <c r="H281" s="21"/>
      <c r="I281" s="9"/>
      <c r="J281" s="9"/>
      <c r="K281" s="22"/>
      <c r="L281" s="22"/>
      <c r="Q281">
        <f>ROUND((Source!BZ222/100)*ROUND((Source!AF222*Source!AV222)*Source!I222, 2), 2)</f>
        <v>566.66</v>
      </c>
      <c r="R281">
        <f>Source!X222</f>
        <v>566.66</v>
      </c>
      <c r="S281">
        <f>ROUND((Source!CA222/100)*ROUND((Source!AF222*Source!AV222)*Source!I222, 2), 2)</f>
        <v>80.95</v>
      </c>
      <c r="T281">
        <f>Source!Y222</f>
        <v>80.95</v>
      </c>
      <c r="U281">
        <f>ROUND((175/100)*ROUND((Source!AE222*Source!AV222)*Source!I222, 2), 2)</f>
        <v>0</v>
      </c>
      <c r="V281">
        <f>ROUND((108/100)*ROUND(Source!CS222*Source!I222, 2), 2)</f>
        <v>0</v>
      </c>
    </row>
    <row r="282" spans="1:22" x14ac:dyDescent="0.2">
      <c r="D282" s="23" t="str">
        <f>"Объем: "&amp;Source!I222&amp;"=4/"&amp;"10"</f>
        <v>Объем: 0,4=4/10</v>
      </c>
    </row>
    <row r="283" spans="1:22" ht="14.25" x14ac:dyDescent="0.2">
      <c r="A283" s="19"/>
      <c r="B283" s="19"/>
      <c r="C283" s="19"/>
      <c r="D283" s="19" t="s">
        <v>825</v>
      </c>
      <c r="E283" s="20"/>
      <c r="F283" s="9"/>
      <c r="G283" s="22">
        <f>Source!AO222</f>
        <v>2023.81</v>
      </c>
      <c r="H283" s="21" t="str">
        <f>Source!DG222</f>
        <v/>
      </c>
      <c r="I283" s="9">
        <f>Source!AV222</f>
        <v>1</v>
      </c>
      <c r="J283" s="9">
        <f>IF(Source!BA222&lt;&gt; 0, Source!BA222, 1)</f>
        <v>1</v>
      </c>
      <c r="K283" s="22">
        <f>Source!S222</f>
        <v>809.52</v>
      </c>
      <c r="L283" s="22"/>
    </row>
    <row r="284" spans="1:22" ht="14.25" x14ac:dyDescent="0.2">
      <c r="A284" s="19"/>
      <c r="B284" s="19"/>
      <c r="C284" s="19"/>
      <c r="D284" s="19" t="s">
        <v>834</v>
      </c>
      <c r="E284" s="20"/>
      <c r="F284" s="9"/>
      <c r="G284" s="22">
        <f>Source!AL222</f>
        <v>0.38</v>
      </c>
      <c r="H284" s="21" t="str">
        <f>Source!DD222</f>
        <v/>
      </c>
      <c r="I284" s="9">
        <f>Source!AW222</f>
        <v>1</v>
      </c>
      <c r="J284" s="9">
        <f>IF(Source!BC222&lt;&gt; 0, Source!BC222, 1)</f>
        <v>1</v>
      </c>
      <c r="K284" s="22">
        <f>Source!P222</f>
        <v>0.15</v>
      </c>
      <c r="L284" s="22"/>
    </row>
    <row r="285" spans="1:22" ht="57" x14ac:dyDescent="0.2">
      <c r="A285" s="19" t="s">
        <v>192</v>
      </c>
      <c r="B285" s="19" t="s">
        <v>192</v>
      </c>
      <c r="C285" s="19" t="str">
        <f>Source!F223</f>
        <v>21.26-1-110</v>
      </c>
      <c r="D285" s="19" t="str">
        <f>Source!G223</f>
        <v>Прокладки из терморасширенного графита для обслуживания фильтра сетчатого чугунного фланцевого диаметром 65 мм</v>
      </c>
      <c r="E285" s="20" t="str">
        <f>Source!H223</f>
        <v>шт.</v>
      </c>
      <c r="F285" s="9">
        <f>Source!I223</f>
        <v>8</v>
      </c>
      <c r="G285" s="22">
        <f>Source!AK223</f>
        <v>207.47</v>
      </c>
      <c r="H285" s="30" t="s">
        <v>3</v>
      </c>
      <c r="I285" s="9">
        <f>Source!AW223</f>
        <v>1</v>
      </c>
      <c r="J285" s="9">
        <f>IF(Source!BC223&lt;&gt; 0, Source!BC223, 1)</f>
        <v>1</v>
      </c>
      <c r="K285" s="22">
        <f>Source!O223</f>
        <v>1659.76</v>
      </c>
      <c r="L285" s="22"/>
      <c r="Q285">
        <f>ROUND((Source!BZ223/100)*ROUND((Source!AF223*Source!AV223)*Source!I223, 2), 2)</f>
        <v>0</v>
      </c>
      <c r="R285">
        <f>Source!X223</f>
        <v>0</v>
      </c>
      <c r="S285">
        <f>ROUND((Source!CA223/100)*ROUND((Source!AF223*Source!AV223)*Source!I223, 2), 2)</f>
        <v>0</v>
      </c>
      <c r="T285">
        <f>Source!Y223</f>
        <v>0</v>
      </c>
      <c r="U285">
        <f>ROUND((175/100)*ROUND((Source!AE223*Source!AV223)*Source!I223, 2), 2)</f>
        <v>0</v>
      </c>
      <c r="V285">
        <f>ROUND((108/100)*ROUND(Source!CS223*Source!I223, 2), 2)</f>
        <v>0</v>
      </c>
    </row>
    <row r="286" spans="1:22" ht="14.25" x14ac:dyDescent="0.2">
      <c r="A286" s="19"/>
      <c r="B286" s="19"/>
      <c r="C286" s="19"/>
      <c r="D286" s="19" t="s">
        <v>828</v>
      </c>
      <c r="E286" s="20" t="s">
        <v>829</v>
      </c>
      <c r="F286" s="9">
        <f>Source!AT222</f>
        <v>70</v>
      </c>
      <c r="G286" s="22"/>
      <c r="H286" s="21"/>
      <c r="I286" s="9"/>
      <c r="J286" s="9"/>
      <c r="K286" s="22">
        <f>SUM(R281:R285)</f>
        <v>566.66</v>
      </c>
      <c r="L286" s="22"/>
    </row>
    <row r="287" spans="1:22" ht="14.25" x14ac:dyDescent="0.2">
      <c r="A287" s="19"/>
      <c r="B287" s="19"/>
      <c r="C287" s="19"/>
      <c r="D287" s="19" t="s">
        <v>830</v>
      </c>
      <c r="E287" s="20" t="s">
        <v>829</v>
      </c>
      <c r="F287" s="9">
        <f>Source!AU222</f>
        <v>10</v>
      </c>
      <c r="G287" s="22"/>
      <c r="H287" s="21"/>
      <c r="I287" s="9"/>
      <c r="J287" s="9"/>
      <c r="K287" s="22">
        <f>SUM(T281:T286)</f>
        <v>80.95</v>
      </c>
      <c r="L287" s="22"/>
    </row>
    <row r="288" spans="1:22" ht="14.25" x14ac:dyDescent="0.2">
      <c r="A288" s="19"/>
      <c r="B288" s="19"/>
      <c r="C288" s="19"/>
      <c r="D288" s="19" t="s">
        <v>832</v>
      </c>
      <c r="E288" s="20" t="s">
        <v>833</v>
      </c>
      <c r="F288" s="9">
        <f>Source!AQ222</f>
        <v>3.6</v>
      </c>
      <c r="G288" s="22"/>
      <c r="H288" s="21" t="str">
        <f>Source!DI222</f>
        <v/>
      </c>
      <c r="I288" s="9">
        <f>Source!AV222</f>
        <v>1</v>
      </c>
      <c r="J288" s="9"/>
      <c r="K288" s="22"/>
      <c r="L288" s="22">
        <f>Source!U222</f>
        <v>1.4400000000000002</v>
      </c>
    </row>
    <row r="289" spans="1:22" ht="15" x14ac:dyDescent="0.25">
      <c r="A289" s="27"/>
      <c r="B289" s="27"/>
      <c r="C289" s="27"/>
      <c r="D289" s="27"/>
      <c r="E289" s="27"/>
      <c r="F289" s="27"/>
      <c r="G289" s="27"/>
      <c r="H289" s="27"/>
      <c r="I289" s="27"/>
      <c r="J289" s="60">
        <f>K283+K284+K286+K287+SUM(K285:K285)</f>
        <v>3117.04</v>
      </c>
      <c r="K289" s="60"/>
      <c r="L289" s="28">
        <f>IF(Source!I222&lt;&gt;0, ROUND(J289/Source!I222, 2), 0)</f>
        <v>7792.6</v>
      </c>
      <c r="P289" s="25">
        <f>J289</f>
        <v>3117.04</v>
      </c>
    </row>
    <row r="290" spans="1:22" ht="42.75" x14ac:dyDescent="0.2">
      <c r="A290" s="19">
        <v>25</v>
      </c>
      <c r="B290" s="19">
        <v>25</v>
      </c>
      <c r="C290" s="19" t="str">
        <f>Source!F224</f>
        <v>1.23-2103-41-1/1</v>
      </c>
      <c r="D290" s="19" t="str">
        <f>Source!G224</f>
        <v>Техническое обслуживание регулирующего клапана/ Обратный клапан с латунным золотником</v>
      </c>
      <c r="E290" s="20" t="str">
        <f>Source!H224</f>
        <v>шт.</v>
      </c>
      <c r="F290" s="9">
        <f>Source!I224</f>
        <v>20</v>
      </c>
      <c r="G290" s="22"/>
      <c r="H290" s="21"/>
      <c r="I290" s="9"/>
      <c r="J290" s="9"/>
      <c r="K290" s="22"/>
      <c r="L290" s="22"/>
      <c r="Q290">
        <f>ROUND((Source!BZ224/100)*ROUND((Source!AF224*Source!AV224)*Source!I224, 2), 2)</f>
        <v>2912</v>
      </c>
      <c r="R290">
        <f>Source!X224</f>
        <v>2912</v>
      </c>
      <c r="S290">
        <f>ROUND((Source!CA224/100)*ROUND((Source!AF224*Source!AV224)*Source!I224, 2), 2)</f>
        <v>416</v>
      </c>
      <c r="T290">
        <f>Source!Y224</f>
        <v>416</v>
      </c>
      <c r="U290">
        <f>ROUND((175/100)*ROUND((Source!AE224*Source!AV224)*Source!I224, 2), 2)</f>
        <v>1734.95</v>
      </c>
      <c r="V290">
        <f>ROUND((108/100)*ROUND(Source!CS224*Source!I224, 2), 2)</f>
        <v>1070.71</v>
      </c>
    </row>
    <row r="291" spans="1:22" x14ac:dyDescent="0.2">
      <c r="D291" s="23" t="str">
        <f>"Объем: "&amp;Source!I224&amp;"=(2+"&amp;"1+"&amp;"2)*"&amp;"4"</f>
        <v>Объем: 20=(2+1+2)*4</v>
      </c>
    </row>
    <row r="292" spans="1:22" ht="14.25" x14ac:dyDescent="0.2">
      <c r="A292" s="19"/>
      <c r="B292" s="19"/>
      <c r="C292" s="19"/>
      <c r="D292" s="19" t="s">
        <v>825</v>
      </c>
      <c r="E292" s="20"/>
      <c r="F292" s="9"/>
      <c r="G292" s="22">
        <f>Source!AO224</f>
        <v>208</v>
      </c>
      <c r="H292" s="21" t="str">
        <f>Source!DG224</f>
        <v/>
      </c>
      <c r="I292" s="9">
        <f>Source!AV224</f>
        <v>1</v>
      </c>
      <c r="J292" s="9">
        <f>IF(Source!BA224&lt;&gt; 0, Source!BA224, 1)</f>
        <v>1</v>
      </c>
      <c r="K292" s="22">
        <f>Source!S224</f>
        <v>4160</v>
      </c>
      <c r="L292" s="22"/>
    </row>
    <row r="293" spans="1:22" ht="14.25" x14ac:dyDescent="0.2">
      <c r="A293" s="19"/>
      <c r="B293" s="19"/>
      <c r="C293" s="19"/>
      <c r="D293" s="19" t="s">
        <v>826</v>
      </c>
      <c r="E293" s="20"/>
      <c r="F293" s="9"/>
      <c r="G293" s="22">
        <f>Source!AM224</f>
        <v>78.180000000000007</v>
      </c>
      <c r="H293" s="21" t="str">
        <f>Source!DE224</f>
        <v/>
      </c>
      <c r="I293" s="9">
        <f>Source!AV224</f>
        <v>1</v>
      </c>
      <c r="J293" s="9">
        <f>IF(Source!BB224&lt;&gt; 0, Source!BB224, 1)</f>
        <v>1</v>
      </c>
      <c r="K293" s="22">
        <f>Source!Q224</f>
        <v>1563.6</v>
      </c>
      <c r="L293" s="22"/>
    </row>
    <row r="294" spans="1:22" ht="14.25" x14ac:dyDescent="0.2">
      <c r="A294" s="19"/>
      <c r="B294" s="19"/>
      <c r="C294" s="19"/>
      <c r="D294" s="19" t="s">
        <v>827</v>
      </c>
      <c r="E294" s="20"/>
      <c r="F294" s="9"/>
      <c r="G294" s="22">
        <f>Source!AN224</f>
        <v>49.57</v>
      </c>
      <c r="H294" s="21" t="str">
        <f>Source!DF224</f>
        <v/>
      </c>
      <c r="I294" s="9">
        <f>Source!AV224</f>
        <v>1</v>
      </c>
      <c r="J294" s="9">
        <f>IF(Source!BS224&lt;&gt; 0, Source!BS224, 1)</f>
        <v>1</v>
      </c>
      <c r="K294" s="24">
        <f>Source!R224</f>
        <v>991.4</v>
      </c>
      <c r="L294" s="22"/>
    </row>
    <row r="295" spans="1:22" ht="14.25" x14ac:dyDescent="0.2">
      <c r="A295" s="19"/>
      <c r="B295" s="19"/>
      <c r="C295" s="19"/>
      <c r="D295" s="19" t="s">
        <v>828</v>
      </c>
      <c r="E295" s="20" t="s">
        <v>829</v>
      </c>
      <c r="F295" s="9">
        <f>Source!AT224</f>
        <v>70</v>
      </c>
      <c r="G295" s="22"/>
      <c r="H295" s="21"/>
      <c r="I295" s="9"/>
      <c r="J295" s="9"/>
      <c r="K295" s="22">
        <f>SUM(R290:R294)</f>
        <v>2912</v>
      </c>
      <c r="L295" s="22"/>
    </row>
    <row r="296" spans="1:22" ht="14.25" x14ac:dyDescent="0.2">
      <c r="A296" s="19"/>
      <c r="B296" s="19"/>
      <c r="C296" s="19"/>
      <c r="D296" s="19" t="s">
        <v>830</v>
      </c>
      <c r="E296" s="20" t="s">
        <v>829</v>
      </c>
      <c r="F296" s="9">
        <f>Source!AU224</f>
        <v>10</v>
      </c>
      <c r="G296" s="22"/>
      <c r="H296" s="21"/>
      <c r="I296" s="9"/>
      <c r="J296" s="9"/>
      <c r="K296" s="22">
        <f>SUM(T290:T295)</f>
        <v>416</v>
      </c>
      <c r="L296" s="22"/>
    </row>
    <row r="297" spans="1:22" ht="14.25" x14ac:dyDescent="0.2">
      <c r="A297" s="19"/>
      <c r="B297" s="19"/>
      <c r="C297" s="19"/>
      <c r="D297" s="19" t="s">
        <v>831</v>
      </c>
      <c r="E297" s="20" t="s">
        <v>829</v>
      </c>
      <c r="F297" s="9">
        <f>108</f>
        <v>108</v>
      </c>
      <c r="G297" s="22"/>
      <c r="H297" s="21"/>
      <c r="I297" s="9"/>
      <c r="J297" s="9"/>
      <c r="K297" s="22">
        <f>SUM(V290:V296)</f>
        <v>1070.71</v>
      </c>
      <c r="L297" s="22"/>
    </row>
    <row r="298" spans="1:22" ht="14.25" x14ac:dyDescent="0.2">
      <c r="A298" s="19"/>
      <c r="B298" s="19"/>
      <c r="C298" s="19"/>
      <c r="D298" s="19" t="s">
        <v>832</v>
      </c>
      <c r="E298" s="20" t="s">
        <v>833</v>
      </c>
      <c r="F298" s="9">
        <f>Source!AQ224</f>
        <v>0.37</v>
      </c>
      <c r="G298" s="22"/>
      <c r="H298" s="21" t="str">
        <f>Source!DI224</f>
        <v/>
      </c>
      <c r="I298" s="9">
        <f>Source!AV224</f>
        <v>1</v>
      </c>
      <c r="J298" s="9"/>
      <c r="K298" s="22"/>
      <c r="L298" s="22">
        <f>Source!U224</f>
        <v>7.4</v>
      </c>
    </row>
    <row r="299" spans="1:22" ht="15" x14ac:dyDescent="0.25">
      <c r="A299" s="27"/>
      <c r="B299" s="27"/>
      <c r="C299" s="27"/>
      <c r="D299" s="27"/>
      <c r="E299" s="27"/>
      <c r="F299" s="27"/>
      <c r="G299" s="27"/>
      <c r="H299" s="27"/>
      <c r="I299" s="27"/>
      <c r="J299" s="60">
        <f>K292+K293+K295+K296+K297</f>
        <v>10122.310000000001</v>
      </c>
      <c r="K299" s="60"/>
      <c r="L299" s="28">
        <f>IF(Source!I224&lt;&gt;0, ROUND(J299/Source!I224, 2), 0)</f>
        <v>506.12</v>
      </c>
      <c r="P299" s="25">
        <f>J299</f>
        <v>10122.310000000001</v>
      </c>
    </row>
    <row r="300" spans="1:22" ht="28.5" x14ac:dyDescent="0.2">
      <c r="A300" s="19">
        <v>26</v>
      </c>
      <c r="B300" s="19">
        <v>26</v>
      </c>
      <c r="C300" s="19" t="str">
        <f>Source!F225</f>
        <v>1.15-2303-4-1/1</v>
      </c>
      <c r="D300" s="19" t="str">
        <f>Source!G225</f>
        <v>Прочистка сетчатых фильтров грубой очистки воды диаметром до 25 мм</v>
      </c>
      <c r="E300" s="20" t="str">
        <f>Source!H225</f>
        <v>10 шт.</v>
      </c>
      <c r="F300" s="9">
        <f>Source!I225</f>
        <v>0.8</v>
      </c>
      <c r="G300" s="22"/>
      <c r="H300" s="21"/>
      <c r="I300" s="9"/>
      <c r="J300" s="9"/>
      <c r="K300" s="22"/>
      <c r="L300" s="22"/>
      <c r="Q300">
        <f>ROUND((Source!BZ225/100)*ROUND((Source!AF225*Source!AV225)*Source!I225, 2), 2)</f>
        <v>1410.84</v>
      </c>
      <c r="R300">
        <f>Source!X225</f>
        <v>1410.84</v>
      </c>
      <c r="S300">
        <f>ROUND((Source!CA225/100)*ROUND((Source!AF225*Source!AV225)*Source!I225, 2), 2)</f>
        <v>201.55</v>
      </c>
      <c r="T300">
        <f>Source!Y225</f>
        <v>201.55</v>
      </c>
      <c r="U300">
        <f>ROUND((175/100)*ROUND((Source!AE225*Source!AV225)*Source!I225, 2), 2)</f>
        <v>0</v>
      </c>
      <c r="V300">
        <f>ROUND((108/100)*ROUND(Source!CS225*Source!I225, 2), 2)</f>
        <v>0</v>
      </c>
    </row>
    <row r="301" spans="1:22" x14ac:dyDescent="0.2">
      <c r="D301" s="23" t="str">
        <f>"Объем: "&amp;Source!I225&amp;"=(2+"&amp;"2+"&amp;"2+"&amp;"2)/"&amp;"10"</f>
        <v>Объем: 0,8=(2+2+2+2)/10</v>
      </c>
    </row>
    <row r="302" spans="1:22" ht="14.25" x14ac:dyDescent="0.2">
      <c r="A302" s="19"/>
      <c r="B302" s="19"/>
      <c r="C302" s="19"/>
      <c r="D302" s="19" t="s">
        <v>825</v>
      </c>
      <c r="E302" s="20"/>
      <c r="F302" s="9"/>
      <c r="G302" s="22">
        <f>Source!AO225</f>
        <v>1259.68</v>
      </c>
      <c r="H302" s="21" t="str">
        <f>Source!DG225</f>
        <v>)*2</v>
      </c>
      <c r="I302" s="9">
        <f>Source!AV225</f>
        <v>1</v>
      </c>
      <c r="J302" s="9">
        <f>IF(Source!BA225&lt;&gt; 0, Source!BA225, 1)</f>
        <v>1</v>
      </c>
      <c r="K302" s="22">
        <f>Source!S225</f>
        <v>2015.49</v>
      </c>
      <c r="L302" s="22"/>
    </row>
    <row r="303" spans="1:22" ht="14.25" x14ac:dyDescent="0.2">
      <c r="A303" s="19"/>
      <c r="B303" s="19"/>
      <c r="C303" s="19"/>
      <c r="D303" s="19" t="s">
        <v>828</v>
      </c>
      <c r="E303" s="20" t="s">
        <v>829</v>
      </c>
      <c r="F303" s="9">
        <f>Source!AT225</f>
        <v>70</v>
      </c>
      <c r="G303" s="22"/>
      <c r="H303" s="21"/>
      <c r="I303" s="9"/>
      <c r="J303" s="9"/>
      <c r="K303" s="22">
        <f>SUM(R300:R302)</f>
        <v>1410.84</v>
      </c>
      <c r="L303" s="22"/>
    </row>
    <row r="304" spans="1:22" ht="14.25" x14ac:dyDescent="0.2">
      <c r="A304" s="19"/>
      <c r="B304" s="19"/>
      <c r="C304" s="19"/>
      <c r="D304" s="19" t="s">
        <v>830</v>
      </c>
      <c r="E304" s="20" t="s">
        <v>829</v>
      </c>
      <c r="F304" s="9">
        <f>Source!AU225</f>
        <v>10</v>
      </c>
      <c r="G304" s="22"/>
      <c r="H304" s="21"/>
      <c r="I304" s="9"/>
      <c r="J304" s="9"/>
      <c r="K304" s="22">
        <f>SUM(T300:T303)</f>
        <v>201.55</v>
      </c>
      <c r="L304" s="22"/>
    </row>
    <row r="305" spans="1:22" ht="14.25" x14ac:dyDescent="0.2">
      <c r="A305" s="19"/>
      <c r="B305" s="19"/>
      <c r="C305" s="19"/>
      <c r="D305" s="19" t="s">
        <v>832</v>
      </c>
      <c r="E305" s="20" t="s">
        <v>833</v>
      </c>
      <c r="F305" s="9">
        <f>Source!AQ225</f>
        <v>2.04</v>
      </c>
      <c r="G305" s="22"/>
      <c r="H305" s="21" t="str">
        <f>Source!DI225</f>
        <v>)*2</v>
      </c>
      <c r="I305" s="9">
        <f>Source!AV225</f>
        <v>1</v>
      </c>
      <c r="J305" s="9"/>
      <c r="K305" s="22"/>
      <c r="L305" s="22">
        <f>Source!U225</f>
        <v>3.2640000000000002</v>
      </c>
    </row>
    <row r="306" spans="1:22" ht="15" x14ac:dyDescent="0.25">
      <c r="A306" s="27"/>
      <c r="B306" s="27"/>
      <c r="C306" s="27"/>
      <c r="D306" s="27"/>
      <c r="E306" s="27"/>
      <c r="F306" s="27"/>
      <c r="G306" s="27"/>
      <c r="H306" s="27"/>
      <c r="I306" s="27"/>
      <c r="J306" s="60">
        <f>K302+K303+K304</f>
        <v>3627.88</v>
      </c>
      <c r="K306" s="60"/>
      <c r="L306" s="28">
        <f>IF(Source!I225&lt;&gt;0, ROUND(J306/Source!I225, 2), 0)</f>
        <v>4534.8500000000004</v>
      </c>
      <c r="P306" s="25">
        <f>J306</f>
        <v>3627.88</v>
      </c>
    </row>
    <row r="307" spans="1:22" ht="28.5" x14ac:dyDescent="0.2">
      <c r="A307" s="19">
        <v>27</v>
      </c>
      <c r="B307" s="19">
        <v>27</v>
      </c>
      <c r="C307" s="19" t="str">
        <f>Source!F226</f>
        <v>1.15-2303-4-2/1</v>
      </c>
      <c r="D307" s="19" t="str">
        <f>Source!G226</f>
        <v>Прочистка сетчатых фильтров грубой очистки воды диаметром до 50 мм</v>
      </c>
      <c r="E307" s="20" t="str">
        <f>Source!H226</f>
        <v>10 шт.</v>
      </c>
      <c r="F307" s="9">
        <f>Source!I226</f>
        <v>1.2</v>
      </c>
      <c r="G307" s="22"/>
      <c r="H307" s="21"/>
      <c r="I307" s="9"/>
      <c r="J307" s="9"/>
      <c r="K307" s="22"/>
      <c r="L307" s="22"/>
      <c r="Q307">
        <f>ROUND((Source!BZ226/100)*ROUND((Source!AF226*Source!AV226)*Source!I226, 2), 2)</f>
        <v>2417.1</v>
      </c>
      <c r="R307">
        <f>Source!X226</f>
        <v>2417.1</v>
      </c>
      <c r="S307">
        <f>ROUND((Source!CA226/100)*ROUND((Source!AF226*Source!AV226)*Source!I226, 2), 2)</f>
        <v>345.3</v>
      </c>
      <c r="T307">
        <f>Source!Y226</f>
        <v>345.3</v>
      </c>
      <c r="U307">
        <f>ROUND((175/100)*ROUND((Source!AE226*Source!AV226)*Source!I226, 2), 2)</f>
        <v>0</v>
      </c>
      <c r="V307">
        <f>ROUND((108/100)*ROUND(Source!CS226*Source!I226, 2), 2)</f>
        <v>0</v>
      </c>
    </row>
    <row r="308" spans="1:22" x14ac:dyDescent="0.2">
      <c r="D308" s="23" t="str">
        <f>"Объем: "&amp;Source!I226&amp;"=(2+"&amp;"1)*"&amp;"4/"&amp;"10"</f>
        <v>Объем: 1,2=(2+1)*4/10</v>
      </c>
    </row>
    <row r="309" spans="1:22" ht="14.25" x14ac:dyDescent="0.2">
      <c r="A309" s="19"/>
      <c r="B309" s="19"/>
      <c r="C309" s="19"/>
      <c r="D309" s="19" t="s">
        <v>825</v>
      </c>
      <c r="E309" s="20"/>
      <c r="F309" s="9"/>
      <c r="G309" s="22">
        <f>Source!AO226</f>
        <v>1438.75</v>
      </c>
      <c r="H309" s="21" t="str">
        <f>Source!DG226</f>
        <v>)*2</v>
      </c>
      <c r="I309" s="9">
        <f>Source!AV226</f>
        <v>1</v>
      </c>
      <c r="J309" s="9">
        <f>IF(Source!BA226&lt;&gt; 0, Source!BA226, 1)</f>
        <v>1</v>
      </c>
      <c r="K309" s="22">
        <f>Source!S226</f>
        <v>3453</v>
      </c>
      <c r="L309" s="22"/>
    </row>
    <row r="310" spans="1:22" ht="14.25" x14ac:dyDescent="0.2">
      <c r="A310" s="19"/>
      <c r="B310" s="19"/>
      <c r="C310" s="19"/>
      <c r="D310" s="19" t="s">
        <v>828</v>
      </c>
      <c r="E310" s="20" t="s">
        <v>829</v>
      </c>
      <c r="F310" s="9">
        <f>Source!AT226</f>
        <v>70</v>
      </c>
      <c r="G310" s="22"/>
      <c r="H310" s="21"/>
      <c r="I310" s="9"/>
      <c r="J310" s="9"/>
      <c r="K310" s="22">
        <f>SUM(R307:R309)</f>
        <v>2417.1</v>
      </c>
      <c r="L310" s="22"/>
    </row>
    <row r="311" spans="1:22" ht="14.25" x14ac:dyDescent="0.2">
      <c r="A311" s="19"/>
      <c r="B311" s="19"/>
      <c r="C311" s="19"/>
      <c r="D311" s="19" t="s">
        <v>830</v>
      </c>
      <c r="E311" s="20" t="s">
        <v>829</v>
      </c>
      <c r="F311" s="9">
        <f>Source!AU226</f>
        <v>10</v>
      </c>
      <c r="G311" s="22"/>
      <c r="H311" s="21"/>
      <c r="I311" s="9"/>
      <c r="J311" s="9"/>
      <c r="K311" s="22">
        <f>SUM(T307:T310)</f>
        <v>345.3</v>
      </c>
      <c r="L311" s="22"/>
    </row>
    <row r="312" spans="1:22" ht="14.25" x14ac:dyDescent="0.2">
      <c r="A312" s="19"/>
      <c r="B312" s="19"/>
      <c r="C312" s="19"/>
      <c r="D312" s="19" t="s">
        <v>832</v>
      </c>
      <c r="E312" s="20" t="s">
        <v>833</v>
      </c>
      <c r="F312" s="9">
        <f>Source!AQ226</f>
        <v>2.33</v>
      </c>
      <c r="G312" s="22"/>
      <c r="H312" s="21" t="str">
        <f>Source!DI226</f>
        <v>)*2</v>
      </c>
      <c r="I312" s="9">
        <f>Source!AV226</f>
        <v>1</v>
      </c>
      <c r="J312" s="9"/>
      <c r="K312" s="22"/>
      <c r="L312" s="22">
        <f>Source!U226</f>
        <v>5.5919999999999996</v>
      </c>
    </row>
    <row r="313" spans="1:22" ht="15" x14ac:dyDescent="0.25">
      <c r="A313" s="27"/>
      <c r="B313" s="27"/>
      <c r="C313" s="27"/>
      <c r="D313" s="27"/>
      <c r="E313" s="27"/>
      <c r="F313" s="27"/>
      <c r="G313" s="27"/>
      <c r="H313" s="27"/>
      <c r="I313" s="27"/>
      <c r="J313" s="60">
        <f>K309+K310+K311</f>
        <v>6215.4000000000005</v>
      </c>
      <c r="K313" s="60"/>
      <c r="L313" s="28">
        <f>IF(Source!I226&lt;&gt;0, ROUND(J313/Source!I226, 2), 0)</f>
        <v>5179.5</v>
      </c>
      <c r="P313" s="25">
        <f>J313</f>
        <v>6215.4000000000005</v>
      </c>
    </row>
    <row r="314" spans="1:22" ht="42.75" x14ac:dyDescent="0.2">
      <c r="A314" s="19">
        <v>28</v>
      </c>
      <c r="B314" s="19">
        <v>28</v>
      </c>
      <c r="C314" s="19" t="str">
        <f>Source!F227</f>
        <v>1.23-2103-39-2/1</v>
      </c>
      <c r="D314" s="19" t="str">
        <f>Source!G227</f>
        <v>Техническое обслуживание счетчиков холодной и горячей воды условным диаметром 25-40 мм.</v>
      </c>
      <c r="E314" s="20" t="str">
        <f>Source!H227</f>
        <v>шт.</v>
      </c>
      <c r="F314" s="9">
        <f>Source!I227</f>
        <v>4</v>
      </c>
      <c r="G314" s="22"/>
      <c r="H314" s="21"/>
      <c r="I314" s="9"/>
      <c r="J314" s="9"/>
      <c r="K314" s="22"/>
      <c r="L314" s="22"/>
      <c r="Q314">
        <f>ROUND((Source!BZ227/100)*ROUND((Source!AF227*Source!AV227)*Source!I227, 2), 2)</f>
        <v>3274.07</v>
      </c>
      <c r="R314">
        <f>Source!X227</f>
        <v>3274.07</v>
      </c>
      <c r="S314">
        <f>ROUND((Source!CA227/100)*ROUND((Source!AF227*Source!AV227)*Source!I227, 2), 2)</f>
        <v>467.72</v>
      </c>
      <c r="T314">
        <f>Source!Y227</f>
        <v>467.72</v>
      </c>
      <c r="U314">
        <f>ROUND((175/100)*ROUND((Source!AE227*Source!AV227)*Source!I227, 2), 2)</f>
        <v>0</v>
      </c>
      <c r="V314">
        <f>ROUND((108/100)*ROUND(Source!CS227*Source!I227, 2), 2)</f>
        <v>0</v>
      </c>
    </row>
    <row r="315" spans="1:22" x14ac:dyDescent="0.2">
      <c r="D315" s="23" t="str">
        <f>"Объем: "&amp;Source!I227&amp;"=1+"&amp;"1+"&amp;"1+"&amp;"1"</f>
        <v>Объем: 4=1+1+1+1</v>
      </c>
    </row>
    <row r="316" spans="1:22" ht="14.25" x14ac:dyDescent="0.2">
      <c r="A316" s="19"/>
      <c r="B316" s="19"/>
      <c r="C316" s="19"/>
      <c r="D316" s="19" t="s">
        <v>825</v>
      </c>
      <c r="E316" s="20"/>
      <c r="F316" s="9"/>
      <c r="G316" s="22">
        <f>Source!AO227</f>
        <v>1169.31</v>
      </c>
      <c r="H316" s="21" t="str">
        <f>Source!DG227</f>
        <v/>
      </c>
      <c r="I316" s="9">
        <f>Source!AV227</f>
        <v>1</v>
      </c>
      <c r="J316" s="9">
        <f>IF(Source!BA227&lt;&gt; 0, Source!BA227, 1)</f>
        <v>1</v>
      </c>
      <c r="K316" s="22">
        <f>Source!S227</f>
        <v>4677.24</v>
      </c>
      <c r="L316" s="22"/>
    </row>
    <row r="317" spans="1:22" ht="14.25" x14ac:dyDescent="0.2">
      <c r="A317" s="19"/>
      <c r="B317" s="19"/>
      <c r="C317" s="19"/>
      <c r="D317" s="19" t="s">
        <v>834</v>
      </c>
      <c r="E317" s="20"/>
      <c r="F317" s="9"/>
      <c r="G317" s="22">
        <f>Source!AL227</f>
        <v>0.19</v>
      </c>
      <c r="H317" s="21" t="str">
        <f>Source!DD227</f>
        <v/>
      </c>
      <c r="I317" s="9">
        <f>Source!AW227</f>
        <v>1</v>
      </c>
      <c r="J317" s="9">
        <f>IF(Source!BC227&lt;&gt; 0, Source!BC227, 1)</f>
        <v>1</v>
      </c>
      <c r="K317" s="22">
        <f>Source!P227</f>
        <v>0.76</v>
      </c>
      <c r="L317" s="22"/>
    </row>
    <row r="318" spans="1:22" ht="14.25" x14ac:dyDescent="0.2">
      <c r="A318" s="19"/>
      <c r="B318" s="19"/>
      <c r="C318" s="19"/>
      <c r="D318" s="19" t="s">
        <v>828</v>
      </c>
      <c r="E318" s="20" t="s">
        <v>829</v>
      </c>
      <c r="F318" s="9">
        <f>Source!AT227</f>
        <v>70</v>
      </c>
      <c r="G318" s="22"/>
      <c r="H318" s="21"/>
      <c r="I318" s="9"/>
      <c r="J318" s="9"/>
      <c r="K318" s="22">
        <f>SUM(R314:R317)</f>
        <v>3274.07</v>
      </c>
      <c r="L318" s="22"/>
    </row>
    <row r="319" spans="1:22" ht="14.25" x14ac:dyDescent="0.2">
      <c r="A319" s="19"/>
      <c r="B319" s="19"/>
      <c r="C319" s="19"/>
      <c r="D319" s="19" t="s">
        <v>830</v>
      </c>
      <c r="E319" s="20" t="s">
        <v>829</v>
      </c>
      <c r="F319" s="9">
        <f>Source!AU227</f>
        <v>10</v>
      </c>
      <c r="G319" s="22"/>
      <c r="H319" s="21"/>
      <c r="I319" s="9"/>
      <c r="J319" s="9"/>
      <c r="K319" s="22">
        <f>SUM(T314:T318)</f>
        <v>467.72</v>
      </c>
      <c r="L319" s="22"/>
    </row>
    <row r="320" spans="1:22" ht="14.25" x14ac:dyDescent="0.2">
      <c r="A320" s="19"/>
      <c r="B320" s="19"/>
      <c r="C320" s="19"/>
      <c r="D320" s="19" t="s">
        <v>832</v>
      </c>
      <c r="E320" s="20" t="s">
        <v>833</v>
      </c>
      <c r="F320" s="9">
        <f>Source!AQ227</f>
        <v>2.08</v>
      </c>
      <c r="G320" s="22"/>
      <c r="H320" s="21" t="str">
        <f>Source!DI227</f>
        <v/>
      </c>
      <c r="I320" s="9">
        <f>Source!AV227</f>
        <v>1</v>
      </c>
      <c r="J320" s="9"/>
      <c r="K320" s="22"/>
      <c r="L320" s="22">
        <f>Source!U227</f>
        <v>8.32</v>
      </c>
    </row>
    <row r="321" spans="1:22" ht="15" x14ac:dyDescent="0.25">
      <c r="A321" s="27"/>
      <c r="B321" s="27"/>
      <c r="C321" s="27"/>
      <c r="D321" s="27"/>
      <c r="E321" s="27"/>
      <c r="F321" s="27"/>
      <c r="G321" s="27"/>
      <c r="H321" s="27"/>
      <c r="I321" s="27"/>
      <c r="J321" s="60">
        <f>K316+K317+K318+K319</f>
        <v>8419.7899999999991</v>
      </c>
      <c r="K321" s="60"/>
      <c r="L321" s="28">
        <f>IF(Source!I227&lt;&gt;0, ROUND(J321/Source!I227, 2), 0)</f>
        <v>2104.9499999999998</v>
      </c>
      <c r="P321" s="25">
        <f>J321</f>
        <v>8419.7899999999991</v>
      </c>
    </row>
    <row r="322" spans="1:22" ht="57" x14ac:dyDescent="0.2">
      <c r="A322" s="19">
        <v>29</v>
      </c>
      <c r="B322" s="19">
        <v>29</v>
      </c>
      <c r="C322" s="19" t="str">
        <f>Source!F228</f>
        <v>1.23-2103-41-1/1</v>
      </c>
      <c r="D322" s="19" t="str">
        <f>Source!G228</f>
        <v>Техническое обслуживание регулирующего клапана / Клапан балансировочный, Клапан ручной балансировочный</v>
      </c>
      <c r="E322" s="20" t="str">
        <f>Source!H228</f>
        <v>шт.</v>
      </c>
      <c r="F322" s="9">
        <f>Source!I228</f>
        <v>33</v>
      </c>
      <c r="G322" s="22"/>
      <c r="H322" s="21"/>
      <c r="I322" s="9"/>
      <c r="J322" s="9"/>
      <c r="K322" s="22"/>
      <c r="L322" s="22"/>
      <c r="Q322">
        <f>ROUND((Source!BZ228/100)*ROUND((Source!AF228*Source!AV228)*Source!I228, 2), 2)</f>
        <v>9609.6</v>
      </c>
      <c r="R322">
        <f>Source!X228</f>
        <v>9609.6</v>
      </c>
      <c r="S322">
        <f>ROUND((Source!CA228/100)*ROUND((Source!AF228*Source!AV228)*Source!I228, 2), 2)</f>
        <v>1372.8</v>
      </c>
      <c r="T322">
        <f>Source!Y228</f>
        <v>1372.8</v>
      </c>
      <c r="U322">
        <f>ROUND((175/100)*ROUND((Source!AE228*Source!AV228)*Source!I228, 2), 2)</f>
        <v>5725.34</v>
      </c>
      <c r="V322">
        <f>ROUND((108/100)*ROUND(Source!CS228*Source!I228, 2), 2)</f>
        <v>3533.35</v>
      </c>
    </row>
    <row r="323" spans="1:22" x14ac:dyDescent="0.2">
      <c r="D323" s="23" t="str">
        <f>"Объем: "&amp;Source!I228&amp;"=(1+"&amp;"5+"&amp;"2)*"&amp;"3+"&amp;"(1+"&amp;"6+"&amp;"2)"</f>
        <v>Объем: 33=(1+5+2)*3+(1+6+2)</v>
      </c>
    </row>
    <row r="324" spans="1:22" ht="14.25" x14ac:dyDescent="0.2">
      <c r="A324" s="19"/>
      <c r="B324" s="19"/>
      <c r="C324" s="19"/>
      <c r="D324" s="19" t="s">
        <v>825</v>
      </c>
      <c r="E324" s="20"/>
      <c r="F324" s="9"/>
      <c r="G324" s="22">
        <f>Source!AO228</f>
        <v>208</v>
      </c>
      <c r="H324" s="21" t="str">
        <f>Source!DG228</f>
        <v>)*2</v>
      </c>
      <c r="I324" s="9">
        <f>Source!AV228</f>
        <v>1</v>
      </c>
      <c r="J324" s="9">
        <f>IF(Source!BA228&lt;&gt; 0, Source!BA228, 1)</f>
        <v>1</v>
      </c>
      <c r="K324" s="22">
        <f>Source!S228</f>
        <v>13728</v>
      </c>
      <c r="L324" s="22"/>
    </row>
    <row r="325" spans="1:22" ht="14.25" x14ac:dyDescent="0.2">
      <c r="A325" s="19"/>
      <c r="B325" s="19"/>
      <c r="C325" s="19"/>
      <c r="D325" s="19" t="s">
        <v>826</v>
      </c>
      <c r="E325" s="20"/>
      <c r="F325" s="9"/>
      <c r="G325" s="22">
        <f>Source!AM228</f>
        <v>78.180000000000007</v>
      </c>
      <c r="H325" s="21" t="str">
        <f>Source!DE228</f>
        <v>)*2</v>
      </c>
      <c r="I325" s="9">
        <f>Source!AV228</f>
        <v>1</v>
      </c>
      <c r="J325" s="9">
        <f>IF(Source!BB228&lt;&gt; 0, Source!BB228, 1)</f>
        <v>1</v>
      </c>
      <c r="K325" s="22">
        <f>Source!Q228</f>
        <v>5159.88</v>
      </c>
      <c r="L325" s="22"/>
    </row>
    <row r="326" spans="1:22" ht="14.25" x14ac:dyDescent="0.2">
      <c r="A326" s="19"/>
      <c r="B326" s="19"/>
      <c r="C326" s="19"/>
      <c r="D326" s="19" t="s">
        <v>827</v>
      </c>
      <c r="E326" s="20"/>
      <c r="F326" s="9"/>
      <c r="G326" s="22">
        <f>Source!AN228</f>
        <v>49.57</v>
      </c>
      <c r="H326" s="21" t="str">
        <f>Source!DF228</f>
        <v>)*2</v>
      </c>
      <c r="I326" s="9">
        <f>Source!AV228</f>
        <v>1</v>
      </c>
      <c r="J326" s="9">
        <f>IF(Source!BS228&lt;&gt; 0, Source!BS228, 1)</f>
        <v>1</v>
      </c>
      <c r="K326" s="24">
        <f>Source!R228</f>
        <v>3271.62</v>
      </c>
      <c r="L326" s="22"/>
    </row>
    <row r="327" spans="1:22" ht="14.25" x14ac:dyDescent="0.2">
      <c r="A327" s="19"/>
      <c r="B327" s="19"/>
      <c r="C327" s="19"/>
      <c r="D327" s="19" t="s">
        <v>828</v>
      </c>
      <c r="E327" s="20" t="s">
        <v>829</v>
      </c>
      <c r="F327" s="9">
        <f>Source!AT228</f>
        <v>70</v>
      </c>
      <c r="G327" s="22"/>
      <c r="H327" s="21"/>
      <c r="I327" s="9"/>
      <c r="J327" s="9"/>
      <c r="K327" s="22">
        <f>SUM(R322:R326)</f>
        <v>9609.6</v>
      </c>
      <c r="L327" s="22"/>
    </row>
    <row r="328" spans="1:22" ht="14.25" x14ac:dyDescent="0.2">
      <c r="A328" s="19"/>
      <c r="B328" s="19"/>
      <c r="C328" s="19"/>
      <c r="D328" s="19" t="s">
        <v>830</v>
      </c>
      <c r="E328" s="20" t="s">
        <v>829</v>
      </c>
      <c r="F328" s="9">
        <f>Source!AU228</f>
        <v>10</v>
      </c>
      <c r="G328" s="22"/>
      <c r="H328" s="21"/>
      <c r="I328" s="9"/>
      <c r="J328" s="9"/>
      <c r="K328" s="22">
        <f>SUM(T322:T327)</f>
        <v>1372.8</v>
      </c>
      <c r="L328" s="22"/>
    </row>
    <row r="329" spans="1:22" ht="14.25" x14ac:dyDescent="0.2">
      <c r="A329" s="19"/>
      <c r="B329" s="19"/>
      <c r="C329" s="19"/>
      <c r="D329" s="19" t="s">
        <v>831</v>
      </c>
      <c r="E329" s="20" t="s">
        <v>829</v>
      </c>
      <c r="F329" s="9">
        <f>108</f>
        <v>108</v>
      </c>
      <c r="G329" s="22"/>
      <c r="H329" s="21"/>
      <c r="I329" s="9"/>
      <c r="J329" s="9"/>
      <c r="K329" s="22">
        <f>SUM(V322:V328)</f>
        <v>3533.35</v>
      </c>
      <c r="L329" s="22"/>
    </row>
    <row r="330" spans="1:22" ht="14.25" x14ac:dyDescent="0.2">
      <c r="A330" s="19"/>
      <c r="B330" s="19"/>
      <c r="C330" s="19"/>
      <c r="D330" s="19" t="s">
        <v>832</v>
      </c>
      <c r="E330" s="20" t="s">
        <v>833</v>
      </c>
      <c r="F330" s="9">
        <f>Source!AQ228</f>
        <v>0.37</v>
      </c>
      <c r="G330" s="22"/>
      <c r="H330" s="21" t="str">
        <f>Source!DI228</f>
        <v>)*2</v>
      </c>
      <c r="I330" s="9">
        <f>Source!AV228</f>
        <v>1</v>
      </c>
      <c r="J330" s="9"/>
      <c r="K330" s="22"/>
      <c r="L330" s="22">
        <f>Source!U228</f>
        <v>24.419999999999998</v>
      </c>
    </row>
    <row r="331" spans="1:22" ht="15" x14ac:dyDescent="0.25">
      <c r="A331" s="27"/>
      <c r="B331" s="27"/>
      <c r="C331" s="27"/>
      <c r="D331" s="27"/>
      <c r="E331" s="27"/>
      <c r="F331" s="27"/>
      <c r="G331" s="27"/>
      <c r="H331" s="27"/>
      <c r="I331" s="27"/>
      <c r="J331" s="60">
        <f>K324+K325+K327+K328+K329</f>
        <v>33403.630000000005</v>
      </c>
      <c r="K331" s="60"/>
      <c r="L331" s="28">
        <f>IF(Source!I228&lt;&gt;0, ROUND(J331/Source!I228, 2), 0)</f>
        <v>1012.23</v>
      </c>
      <c r="P331" s="25">
        <f>J331</f>
        <v>33403.630000000005</v>
      </c>
    </row>
    <row r="332" spans="1:22" ht="28.5" x14ac:dyDescent="0.2">
      <c r="A332" s="19">
        <v>30</v>
      </c>
      <c r="B332" s="19">
        <v>30</v>
      </c>
      <c r="C332" s="19" t="str">
        <f>Source!F229</f>
        <v>1.23-2103-41-1/1</v>
      </c>
      <c r="D332" s="19" t="str">
        <f>Source!G229</f>
        <v>Техническое обслуживание регулирующего клапана</v>
      </c>
      <c r="E332" s="20" t="str">
        <f>Source!H229</f>
        <v>шт.</v>
      </c>
      <c r="F332" s="9">
        <f>Source!I229</f>
        <v>12</v>
      </c>
      <c r="G332" s="22"/>
      <c r="H332" s="21"/>
      <c r="I332" s="9"/>
      <c r="J332" s="9"/>
      <c r="K332" s="22"/>
      <c r="L332" s="22"/>
      <c r="Q332">
        <f>ROUND((Source!BZ229/100)*ROUND((Source!AF229*Source!AV229)*Source!I229, 2), 2)</f>
        <v>3494.4</v>
      </c>
      <c r="R332">
        <f>Source!X229</f>
        <v>3494.4</v>
      </c>
      <c r="S332">
        <f>ROUND((Source!CA229/100)*ROUND((Source!AF229*Source!AV229)*Source!I229, 2), 2)</f>
        <v>499.2</v>
      </c>
      <c r="T332">
        <f>Source!Y229</f>
        <v>499.2</v>
      </c>
      <c r="U332">
        <f>ROUND((175/100)*ROUND((Source!AE229*Source!AV229)*Source!I229, 2), 2)</f>
        <v>2081.94</v>
      </c>
      <c r="V332">
        <f>ROUND((108/100)*ROUND(Source!CS229*Source!I229, 2), 2)</f>
        <v>1284.8499999999999</v>
      </c>
    </row>
    <row r="333" spans="1:22" x14ac:dyDescent="0.2">
      <c r="D333" s="23" t="str">
        <f>"Объем: "&amp;Source!I229&amp;"=(1+"&amp;"1+"&amp;"1)*"&amp;"4"</f>
        <v>Объем: 12=(1+1+1)*4</v>
      </c>
    </row>
    <row r="334" spans="1:22" ht="14.25" x14ac:dyDescent="0.2">
      <c r="A334" s="19"/>
      <c r="B334" s="19"/>
      <c r="C334" s="19"/>
      <c r="D334" s="19" t="s">
        <v>825</v>
      </c>
      <c r="E334" s="20"/>
      <c r="F334" s="9"/>
      <c r="G334" s="22">
        <f>Source!AO229</f>
        <v>208</v>
      </c>
      <c r="H334" s="21" t="str">
        <f>Source!DG229</f>
        <v>)*2</v>
      </c>
      <c r="I334" s="9">
        <f>Source!AV229</f>
        <v>1</v>
      </c>
      <c r="J334" s="9">
        <f>IF(Source!BA229&lt;&gt; 0, Source!BA229, 1)</f>
        <v>1</v>
      </c>
      <c r="K334" s="22">
        <f>Source!S229</f>
        <v>4992</v>
      </c>
      <c r="L334" s="22"/>
    </row>
    <row r="335" spans="1:22" ht="14.25" x14ac:dyDescent="0.2">
      <c r="A335" s="19"/>
      <c r="B335" s="19"/>
      <c r="C335" s="19"/>
      <c r="D335" s="19" t="s">
        <v>826</v>
      </c>
      <c r="E335" s="20"/>
      <c r="F335" s="9"/>
      <c r="G335" s="22">
        <f>Source!AM229</f>
        <v>78.180000000000007</v>
      </c>
      <c r="H335" s="21" t="str">
        <f>Source!DE229</f>
        <v>)*2</v>
      </c>
      <c r="I335" s="9">
        <f>Source!AV229</f>
        <v>1</v>
      </c>
      <c r="J335" s="9">
        <f>IF(Source!BB229&lt;&gt; 0, Source!BB229, 1)</f>
        <v>1</v>
      </c>
      <c r="K335" s="22">
        <f>Source!Q229</f>
        <v>1876.32</v>
      </c>
      <c r="L335" s="22"/>
    </row>
    <row r="336" spans="1:22" ht="14.25" x14ac:dyDescent="0.2">
      <c r="A336" s="19"/>
      <c r="B336" s="19"/>
      <c r="C336" s="19"/>
      <c r="D336" s="19" t="s">
        <v>827</v>
      </c>
      <c r="E336" s="20"/>
      <c r="F336" s="9"/>
      <c r="G336" s="22">
        <f>Source!AN229</f>
        <v>49.57</v>
      </c>
      <c r="H336" s="21" t="str">
        <f>Source!DF229</f>
        <v>)*2</v>
      </c>
      <c r="I336" s="9">
        <f>Source!AV229</f>
        <v>1</v>
      </c>
      <c r="J336" s="9">
        <f>IF(Source!BS229&lt;&gt; 0, Source!BS229, 1)</f>
        <v>1</v>
      </c>
      <c r="K336" s="24">
        <f>Source!R229</f>
        <v>1189.68</v>
      </c>
      <c r="L336" s="22"/>
    </row>
    <row r="337" spans="1:22" ht="14.25" x14ac:dyDescent="0.2">
      <c r="A337" s="19"/>
      <c r="B337" s="19"/>
      <c r="C337" s="19"/>
      <c r="D337" s="19" t="s">
        <v>828</v>
      </c>
      <c r="E337" s="20" t="s">
        <v>829</v>
      </c>
      <c r="F337" s="9">
        <f>Source!AT229</f>
        <v>70</v>
      </c>
      <c r="G337" s="22"/>
      <c r="H337" s="21"/>
      <c r="I337" s="9"/>
      <c r="J337" s="9"/>
      <c r="K337" s="22">
        <f>SUM(R332:R336)</f>
        <v>3494.4</v>
      </c>
      <c r="L337" s="22"/>
    </row>
    <row r="338" spans="1:22" ht="14.25" x14ac:dyDescent="0.2">
      <c r="A338" s="19"/>
      <c r="B338" s="19"/>
      <c r="C338" s="19"/>
      <c r="D338" s="19" t="s">
        <v>830</v>
      </c>
      <c r="E338" s="20" t="s">
        <v>829</v>
      </c>
      <c r="F338" s="9">
        <f>Source!AU229</f>
        <v>10</v>
      </c>
      <c r="G338" s="22"/>
      <c r="H338" s="21"/>
      <c r="I338" s="9"/>
      <c r="J338" s="9"/>
      <c r="K338" s="22">
        <f>SUM(T332:T337)</f>
        <v>499.2</v>
      </c>
      <c r="L338" s="22"/>
    </row>
    <row r="339" spans="1:22" ht="14.25" x14ac:dyDescent="0.2">
      <c r="A339" s="19"/>
      <c r="B339" s="19"/>
      <c r="C339" s="19"/>
      <c r="D339" s="19" t="s">
        <v>831</v>
      </c>
      <c r="E339" s="20" t="s">
        <v>829</v>
      </c>
      <c r="F339" s="9">
        <f>108</f>
        <v>108</v>
      </c>
      <c r="G339" s="22"/>
      <c r="H339" s="21"/>
      <c r="I339" s="9"/>
      <c r="J339" s="9"/>
      <c r="K339" s="22">
        <f>SUM(V332:V338)</f>
        <v>1284.8499999999999</v>
      </c>
      <c r="L339" s="22"/>
    </row>
    <row r="340" spans="1:22" ht="14.25" x14ac:dyDescent="0.2">
      <c r="A340" s="19"/>
      <c r="B340" s="19"/>
      <c r="C340" s="19"/>
      <c r="D340" s="19" t="s">
        <v>832</v>
      </c>
      <c r="E340" s="20" t="s">
        <v>833</v>
      </c>
      <c r="F340" s="9">
        <f>Source!AQ229</f>
        <v>0.37</v>
      </c>
      <c r="G340" s="22"/>
      <c r="H340" s="21" t="str">
        <f>Source!DI229</f>
        <v>)*2</v>
      </c>
      <c r="I340" s="9">
        <f>Source!AV229</f>
        <v>1</v>
      </c>
      <c r="J340" s="9"/>
      <c r="K340" s="22"/>
      <c r="L340" s="22">
        <f>Source!U229</f>
        <v>8.879999999999999</v>
      </c>
    </row>
    <row r="341" spans="1:22" ht="15" x14ac:dyDescent="0.25">
      <c r="A341" s="27"/>
      <c r="B341" s="27"/>
      <c r="C341" s="27"/>
      <c r="D341" s="27"/>
      <c r="E341" s="27"/>
      <c r="F341" s="27"/>
      <c r="G341" s="27"/>
      <c r="H341" s="27"/>
      <c r="I341" s="27"/>
      <c r="J341" s="60">
        <f>K334+K335+K337+K338+K339</f>
        <v>12146.77</v>
      </c>
      <c r="K341" s="60"/>
      <c r="L341" s="28">
        <f>IF(Source!I229&lt;&gt;0, ROUND(J341/Source!I229, 2), 0)</f>
        <v>1012.23</v>
      </c>
      <c r="P341" s="25">
        <f>J341</f>
        <v>12146.77</v>
      </c>
    </row>
    <row r="342" spans="1:22" ht="42.75" x14ac:dyDescent="0.2">
      <c r="A342" s="19">
        <v>31</v>
      </c>
      <c r="B342" s="19">
        <v>31</v>
      </c>
      <c r="C342" s="19" t="str">
        <f>Source!F232</f>
        <v>1.23-2103-18-1/1</v>
      </c>
      <c r="D342" s="19" t="str">
        <f>Source!G232</f>
        <v>Техническое обслуживание термометра биметаллического, дилатометрического</v>
      </c>
      <c r="E342" s="20" t="str">
        <f>Source!H232</f>
        <v>шт.</v>
      </c>
      <c r="F342" s="9">
        <f>Source!I232</f>
        <v>22</v>
      </c>
      <c r="G342" s="22"/>
      <c r="H342" s="21"/>
      <c r="I342" s="9"/>
      <c r="J342" s="9"/>
      <c r="K342" s="22"/>
      <c r="L342" s="22"/>
      <c r="Q342">
        <f>ROUND((Source!BZ232/100)*ROUND((Source!AF232*Source!AV232)*Source!I232, 2), 2)</f>
        <v>6775.69</v>
      </c>
      <c r="R342">
        <f>Source!X232</f>
        <v>6775.69</v>
      </c>
      <c r="S342">
        <f>ROUND((Source!CA232/100)*ROUND((Source!AF232*Source!AV232)*Source!I232, 2), 2)</f>
        <v>967.96</v>
      </c>
      <c r="T342">
        <f>Source!Y232</f>
        <v>967.96</v>
      </c>
      <c r="U342">
        <f>ROUND((175/100)*ROUND((Source!AE232*Source!AV232)*Source!I232, 2), 2)</f>
        <v>0</v>
      </c>
      <c r="V342">
        <f>ROUND((108/100)*ROUND(Source!CS232*Source!I232, 2), 2)</f>
        <v>0</v>
      </c>
    </row>
    <row r="343" spans="1:22" x14ac:dyDescent="0.2">
      <c r="D343" s="23" t="str">
        <f>"Объем: "&amp;Source!I232&amp;"=11*"&amp;"2"</f>
        <v>Объем: 22=11*2</v>
      </c>
    </row>
    <row r="344" spans="1:22" ht="14.25" x14ac:dyDescent="0.2">
      <c r="A344" s="19"/>
      <c r="B344" s="19"/>
      <c r="C344" s="19"/>
      <c r="D344" s="19" t="s">
        <v>825</v>
      </c>
      <c r="E344" s="20"/>
      <c r="F344" s="9"/>
      <c r="G344" s="22">
        <f>Source!AO232</f>
        <v>219.99</v>
      </c>
      <c r="H344" s="21" t="str">
        <f>Source!DG232</f>
        <v>)*2</v>
      </c>
      <c r="I344" s="9">
        <f>Source!AV232</f>
        <v>1</v>
      </c>
      <c r="J344" s="9">
        <f>IF(Source!BA232&lt;&gt; 0, Source!BA232, 1)</f>
        <v>1</v>
      </c>
      <c r="K344" s="22">
        <f>Source!S232</f>
        <v>9679.56</v>
      </c>
      <c r="L344" s="22"/>
    </row>
    <row r="345" spans="1:22" ht="14.25" x14ac:dyDescent="0.2">
      <c r="A345" s="19"/>
      <c r="B345" s="19"/>
      <c r="C345" s="19"/>
      <c r="D345" s="19" t="s">
        <v>834</v>
      </c>
      <c r="E345" s="20"/>
      <c r="F345" s="9"/>
      <c r="G345" s="22">
        <f>Source!AL232</f>
        <v>19.14</v>
      </c>
      <c r="H345" s="21" t="str">
        <f>Source!DD232</f>
        <v>)*2</v>
      </c>
      <c r="I345" s="9">
        <f>Source!AW232</f>
        <v>1</v>
      </c>
      <c r="J345" s="9">
        <f>IF(Source!BC232&lt;&gt; 0, Source!BC232, 1)</f>
        <v>1</v>
      </c>
      <c r="K345" s="22">
        <f>Source!P232</f>
        <v>842.16</v>
      </c>
      <c r="L345" s="22"/>
    </row>
    <row r="346" spans="1:22" ht="14.25" x14ac:dyDescent="0.2">
      <c r="A346" s="19"/>
      <c r="B346" s="19"/>
      <c r="C346" s="19"/>
      <c r="D346" s="19" t="s">
        <v>828</v>
      </c>
      <c r="E346" s="20" t="s">
        <v>829</v>
      </c>
      <c r="F346" s="9">
        <f>Source!AT232</f>
        <v>70</v>
      </c>
      <c r="G346" s="22"/>
      <c r="H346" s="21"/>
      <c r="I346" s="9"/>
      <c r="J346" s="9"/>
      <c r="K346" s="22">
        <f>SUM(R342:R345)</f>
        <v>6775.69</v>
      </c>
      <c r="L346" s="22"/>
    </row>
    <row r="347" spans="1:22" ht="14.25" x14ac:dyDescent="0.2">
      <c r="A347" s="19"/>
      <c r="B347" s="19"/>
      <c r="C347" s="19"/>
      <c r="D347" s="19" t="s">
        <v>830</v>
      </c>
      <c r="E347" s="20" t="s">
        <v>829</v>
      </c>
      <c r="F347" s="9">
        <f>Source!AU232</f>
        <v>10</v>
      </c>
      <c r="G347" s="22"/>
      <c r="H347" s="21"/>
      <c r="I347" s="9"/>
      <c r="J347" s="9"/>
      <c r="K347" s="22">
        <f>SUM(T342:T346)</f>
        <v>967.96</v>
      </c>
      <c r="L347" s="22"/>
    </row>
    <row r="348" spans="1:22" ht="14.25" x14ac:dyDescent="0.2">
      <c r="A348" s="19"/>
      <c r="B348" s="19"/>
      <c r="C348" s="19"/>
      <c r="D348" s="19" t="s">
        <v>832</v>
      </c>
      <c r="E348" s="20" t="s">
        <v>833</v>
      </c>
      <c r="F348" s="9">
        <f>Source!AQ232</f>
        <v>0.31</v>
      </c>
      <c r="G348" s="22"/>
      <c r="H348" s="21" t="str">
        <f>Source!DI232</f>
        <v>)*2</v>
      </c>
      <c r="I348" s="9">
        <f>Source!AV232</f>
        <v>1</v>
      </c>
      <c r="J348" s="9"/>
      <c r="K348" s="22"/>
      <c r="L348" s="22">
        <f>Source!U232</f>
        <v>13.64</v>
      </c>
    </row>
    <row r="349" spans="1:22" ht="15" x14ac:dyDescent="0.25">
      <c r="A349" s="27"/>
      <c r="B349" s="27"/>
      <c r="C349" s="27"/>
      <c r="D349" s="27"/>
      <c r="E349" s="27"/>
      <c r="F349" s="27"/>
      <c r="G349" s="27"/>
      <c r="H349" s="27"/>
      <c r="I349" s="27"/>
      <c r="J349" s="60">
        <f>K344+K345+K346+K347</f>
        <v>18265.37</v>
      </c>
      <c r="K349" s="60"/>
      <c r="L349" s="28">
        <f>IF(Source!I232&lt;&gt;0, ROUND(J349/Source!I232, 2), 0)</f>
        <v>830.24</v>
      </c>
      <c r="P349" s="25">
        <f>J349</f>
        <v>18265.37</v>
      </c>
    </row>
    <row r="351" spans="1:22" ht="15" hidden="1" x14ac:dyDescent="0.25">
      <c r="C351" s="56" t="str">
        <f>Source!G233</f>
        <v>Корпус 7.2.1</v>
      </c>
      <c r="D351" s="56"/>
      <c r="E351" s="56"/>
      <c r="F351" s="56"/>
      <c r="G351" s="56"/>
      <c r="H351" s="56"/>
      <c r="I351" s="56"/>
      <c r="J351" s="56"/>
      <c r="K351" s="56"/>
    </row>
    <row r="352" spans="1:22" hidden="1" x14ac:dyDescent="0.2"/>
    <row r="353" spans="1:22" ht="15" hidden="1" x14ac:dyDescent="0.25">
      <c r="C353" s="56" t="str">
        <f>Source!G238</f>
        <v>Корпус 7.2.2</v>
      </c>
      <c r="D353" s="56"/>
      <c r="E353" s="56"/>
      <c r="F353" s="56"/>
      <c r="G353" s="56"/>
      <c r="H353" s="56"/>
      <c r="I353" s="56"/>
      <c r="J353" s="56"/>
      <c r="K353" s="56"/>
    </row>
    <row r="354" spans="1:22" hidden="1" x14ac:dyDescent="0.2"/>
    <row r="355" spans="1:22" ht="15" hidden="1" x14ac:dyDescent="0.25">
      <c r="C355" s="56" t="str">
        <f>Source!G243</f>
        <v>Корпус 7.2.3</v>
      </c>
      <c r="D355" s="56"/>
      <c r="E355" s="56"/>
      <c r="F355" s="56"/>
      <c r="G355" s="56"/>
      <c r="H355" s="56"/>
      <c r="I355" s="56"/>
      <c r="J355" s="56"/>
      <c r="K355" s="56"/>
    </row>
    <row r="356" spans="1:22" hidden="1" x14ac:dyDescent="0.2"/>
    <row r="357" spans="1:22" ht="15" hidden="1" x14ac:dyDescent="0.25">
      <c r="C357" s="56" t="str">
        <f>Source!G248</f>
        <v>Корпус 7.2.4</v>
      </c>
      <c r="D357" s="56"/>
      <c r="E357" s="56"/>
      <c r="F357" s="56"/>
      <c r="G357" s="56"/>
      <c r="H357" s="56"/>
      <c r="I357" s="56"/>
      <c r="J357" s="56"/>
      <c r="K357" s="56"/>
    </row>
    <row r="359" spans="1:22" ht="15" x14ac:dyDescent="0.25">
      <c r="A359" s="59" t="str">
        <f>CONCATENATE("Итого по подразделу: ",IF(Source!G254&lt;&gt;"Новый подраздел", Source!G254, ""))</f>
        <v>Итого по подразделу: Индивидуальный тепловой пункт</v>
      </c>
      <c r="B359" s="59"/>
      <c r="C359" s="59"/>
      <c r="D359" s="59"/>
      <c r="E359" s="59"/>
      <c r="F359" s="59"/>
      <c r="G359" s="59"/>
      <c r="H359" s="59"/>
      <c r="I359" s="59"/>
      <c r="J359" s="57">
        <f>SUM(P209:P358)</f>
        <v>187882.23999999996</v>
      </c>
      <c r="K359" s="58"/>
      <c r="L359" s="18"/>
    </row>
    <row r="362" spans="1:22" ht="16.5" x14ac:dyDescent="0.25">
      <c r="A362" s="55" t="str">
        <f>CONCATENATE("Подраздел: ",IF(Source!G284&lt;&gt;"Новый подраздел", Source!G284, ""))</f>
        <v>Подраздел: Система УУТЭ</v>
      </c>
      <c r="B362" s="55"/>
      <c r="C362" s="55"/>
      <c r="D362" s="55"/>
      <c r="E362" s="55"/>
      <c r="F362" s="55"/>
      <c r="G362" s="55"/>
      <c r="H362" s="55"/>
      <c r="I362" s="55"/>
      <c r="J362" s="55"/>
      <c r="K362" s="55"/>
      <c r="L362" s="55"/>
    </row>
    <row r="364" spans="1:22" ht="15" x14ac:dyDescent="0.25">
      <c r="C364" s="56" t="str">
        <f>Source!G288</f>
        <v>Корпуса 7.2.1 - 7.2.4</v>
      </c>
      <c r="D364" s="56"/>
      <c r="E364" s="56"/>
      <c r="F364" s="56"/>
      <c r="G364" s="56"/>
      <c r="H364" s="56"/>
      <c r="I364" s="56"/>
      <c r="J364" s="56"/>
      <c r="K364" s="56"/>
    </row>
    <row r="365" spans="1:22" ht="42.75" x14ac:dyDescent="0.2">
      <c r="A365" s="19">
        <v>32</v>
      </c>
      <c r="B365" s="19">
        <v>32</v>
      </c>
      <c r="C365" s="19" t="str">
        <f>Source!F289</f>
        <v>1.23-2103-22-3/1</v>
      </c>
      <c r="D365" s="19" t="str">
        <f>Source!G289</f>
        <v>Техническое обслуживание расходомера электромагнитного / ВТЭ-2П 140М Pt500 МПСВ USB</v>
      </c>
      <c r="E365" s="20" t="str">
        <f>Source!H289</f>
        <v>шт.</v>
      </c>
      <c r="F365" s="9">
        <f>Source!I289</f>
        <v>4</v>
      </c>
      <c r="G365" s="22"/>
      <c r="H365" s="21"/>
      <c r="I365" s="9"/>
      <c r="J365" s="9"/>
      <c r="K365" s="22"/>
      <c r="L365" s="22"/>
      <c r="Q365">
        <f>ROUND((Source!BZ289/100)*ROUND((Source!AF289*Source!AV289)*Source!I289, 2), 2)</f>
        <v>8361.08</v>
      </c>
      <c r="R365">
        <f>Source!X289</f>
        <v>8361.08</v>
      </c>
      <c r="S365">
        <f>ROUND((Source!CA289/100)*ROUND((Source!AF289*Source!AV289)*Source!I289, 2), 2)</f>
        <v>1194.44</v>
      </c>
      <c r="T365">
        <f>Source!Y289</f>
        <v>1194.44</v>
      </c>
      <c r="U365">
        <f>ROUND((175/100)*ROUND((Source!AE289*Source!AV289)*Source!I289, 2), 2)</f>
        <v>0</v>
      </c>
      <c r="V365">
        <f>ROUND((108/100)*ROUND(Source!CS289*Source!I289, 2), 2)</f>
        <v>0</v>
      </c>
    </row>
    <row r="366" spans="1:22" x14ac:dyDescent="0.2">
      <c r="D366" s="23" t="str">
        <f>"Объем: "&amp;Source!I289&amp;"=1*"&amp;"4"</f>
        <v>Объем: 4=1*4</v>
      </c>
    </row>
    <row r="367" spans="1:22" ht="14.25" x14ac:dyDescent="0.2">
      <c r="A367" s="19"/>
      <c r="B367" s="19"/>
      <c r="C367" s="19"/>
      <c r="D367" s="19" t="s">
        <v>825</v>
      </c>
      <c r="E367" s="20"/>
      <c r="F367" s="9"/>
      <c r="G367" s="22">
        <f>Source!AO289</f>
        <v>1493.05</v>
      </c>
      <c r="H367" s="21" t="str">
        <f>Source!DG289</f>
        <v>)*2</v>
      </c>
      <c r="I367" s="9">
        <f>Source!AV289</f>
        <v>1</v>
      </c>
      <c r="J367" s="9">
        <f>IF(Source!BA289&lt;&gt; 0, Source!BA289, 1)</f>
        <v>1</v>
      </c>
      <c r="K367" s="22">
        <f>Source!S289</f>
        <v>11944.4</v>
      </c>
      <c r="L367" s="22"/>
    </row>
    <row r="368" spans="1:22" ht="14.25" x14ac:dyDescent="0.2">
      <c r="A368" s="19"/>
      <c r="B368" s="19"/>
      <c r="C368" s="19"/>
      <c r="D368" s="19" t="s">
        <v>834</v>
      </c>
      <c r="E368" s="20"/>
      <c r="F368" s="9"/>
      <c r="G368" s="22">
        <f>Source!AL289</f>
        <v>19.14</v>
      </c>
      <c r="H368" s="21" t="str">
        <f>Source!DD289</f>
        <v>)*2</v>
      </c>
      <c r="I368" s="9">
        <f>Source!AW289</f>
        <v>1</v>
      </c>
      <c r="J368" s="9">
        <f>IF(Source!BC289&lt;&gt; 0, Source!BC289, 1)</f>
        <v>1</v>
      </c>
      <c r="K368" s="22">
        <f>Source!P289</f>
        <v>153.12</v>
      </c>
      <c r="L368" s="22"/>
    </row>
    <row r="369" spans="1:22" ht="14.25" x14ac:dyDescent="0.2">
      <c r="A369" s="19"/>
      <c r="B369" s="19"/>
      <c r="C369" s="19"/>
      <c r="D369" s="19" t="s">
        <v>828</v>
      </c>
      <c r="E369" s="20" t="s">
        <v>829</v>
      </c>
      <c r="F369" s="9">
        <f>Source!AT289</f>
        <v>70</v>
      </c>
      <c r="G369" s="22"/>
      <c r="H369" s="21"/>
      <c r="I369" s="9"/>
      <c r="J369" s="9"/>
      <c r="K369" s="22">
        <f>SUM(R365:R368)</f>
        <v>8361.08</v>
      </c>
      <c r="L369" s="22"/>
    </row>
    <row r="370" spans="1:22" ht="14.25" x14ac:dyDescent="0.2">
      <c r="A370" s="19"/>
      <c r="B370" s="19"/>
      <c r="C370" s="19"/>
      <c r="D370" s="19" t="s">
        <v>830</v>
      </c>
      <c r="E370" s="20" t="s">
        <v>829</v>
      </c>
      <c r="F370" s="9">
        <f>Source!AU289</f>
        <v>10</v>
      </c>
      <c r="G370" s="22"/>
      <c r="H370" s="21"/>
      <c r="I370" s="9"/>
      <c r="J370" s="9"/>
      <c r="K370" s="22">
        <f>SUM(T365:T369)</f>
        <v>1194.44</v>
      </c>
      <c r="L370" s="22"/>
    </row>
    <row r="371" spans="1:22" ht="14.25" x14ac:dyDescent="0.2">
      <c r="A371" s="19"/>
      <c r="B371" s="19"/>
      <c r="C371" s="19"/>
      <c r="D371" s="19" t="s">
        <v>832</v>
      </c>
      <c r="E371" s="20" t="s">
        <v>833</v>
      </c>
      <c r="F371" s="9">
        <f>Source!AQ289</f>
        <v>1.8</v>
      </c>
      <c r="G371" s="22"/>
      <c r="H371" s="21" t="str">
        <f>Source!DI289</f>
        <v>)*2</v>
      </c>
      <c r="I371" s="9">
        <f>Source!AV289</f>
        <v>1</v>
      </c>
      <c r="J371" s="9"/>
      <c r="K371" s="22"/>
      <c r="L371" s="22">
        <f>Source!U289</f>
        <v>14.4</v>
      </c>
    </row>
    <row r="372" spans="1:22" ht="15" x14ac:dyDescent="0.25">
      <c r="A372" s="27"/>
      <c r="B372" s="27"/>
      <c r="C372" s="27"/>
      <c r="D372" s="27"/>
      <c r="E372" s="27"/>
      <c r="F372" s="27"/>
      <c r="G372" s="27"/>
      <c r="H372" s="27"/>
      <c r="I372" s="27"/>
      <c r="J372" s="60">
        <f>K367+K368+K369+K370</f>
        <v>21653.039999999997</v>
      </c>
      <c r="K372" s="60"/>
      <c r="L372" s="28">
        <f>IF(Source!I289&lt;&gt;0, ROUND(J372/Source!I289, 2), 0)</f>
        <v>5413.26</v>
      </c>
      <c r="P372" s="25">
        <f>J372</f>
        <v>21653.039999999997</v>
      </c>
    </row>
    <row r="373" spans="1:22" ht="99.75" x14ac:dyDescent="0.2">
      <c r="A373" s="19">
        <v>33</v>
      </c>
      <c r="B373" s="19">
        <v>33</v>
      </c>
      <c r="C373" s="19" t="str">
        <f>Source!F290</f>
        <v>1.23-2103-8-1/1</v>
      </c>
      <c r="D373" s="19" t="str">
        <f>Source!G290</f>
        <v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вычислитель тепловой энергии ВТЭ</v>
      </c>
      <c r="E373" s="20" t="str">
        <f>Source!H290</f>
        <v>шт.</v>
      </c>
      <c r="F373" s="9">
        <f>Source!I290</f>
        <v>4</v>
      </c>
      <c r="G373" s="22"/>
      <c r="H373" s="21"/>
      <c r="I373" s="9"/>
      <c r="J373" s="9"/>
      <c r="K373" s="22"/>
      <c r="L373" s="22"/>
      <c r="Q373">
        <f>ROUND((Source!BZ290/100)*ROUND((Source!AF290*Source!AV290)*Source!I290, 2), 2)</f>
        <v>4599.0600000000004</v>
      </c>
      <c r="R373">
        <f>Source!X290</f>
        <v>4599.0600000000004</v>
      </c>
      <c r="S373">
        <f>ROUND((Source!CA290/100)*ROUND((Source!AF290*Source!AV290)*Source!I290, 2), 2)</f>
        <v>657.01</v>
      </c>
      <c r="T373">
        <f>Source!Y290</f>
        <v>657.01</v>
      </c>
      <c r="U373">
        <f>ROUND((175/100)*ROUND((Source!AE290*Source!AV290)*Source!I290, 2), 2)</f>
        <v>0</v>
      </c>
      <c r="V373">
        <f>ROUND((108/100)*ROUND(Source!CS290*Source!I290, 2), 2)</f>
        <v>0</v>
      </c>
    </row>
    <row r="374" spans="1:22" x14ac:dyDescent="0.2">
      <c r="D374" s="23" t="str">
        <f>"Объем: "&amp;Source!I290&amp;"=1*"&amp;"4"</f>
        <v>Объем: 4=1*4</v>
      </c>
    </row>
    <row r="375" spans="1:22" ht="14.25" x14ac:dyDescent="0.2">
      <c r="A375" s="19"/>
      <c r="B375" s="19"/>
      <c r="C375" s="19"/>
      <c r="D375" s="19" t="s">
        <v>825</v>
      </c>
      <c r="E375" s="20"/>
      <c r="F375" s="9"/>
      <c r="G375" s="22">
        <f>Source!AO290</f>
        <v>821.26</v>
      </c>
      <c r="H375" s="21" t="str">
        <f>Source!DG290</f>
        <v>)*2</v>
      </c>
      <c r="I375" s="9">
        <f>Source!AV290</f>
        <v>1</v>
      </c>
      <c r="J375" s="9">
        <f>IF(Source!BA290&lt;&gt; 0, Source!BA290, 1)</f>
        <v>1</v>
      </c>
      <c r="K375" s="22">
        <f>Source!S290</f>
        <v>6570.08</v>
      </c>
      <c r="L375" s="22"/>
    </row>
    <row r="376" spans="1:22" ht="14.25" x14ac:dyDescent="0.2">
      <c r="A376" s="19"/>
      <c r="B376" s="19"/>
      <c r="C376" s="19"/>
      <c r="D376" s="19" t="s">
        <v>828</v>
      </c>
      <c r="E376" s="20" t="s">
        <v>829</v>
      </c>
      <c r="F376" s="9">
        <f>Source!AT290</f>
        <v>70</v>
      </c>
      <c r="G376" s="22"/>
      <c r="H376" s="21"/>
      <c r="I376" s="9"/>
      <c r="J376" s="9"/>
      <c r="K376" s="22">
        <f>SUM(R373:R375)</f>
        <v>4599.0600000000004</v>
      </c>
      <c r="L376" s="22"/>
    </row>
    <row r="377" spans="1:22" ht="14.25" x14ac:dyDescent="0.2">
      <c r="A377" s="19"/>
      <c r="B377" s="19"/>
      <c r="C377" s="19"/>
      <c r="D377" s="19" t="s">
        <v>830</v>
      </c>
      <c r="E377" s="20" t="s">
        <v>829</v>
      </c>
      <c r="F377" s="9">
        <f>Source!AU290</f>
        <v>10</v>
      </c>
      <c r="G377" s="22"/>
      <c r="H377" s="21"/>
      <c r="I377" s="9"/>
      <c r="J377" s="9"/>
      <c r="K377" s="22">
        <f>SUM(T373:T376)</f>
        <v>657.01</v>
      </c>
      <c r="L377" s="22"/>
    </row>
    <row r="378" spans="1:22" ht="14.25" x14ac:dyDescent="0.2">
      <c r="A378" s="19"/>
      <c r="B378" s="19"/>
      <c r="C378" s="19"/>
      <c r="D378" s="19" t="s">
        <v>832</v>
      </c>
      <c r="E378" s="20" t="s">
        <v>833</v>
      </c>
      <c r="F378" s="9">
        <f>Source!AQ290</f>
        <v>1.33</v>
      </c>
      <c r="G378" s="22"/>
      <c r="H378" s="21" t="str">
        <f>Source!DI290</f>
        <v>)*2</v>
      </c>
      <c r="I378" s="9">
        <f>Source!AV290</f>
        <v>1</v>
      </c>
      <c r="J378" s="9"/>
      <c r="K378" s="22"/>
      <c r="L378" s="22">
        <f>Source!U290</f>
        <v>10.64</v>
      </c>
    </row>
    <row r="379" spans="1:22" ht="15" x14ac:dyDescent="0.25">
      <c r="A379" s="27"/>
      <c r="B379" s="27"/>
      <c r="C379" s="27"/>
      <c r="D379" s="27"/>
      <c r="E379" s="27"/>
      <c r="F379" s="27"/>
      <c r="G379" s="27"/>
      <c r="H379" s="27"/>
      <c r="I379" s="27"/>
      <c r="J379" s="60">
        <f>K375+K376+K377</f>
        <v>11826.15</v>
      </c>
      <c r="K379" s="60"/>
      <c r="L379" s="28">
        <f>IF(Source!I290&lt;&gt;0, ROUND(J379/Source!I290, 2), 0)</f>
        <v>2956.54</v>
      </c>
      <c r="P379" s="25">
        <f>J379</f>
        <v>11826.15</v>
      </c>
    </row>
    <row r="380" spans="1:22" ht="71.25" x14ac:dyDescent="0.2">
      <c r="A380" s="19">
        <v>34</v>
      </c>
      <c r="B380" s="19">
        <v>34</v>
      </c>
      <c r="C380" s="19" t="str">
        <f>Source!F291</f>
        <v>1.23-2103-22-3/1</v>
      </c>
      <c r="D380" s="19" t="str">
        <f>Source!G291</f>
        <v>Техническое обслуживание расходомера электромагнитного / расходомер электромагнитный фланцевый ТПС Pt-500 L=70 (согл.пара) Теплоком</v>
      </c>
      <c r="E380" s="20" t="str">
        <f>Source!H291</f>
        <v>шт.</v>
      </c>
      <c r="F380" s="9">
        <f>Source!I291</f>
        <v>12</v>
      </c>
      <c r="G380" s="22"/>
      <c r="H380" s="21"/>
      <c r="I380" s="9"/>
      <c r="J380" s="9"/>
      <c r="K380" s="22"/>
      <c r="L380" s="22"/>
      <c r="Q380">
        <f>ROUND((Source!BZ291/100)*ROUND((Source!AF291*Source!AV291)*Source!I291, 2), 2)</f>
        <v>25083.24</v>
      </c>
      <c r="R380">
        <f>Source!X291</f>
        <v>25083.24</v>
      </c>
      <c r="S380">
        <f>ROUND((Source!CA291/100)*ROUND((Source!AF291*Source!AV291)*Source!I291, 2), 2)</f>
        <v>3583.32</v>
      </c>
      <c r="T380">
        <f>Source!Y291</f>
        <v>3583.32</v>
      </c>
      <c r="U380">
        <f>ROUND((175/100)*ROUND((Source!AE291*Source!AV291)*Source!I291, 2), 2)</f>
        <v>0</v>
      </c>
      <c r="V380">
        <f>ROUND((108/100)*ROUND(Source!CS291*Source!I291, 2), 2)</f>
        <v>0</v>
      </c>
    </row>
    <row r="381" spans="1:22" x14ac:dyDescent="0.2">
      <c r="D381" s="23" t="str">
        <f>"Объем: "&amp;Source!I291&amp;"=3*"&amp;"4"</f>
        <v>Объем: 12=3*4</v>
      </c>
    </row>
    <row r="382" spans="1:22" ht="14.25" x14ac:dyDescent="0.2">
      <c r="A382" s="19"/>
      <c r="B382" s="19"/>
      <c r="C382" s="19"/>
      <c r="D382" s="19" t="s">
        <v>825</v>
      </c>
      <c r="E382" s="20"/>
      <c r="F382" s="9"/>
      <c r="G382" s="22">
        <f>Source!AO291</f>
        <v>1493.05</v>
      </c>
      <c r="H382" s="21" t="str">
        <f>Source!DG291</f>
        <v>)*2</v>
      </c>
      <c r="I382" s="9">
        <f>Source!AV291</f>
        <v>1</v>
      </c>
      <c r="J382" s="9">
        <f>IF(Source!BA291&lt;&gt; 0, Source!BA291, 1)</f>
        <v>1</v>
      </c>
      <c r="K382" s="22">
        <f>Source!S291</f>
        <v>35833.199999999997</v>
      </c>
      <c r="L382" s="22"/>
    </row>
    <row r="383" spans="1:22" ht="14.25" x14ac:dyDescent="0.2">
      <c r="A383" s="19"/>
      <c r="B383" s="19"/>
      <c r="C383" s="19"/>
      <c r="D383" s="19" t="s">
        <v>834</v>
      </c>
      <c r="E383" s="20"/>
      <c r="F383" s="9"/>
      <c r="G383" s="22">
        <f>Source!AL291</f>
        <v>19.14</v>
      </c>
      <c r="H383" s="21" t="str">
        <f>Source!DD291</f>
        <v>)*2</v>
      </c>
      <c r="I383" s="9">
        <f>Source!AW291</f>
        <v>1</v>
      </c>
      <c r="J383" s="9">
        <f>IF(Source!BC291&lt;&gt; 0, Source!BC291, 1)</f>
        <v>1</v>
      </c>
      <c r="K383" s="22">
        <f>Source!P291</f>
        <v>459.36</v>
      </c>
      <c r="L383" s="22"/>
    </row>
    <row r="384" spans="1:22" ht="14.25" x14ac:dyDescent="0.2">
      <c r="A384" s="19"/>
      <c r="B384" s="19"/>
      <c r="C384" s="19"/>
      <c r="D384" s="19" t="s">
        <v>828</v>
      </c>
      <c r="E384" s="20" t="s">
        <v>829</v>
      </c>
      <c r="F384" s="9">
        <f>Source!AT291</f>
        <v>70</v>
      </c>
      <c r="G384" s="22"/>
      <c r="H384" s="21"/>
      <c r="I384" s="9"/>
      <c r="J384" s="9"/>
      <c r="K384" s="22">
        <f>SUM(R380:R383)</f>
        <v>25083.24</v>
      </c>
      <c r="L384" s="22"/>
    </row>
    <row r="385" spans="1:22" ht="14.25" x14ac:dyDescent="0.2">
      <c r="A385" s="19"/>
      <c r="B385" s="19"/>
      <c r="C385" s="19"/>
      <c r="D385" s="19" t="s">
        <v>830</v>
      </c>
      <c r="E385" s="20" t="s">
        <v>829</v>
      </c>
      <c r="F385" s="9">
        <f>Source!AU291</f>
        <v>10</v>
      </c>
      <c r="G385" s="22"/>
      <c r="H385" s="21"/>
      <c r="I385" s="9"/>
      <c r="J385" s="9"/>
      <c r="K385" s="22">
        <f>SUM(T380:T384)</f>
        <v>3583.32</v>
      </c>
      <c r="L385" s="22"/>
    </row>
    <row r="386" spans="1:22" ht="14.25" x14ac:dyDescent="0.2">
      <c r="A386" s="19"/>
      <c r="B386" s="19"/>
      <c r="C386" s="19"/>
      <c r="D386" s="19" t="s">
        <v>832</v>
      </c>
      <c r="E386" s="20" t="s">
        <v>833</v>
      </c>
      <c r="F386" s="9">
        <f>Source!AQ291</f>
        <v>1.8</v>
      </c>
      <c r="G386" s="22"/>
      <c r="H386" s="21" t="str">
        <f>Source!DI291</f>
        <v>)*2</v>
      </c>
      <c r="I386" s="9">
        <f>Source!AV291</f>
        <v>1</v>
      </c>
      <c r="J386" s="9"/>
      <c r="K386" s="22"/>
      <c r="L386" s="22">
        <f>Source!U291</f>
        <v>43.2</v>
      </c>
    </row>
    <row r="387" spans="1:22" ht="15" x14ac:dyDescent="0.25">
      <c r="A387" s="27"/>
      <c r="B387" s="27"/>
      <c r="C387" s="27"/>
      <c r="D387" s="27"/>
      <c r="E387" s="27"/>
      <c r="F387" s="27"/>
      <c r="G387" s="27"/>
      <c r="H387" s="27"/>
      <c r="I387" s="27"/>
      <c r="J387" s="60">
        <f>K382+K383+K384+K385</f>
        <v>64959.12</v>
      </c>
      <c r="K387" s="60"/>
      <c r="L387" s="28">
        <f>IF(Source!I291&lt;&gt;0, ROUND(J387/Source!I291, 2), 0)</f>
        <v>5413.26</v>
      </c>
      <c r="P387" s="25">
        <f>J387</f>
        <v>64959.12</v>
      </c>
    </row>
    <row r="388" spans="1:22" ht="57" x14ac:dyDescent="0.2">
      <c r="A388" s="19">
        <v>35</v>
      </c>
      <c r="B388" s="19">
        <v>35</v>
      </c>
      <c r="C388" s="19" t="str">
        <f>Source!F292</f>
        <v>1.23-2303-6-1/1</v>
      </c>
      <c r="D388" s="19" t="str">
        <f>Source!G292</f>
        <v>Техническое обслуживание термопреобразователя сопротивления с унифицированным выходным сигналом</v>
      </c>
      <c r="E388" s="20" t="str">
        <f>Source!H292</f>
        <v>шт.</v>
      </c>
      <c r="F388" s="9">
        <f>Source!I292</f>
        <v>8</v>
      </c>
      <c r="G388" s="22"/>
      <c r="H388" s="21"/>
      <c r="I388" s="9"/>
      <c r="J388" s="9"/>
      <c r="K388" s="22"/>
      <c r="L388" s="22"/>
      <c r="Q388">
        <f>ROUND((Source!BZ292/100)*ROUND((Source!AF292*Source!AV292)*Source!I292, 2), 2)</f>
        <v>3735.65</v>
      </c>
      <c r="R388">
        <f>Source!X292</f>
        <v>3735.65</v>
      </c>
      <c r="S388">
        <f>ROUND((Source!CA292/100)*ROUND((Source!AF292*Source!AV292)*Source!I292, 2), 2)</f>
        <v>533.66</v>
      </c>
      <c r="T388">
        <f>Source!Y292</f>
        <v>533.66</v>
      </c>
      <c r="U388">
        <f>ROUND((175/100)*ROUND((Source!AE292*Source!AV292)*Source!I292, 2), 2)</f>
        <v>0</v>
      </c>
      <c r="V388">
        <f>ROUND((108/100)*ROUND(Source!CS292*Source!I292, 2), 2)</f>
        <v>0</v>
      </c>
    </row>
    <row r="389" spans="1:22" x14ac:dyDescent="0.2">
      <c r="D389" s="23" t="str">
        <f>"Объем: "&amp;Source!I292&amp;"=2*"&amp;"4"</f>
        <v>Объем: 8=2*4</v>
      </c>
    </row>
    <row r="390" spans="1:22" ht="14.25" x14ac:dyDescent="0.2">
      <c r="A390" s="19"/>
      <c r="B390" s="19"/>
      <c r="C390" s="19"/>
      <c r="D390" s="19" t="s">
        <v>825</v>
      </c>
      <c r="E390" s="20"/>
      <c r="F390" s="9"/>
      <c r="G390" s="22">
        <f>Source!AO292</f>
        <v>333.54</v>
      </c>
      <c r="H390" s="21" t="str">
        <f>Source!DG292</f>
        <v>)*2</v>
      </c>
      <c r="I390" s="9">
        <f>Source!AV292</f>
        <v>1</v>
      </c>
      <c r="J390" s="9">
        <f>IF(Source!BA292&lt;&gt; 0, Source!BA292, 1)</f>
        <v>1</v>
      </c>
      <c r="K390" s="22">
        <f>Source!S292</f>
        <v>5336.64</v>
      </c>
      <c r="L390" s="22"/>
    </row>
    <row r="391" spans="1:22" ht="14.25" x14ac:dyDescent="0.2">
      <c r="A391" s="19"/>
      <c r="B391" s="19"/>
      <c r="C391" s="19"/>
      <c r="D391" s="19" t="s">
        <v>834</v>
      </c>
      <c r="E391" s="20"/>
      <c r="F391" s="9"/>
      <c r="G391" s="22">
        <f>Source!AL292</f>
        <v>20.239999999999998</v>
      </c>
      <c r="H391" s="21" t="str">
        <f>Source!DD292</f>
        <v>)*2</v>
      </c>
      <c r="I391" s="9">
        <f>Source!AW292</f>
        <v>1</v>
      </c>
      <c r="J391" s="9">
        <f>IF(Source!BC292&lt;&gt; 0, Source!BC292, 1)</f>
        <v>1</v>
      </c>
      <c r="K391" s="22">
        <f>Source!P292</f>
        <v>323.83999999999997</v>
      </c>
      <c r="L391" s="22"/>
    </row>
    <row r="392" spans="1:22" ht="14.25" x14ac:dyDescent="0.2">
      <c r="A392" s="19"/>
      <c r="B392" s="19"/>
      <c r="C392" s="19"/>
      <c r="D392" s="19" t="s">
        <v>828</v>
      </c>
      <c r="E392" s="20" t="s">
        <v>829</v>
      </c>
      <c r="F392" s="9">
        <f>Source!AT292</f>
        <v>70</v>
      </c>
      <c r="G392" s="22"/>
      <c r="H392" s="21"/>
      <c r="I392" s="9"/>
      <c r="J392" s="9"/>
      <c r="K392" s="22">
        <f>SUM(R388:R391)</f>
        <v>3735.65</v>
      </c>
      <c r="L392" s="22"/>
    </row>
    <row r="393" spans="1:22" ht="14.25" x14ac:dyDescent="0.2">
      <c r="A393" s="19"/>
      <c r="B393" s="19"/>
      <c r="C393" s="19"/>
      <c r="D393" s="19" t="s">
        <v>830</v>
      </c>
      <c r="E393" s="20" t="s">
        <v>829</v>
      </c>
      <c r="F393" s="9">
        <f>Source!AU292</f>
        <v>10</v>
      </c>
      <c r="G393" s="22"/>
      <c r="H393" s="21"/>
      <c r="I393" s="9"/>
      <c r="J393" s="9"/>
      <c r="K393" s="22">
        <f>SUM(T388:T392)</f>
        <v>533.66</v>
      </c>
      <c r="L393" s="22"/>
    </row>
    <row r="394" spans="1:22" ht="14.25" x14ac:dyDescent="0.2">
      <c r="A394" s="19"/>
      <c r="B394" s="19"/>
      <c r="C394" s="19"/>
      <c r="D394" s="19" t="s">
        <v>832</v>
      </c>
      <c r="E394" s="20" t="s">
        <v>833</v>
      </c>
      <c r="F394" s="9">
        <f>Source!AQ292</f>
        <v>0.47</v>
      </c>
      <c r="G394" s="22"/>
      <c r="H394" s="21" t="str">
        <f>Source!DI292</f>
        <v>)*2</v>
      </c>
      <c r="I394" s="9">
        <f>Source!AV292</f>
        <v>1</v>
      </c>
      <c r="J394" s="9"/>
      <c r="K394" s="22"/>
      <c r="L394" s="22">
        <f>Source!U292</f>
        <v>7.52</v>
      </c>
    </row>
    <row r="395" spans="1:22" ht="15" x14ac:dyDescent="0.25">
      <c r="A395" s="27"/>
      <c r="B395" s="27"/>
      <c r="C395" s="27"/>
      <c r="D395" s="27"/>
      <c r="E395" s="27"/>
      <c r="F395" s="27"/>
      <c r="G395" s="27"/>
      <c r="H395" s="27"/>
      <c r="I395" s="27"/>
      <c r="J395" s="60">
        <f>K390+K391+K392+K393</f>
        <v>9929.7900000000009</v>
      </c>
      <c r="K395" s="60"/>
      <c r="L395" s="28">
        <f>IF(Source!I292&lt;&gt;0, ROUND(J395/Source!I292, 2), 0)</f>
        <v>1241.22</v>
      </c>
      <c r="P395" s="25">
        <f>J395</f>
        <v>9929.7900000000009</v>
      </c>
    </row>
    <row r="396" spans="1:22" ht="42.75" x14ac:dyDescent="0.2">
      <c r="A396" s="19">
        <v>36</v>
      </c>
      <c r="B396" s="19">
        <v>36</v>
      </c>
      <c r="C396" s="19" t="str">
        <f>Source!F293</f>
        <v>1.23-2103-27-1/1</v>
      </c>
      <c r="D396" s="19" t="str">
        <f>Source!G293</f>
        <v>Техническое обслуживание преобразователя давления МТ100 и аналогов</v>
      </c>
      <c r="E396" s="20" t="str">
        <f>Source!H293</f>
        <v>10 шт.</v>
      </c>
      <c r="F396" s="9">
        <f>Source!I293</f>
        <v>0.8</v>
      </c>
      <c r="G396" s="22"/>
      <c r="H396" s="21"/>
      <c r="I396" s="9"/>
      <c r="J396" s="9"/>
      <c r="K396" s="22"/>
      <c r="L396" s="22"/>
      <c r="Q396">
        <f>ROUND((Source!BZ293/100)*ROUND((Source!AF293*Source!AV293)*Source!I293, 2), 2)</f>
        <v>9935.24</v>
      </c>
      <c r="R396">
        <f>Source!X293</f>
        <v>9935.24</v>
      </c>
      <c r="S396">
        <f>ROUND((Source!CA293/100)*ROUND((Source!AF293*Source!AV293)*Source!I293, 2), 2)</f>
        <v>1419.32</v>
      </c>
      <c r="T396">
        <f>Source!Y293</f>
        <v>1419.32</v>
      </c>
      <c r="U396">
        <f>ROUND((175/100)*ROUND((Source!AE293*Source!AV293)*Source!I293, 2), 2)</f>
        <v>0</v>
      </c>
      <c r="V396">
        <f>ROUND((108/100)*ROUND(Source!CS293*Source!I293, 2), 2)</f>
        <v>0</v>
      </c>
    </row>
    <row r="397" spans="1:22" x14ac:dyDescent="0.2">
      <c r="D397" s="23" t="str">
        <f>"Объем: "&amp;Source!I293&amp;"=2*"&amp;"4/"&amp;"10"</f>
        <v>Объем: 0,8=2*4/10</v>
      </c>
    </row>
    <row r="398" spans="1:22" ht="14.25" x14ac:dyDescent="0.2">
      <c r="A398" s="19"/>
      <c r="B398" s="19"/>
      <c r="C398" s="19"/>
      <c r="D398" s="19" t="s">
        <v>825</v>
      </c>
      <c r="E398" s="20"/>
      <c r="F398" s="9"/>
      <c r="G398" s="22">
        <f>Source!AO293</f>
        <v>8870.75</v>
      </c>
      <c r="H398" s="21" t="str">
        <f>Source!DG293</f>
        <v>)*2</v>
      </c>
      <c r="I398" s="9">
        <f>Source!AV293</f>
        <v>1</v>
      </c>
      <c r="J398" s="9">
        <f>IF(Source!BA293&lt;&gt; 0, Source!BA293, 1)</f>
        <v>1</v>
      </c>
      <c r="K398" s="22">
        <f>Source!S293</f>
        <v>14193.2</v>
      </c>
      <c r="L398" s="22"/>
    </row>
    <row r="399" spans="1:22" ht="14.25" x14ac:dyDescent="0.2">
      <c r="A399" s="19"/>
      <c r="B399" s="19"/>
      <c r="C399" s="19"/>
      <c r="D399" s="19" t="s">
        <v>834</v>
      </c>
      <c r="E399" s="20"/>
      <c r="F399" s="9"/>
      <c r="G399" s="22">
        <f>Source!AL293</f>
        <v>17.39</v>
      </c>
      <c r="H399" s="21" t="str">
        <f>Source!DD293</f>
        <v>)*2</v>
      </c>
      <c r="I399" s="9">
        <f>Source!AW293</f>
        <v>1</v>
      </c>
      <c r="J399" s="9">
        <f>IF(Source!BC293&lt;&gt; 0, Source!BC293, 1)</f>
        <v>1</v>
      </c>
      <c r="K399" s="22">
        <f>Source!P293</f>
        <v>27.82</v>
      </c>
      <c r="L399" s="22"/>
    </row>
    <row r="400" spans="1:22" ht="14.25" x14ac:dyDescent="0.2">
      <c r="A400" s="19"/>
      <c r="B400" s="19"/>
      <c r="C400" s="19"/>
      <c r="D400" s="19" t="s">
        <v>828</v>
      </c>
      <c r="E400" s="20" t="s">
        <v>829</v>
      </c>
      <c r="F400" s="9">
        <f>Source!AT293</f>
        <v>70</v>
      </c>
      <c r="G400" s="22"/>
      <c r="H400" s="21"/>
      <c r="I400" s="9"/>
      <c r="J400" s="9"/>
      <c r="K400" s="22">
        <f>SUM(R396:R399)</f>
        <v>9935.24</v>
      </c>
      <c r="L400" s="22"/>
    </row>
    <row r="401" spans="1:22" ht="14.25" x14ac:dyDescent="0.2">
      <c r="A401" s="19"/>
      <c r="B401" s="19"/>
      <c r="C401" s="19"/>
      <c r="D401" s="19" t="s">
        <v>830</v>
      </c>
      <c r="E401" s="20" t="s">
        <v>829</v>
      </c>
      <c r="F401" s="9">
        <f>Source!AU293</f>
        <v>10</v>
      </c>
      <c r="G401" s="22"/>
      <c r="H401" s="21"/>
      <c r="I401" s="9"/>
      <c r="J401" s="9"/>
      <c r="K401" s="22">
        <f>SUM(T396:T400)</f>
        <v>1419.32</v>
      </c>
      <c r="L401" s="22"/>
    </row>
    <row r="402" spans="1:22" ht="14.25" x14ac:dyDescent="0.2">
      <c r="A402" s="19"/>
      <c r="B402" s="19"/>
      <c r="C402" s="19"/>
      <c r="D402" s="19" t="s">
        <v>832</v>
      </c>
      <c r="E402" s="20" t="s">
        <v>833</v>
      </c>
      <c r="F402" s="9">
        <f>Source!AQ293</f>
        <v>12.5</v>
      </c>
      <c r="G402" s="22"/>
      <c r="H402" s="21" t="str">
        <f>Source!DI293</f>
        <v>)*2</v>
      </c>
      <c r="I402" s="9">
        <f>Source!AV293</f>
        <v>1</v>
      </c>
      <c r="J402" s="9"/>
      <c r="K402" s="22"/>
      <c r="L402" s="22">
        <f>Source!U293</f>
        <v>20</v>
      </c>
    </row>
    <row r="403" spans="1:22" ht="15" x14ac:dyDescent="0.25">
      <c r="A403" s="27"/>
      <c r="B403" s="27"/>
      <c r="C403" s="27"/>
      <c r="D403" s="27"/>
      <c r="E403" s="27"/>
      <c r="F403" s="27"/>
      <c r="G403" s="27"/>
      <c r="H403" s="27"/>
      <c r="I403" s="27"/>
      <c r="J403" s="60">
        <f>K398+K399+K400+K401</f>
        <v>25575.58</v>
      </c>
      <c r="K403" s="60"/>
      <c r="L403" s="28">
        <f>IF(Source!I293&lt;&gt;0, ROUND(J403/Source!I293, 2), 0)</f>
        <v>31969.48</v>
      </c>
      <c r="P403" s="25">
        <f>J403</f>
        <v>25575.58</v>
      </c>
    </row>
    <row r="405" spans="1:22" ht="15" x14ac:dyDescent="0.25">
      <c r="A405" s="59" t="str">
        <f>CONCATENATE("Итого по подразделу: ",IF(Source!G297&lt;&gt;"Новый подраздел", Source!G297, ""))</f>
        <v>Итого по подразделу: Система УУТЭ</v>
      </c>
      <c r="B405" s="59"/>
      <c r="C405" s="59"/>
      <c r="D405" s="59"/>
      <c r="E405" s="59"/>
      <c r="F405" s="59"/>
      <c r="G405" s="59"/>
      <c r="H405" s="59"/>
      <c r="I405" s="59"/>
      <c r="J405" s="57">
        <f>SUM(P362:P404)</f>
        <v>133943.67999999999</v>
      </c>
      <c r="K405" s="58"/>
      <c r="L405" s="18"/>
    </row>
    <row r="408" spans="1:22" ht="16.5" x14ac:dyDescent="0.25">
      <c r="A408" s="55" t="str">
        <f>CONCATENATE("Подраздел: ",IF(Source!G327&lt;&gt;"Новый подраздел", Source!G327, ""))</f>
        <v>Подраздел: Отопление</v>
      </c>
      <c r="B408" s="55"/>
      <c r="C408" s="55"/>
      <c r="D408" s="55"/>
      <c r="E408" s="55"/>
      <c r="F408" s="55"/>
      <c r="G408" s="55"/>
      <c r="H408" s="55"/>
      <c r="I408" s="55"/>
      <c r="J408" s="55"/>
      <c r="K408" s="55"/>
      <c r="L408" s="55"/>
    </row>
    <row r="410" spans="1:22" ht="15" x14ac:dyDescent="0.25">
      <c r="C410" s="56" t="str">
        <f>Source!G331</f>
        <v>Корпуса 7.2.1 - 7.2.3</v>
      </c>
      <c r="D410" s="56"/>
      <c r="E410" s="56"/>
      <c r="F410" s="56"/>
      <c r="G410" s="56"/>
      <c r="H410" s="56"/>
      <c r="I410" s="56"/>
      <c r="J410" s="56"/>
      <c r="K410" s="56"/>
    </row>
    <row r="411" spans="1:22" ht="42.75" x14ac:dyDescent="0.2">
      <c r="A411" s="19">
        <v>37</v>
      </c>
      <c r="B411" s="19">
        <v>37</v>
      </c>
      <c r="C411" s="19" t="str">
        <f>Source!F332</f>
        <v>1.17-2103-13-27/1</v>
      </c>
      <c r="D411" s="19" t="str">
        <f>Source!G332</f>
        <v>Техническое обслуживание стальных панельных радиаторов типа 33 высотой 500 мм длиной до 1500 мм</v>
      </c>
      <c r="E411" s="20" t="str">
        <f>Source!H332</f>
        <v>шт.</v>
      </c>
      <c r="F411" s="9">
        <f>Source!I332</f>
        <v>30</v>
      </c>
      <c r="G411" s="22"/>
      <c r="H411" s="21"/>
      <c r="I411" s="9"/>
      <c r="J411" s="9"/>
      <c r="K411" s="22"/>
      <c r="L411" s="22"/>
      <c r="Q411">
        <f>ROUND((Source!BZ332/100)*ROUND((Source!AF332*Source!AV332)*Source!I332, 2), 2)</f>
        <v>6847.26</v>
      </c>
      <c r="R411">
        <f>Source!X332</f>
        <v>6847.26</v>
      </c>
      <c r="S411">
        <f>ROUND((Source!CA332/100)*ROUND((Source!AF332*Source!AV332)*Source!I332, 2), 2)</f>
        <v>978.18</v>
      </c>
      <c r="T411">
        <f>Source!Y332</f>
        <v>978.18</v>
      </c>
      <c r="U411">
        <f>ROUND((175/100)*ROUND((Source!AE332*Source!AV332)*Source!I332, 2), 2)</f>
        <v>1.58</v>
      </c>
      <c r="V411">
        <f>ROUND((108/100)*ROUND(Source!CS332*Source!I332, 2), 2)</f>
        <v>0.97</v>
      </c>
    </row>
    <row r="412" spans="1:22" x14ac:dyDescent="0.2">
      <c r="D412" s="23" t="str">
        <f>"Объем: "&amp;Source!I332&amp;"=(4+"&amp;"6)*"&amp;"3"</f>
        <v>Объем: 30=(4+6)*3</v>
      </c>
    </row>
    <row r="413" spans="1:22" ht="14.25" x14ac:dyDescent="0.2">
      <c r="A413" s="19"/>
      <c r="B413" s="19"/>
      <c r="C413" s="19"/>
      <c r="D413" s="19" t="s">
        <v>825</v>
      </c>
      <c r="E413" s="20"/>
      <c r="F413" s="9"/>
      <c r="G413" s="22">
        <f>Source!AO332</f>
        <v>326.06</v>
      </c>
      <c r="H413" s="21" t="str">
        <f>Source!DG332</f>
        <v/>
      </c>
      <c r="I413" s="9">
        <f>Source!AV332</f>
        <v>1</v>
      </c>
      <c r="J413" s="9">
        <f>IF(Source!BA332&lt;&gt; 0, Source!BA332, 1)</f>
        <v>1</v>
      </c>
      <c r="K413" s="22">
        <f>Source!S332</f>
        <v>9781.7999999999993</v>
      </c>
      <c r="L413" s="22"/>
    </row>
    <row r="414" spans="1:22" ht="14.25" x14ac:dyDescent="0.2">
      <c r="A414" s="19"/>
      <c r="B414" s="19"/>
      <c r="C414" s="19"/>
      <c r="D414" s="19" t="s">
        <v>826</v>
      </c>
      <c r="E414" s="20"/>
      <c r="F414" s="9"/>
      <c r="G414" s="22">
        <f>Source!AM332</f>
        <v>2.5299999999999998</v>
      </c>
      <c r="H414" s="21" t="str">
        <f>Source!DE332</f>
        <v/>
      </c>
      <c r="I414" s="9">
        <f>Source!AV332</f>
        <v>1</v>
      </c>
      <c r="J414" s="9">
        <f>IF(Source!BB332&lt;&gt; 0, Source!BB332, 1)</f>
        <v>1</v>
      </c>
      <c r="K414" s="22">
        <f>Source!Q332</f>
        <v>75.900000000000006</v>
      </c>
      <c r="L414" s="22"/>
    </row>
    <row r="415" spans="1:22" ht="14.25" x14ac:dyDescent="0.2">
      <c r="A415" s="19"/>
      <c r="B415" s="19"/>
      <c r="C415" s="19"/>
      <c r="D415" s="19" t="s">
        <v>827</v>
      </c>
      <c r="E415" s="20"/>
      <c r="F415" s="9"/>
      <c r="G415" s="22">
        <f>Source!AN332</f>
        <v>0.03</v>
      </c>
      <c r="H415" s="21" t="str">
        <f>Source!DF332</f>
        <v/>
      </c>
      <c r="I415" s="9">
        <f>Source!AV332</f>
        <v>1</v>
      </c>
      <c r="J415" s="9">
        <f>IF(Source!BS332&lt;&gt; 0, Source!BS332, 1)</f>
        <v>1</v>
      </c>
      <c r="K415" s="24">
        <f>Source!R332</f>
        <v>0.9</v>
      </c>
      <c r="L415" s="22"/>
    </row>
    <row r="416" spans="1:22" ht="14.25" x14ac:dyDescent="0.2">
      <c r="A416" s="19"/>
      <c r="B416" s="19"/>
      <c r="C416" s="19"/>
      <c r="D416" s="19" t="s">
        <v>834</v>
      </c>
      <c r="E416" s="20"/>
      <c r="F416" s="9"/>
      <c r="G416" s="22">
        <f>Source!AL332</f>
        <v>0.47</v>
      </c>
      <c r="H416" s="21" t="str">
        <f>Source!DD332</f>
        <v/>
      </c>
      <c r="I416" s="9">
        <f>Source!AW332</f>
        <v>1</v>
      </c>
      <c r="J416" s="9">
        <f>IF(Source!BC332&lt;&gt; 0, Source!BC332, 1)</f>
        <v>1</v>
      </c>
      <c r="K416" s="22">
        <f>Source!P332</f>
        <v>14.1</v>
      </c>
      <c r="L416" s="22"/>
    </row>
    <row r="417" spans="1:22" ht="14.25" x14ac:dyDescent="0.2">
      <c r="A417" s="19"/>
      <c r="B417" s="19"/>
      <c r="C417" s="19"/>
      <c r="D417" s="19" t="s">
        <v>828</v>
      </c>
      <c r="E417" s="20" t="s">
        <v>829</v>
      </c>
      <c r="F417" s="9">
        <f>Source!AT332</f>
        <v>70</v>
      </c>
      <c r="G417" s="22"/>
      <c r="H417" s="21"/>
      <c r="I417" s="9"/>
      <c r="J417" s="9"/>
      <c r="K417" s="22">
        <f>SUM(R411:R416)</f>
        <v>6847.26</v>
      </c>
      <c r="L417" s="22"/>
    </row>
    <row r="418" spans="1:22" ht="14.25" x14ac:dyDescent="0.2">
      <c r="A418" s="19"/>
      <c r="B418" s="19"/>
      <c r="C418" s="19"/>
      <c r="D418" s="19" t="s">
        <v>830</v>
      </c>
      <c r="E418" s="20" t="s">
        <v>829</v>
      </c>
      <c r="F418" s="9">
        <f>Source!AU332</f>
        <v>10</v>
      </c>
      <c r="G418" s="22"/>
      <c r="H418" s="21"/>
      <c r="I418" s="9"/>
      <c r="J418" s="9"/>
      <c r="K418" s="22">
        <f>SUM(T411:T417)</f>
        <v>978.18</v>
      </c>
      <c r="L418" s="22"/>
    </row>
    <row r="419" spans="1:22" ht="14.25" x14ac:dyDescent="0.2">
      <c r="A419" s="19"/>
      <c r="B419" s="19"/>
      <c r="C419" s="19"/>
      <c r="D419" s="19" t="s">
        <v>831</v>
      </c>
      <c r="E419" s="20" t="s">
        <v>829</v>
      </c>
      <c r="F419" s="9">
        <f>108</f>
        <v>108</v>
      </c>
      <c r="G419" s="22"/>
      <c r="H419" s="21"/>
      <c r="I419" s="9"/>
      <c r="J419" s="9"/>
      <c r="K419" s="22">
        <f>SUM(V411:V418)</f>
        <v>0.97</v>
      </c>
      <c r="L419" s="22"/>
    </row>
    <row r="420" spans="1:22" ht="14.25" x14ac:dyDescent="0.2">
      <c r="A420" s="19"/>
      <c r="B420" s="19"/>
      <c r="C420" s="19"/>
      <c r="D420" s="19" t="s">
        <v>832</v>
      </c>
      <c r="E420" s="20" t="s">
        <v>833</v>
      </c>
      <c r="F420" s="9">
        <f>Source!AQ332</f>
        <v>0.57999999999999996</v>
      </c>
      <c r="G420" s="22"/>
      <c r="H420" s="21" t="str">
        <f>Source!DI332</f>
        <v/>
      </c>
      <c r="I420" s="9">
        <f>Source!AV332</f>
        <v>1</v>
      </c>
      <c r="J420" s="9"/>
      <c r="K420" s="22"/>
      <c r="L420" s="22">
        <f>Source!U332</f>
        <v>17.399999999999999</v>
      </c>
    </row>
    <row r="421" spans="1:22" ht="15" x14ac:dyDescent="0.25">
      <c r="A421" s="27"/>
      <c r="B421" s="27"/>
      <c r="C421" s="27"/>
      <c r="D421" s="27"/>
      <c r="E421" s="27"/>
      <c r="F421" s="27"/>
      <c r="G421" s="27"/>
      <c r="H421" s="27"/>
      <c r="I421" s="27"/>
      <c r="J421" s="60">
        <f>K413+K414+K416+K417+K418+K419</f>
        <v>17698.21</v>
      </c>
      <c r="K421" s="60"/>
      <c r="L421" s="28">
        <f>IF(Source!I332&lt;&gt;0, ROUND(J421/Source!I332, 2), 0)</f>
        <v>589.94000000000005</v>
      </c>
      <c r="P421" s="25">
        <f>J421</f>
        <v>17698.21</v>
      </c>
    </row>
    <row r="422" spans="1:22" ht="42.75" x14ac:dyDescent="0.2">
      <c r="A422" s="19">
        <v>38</v>
      </c>
      <c r="B422" s="19">
        <v>38</v>
      </c>
      <c r="C422" s="19" t="str">
        <f>Source!F333</f>
        <v>1.17-2103-13-28/1</v>
      </c>
      <c r="D422" s="19" t="str">
        <f>Source!G333</f>
        <v>Техническое обслуживание стальных панельных радиаторов типа 33 высотой 500 мм длиной до 3000 мм</v>
      </c>
      <c r="E422" s="20" t="str">
        <f>Source!H333</f>
        <v>шт.</v>
      </c>
      <c r="F422" s="9">
        <f>Source!I333</f>
        <v>9</v>
      </c>
      <c r="G422" s="22"/>
      <c r="H422" s="21"/>
      <c r="I422" s="9"/>
      <c r="J422" s="9"/>
      <c r="K422" s="22"/>
      <c r="L422" s="22"/>
      <c r="Q422">
        <f>ROUND((Source!BZ333/100)*ROUND((Source!AF333*Source!AV333)*Source!I333, 2), 2)</f>
        <v>3187.49</v>
      </c>
      <c r="R422">
        <f>Source!X333</f>
        <v>3187.49</v>
      </c>
      <c r="S422">
        <f>ROUND((Source!CA333/100)*ROUND((Source!AF333*Source!AV333)*Source!I333, 2), 2)</f>
        <v>455.36</v>
      </c>
      <c r="T422">
        <f>Source!Y333</f>
        <v>455.36</v>
      </c>
      <c r="U422">
        <f>ROUND((175/100)*ROUND((Source!AE333*Source!AV333)*Source!I333, 2), 2)</f>
        <v>1.1000000000000001</v>
      </c>
      <c r="V422">
        <f>ROUND((108/100)*ROUND(Source!CS333*Source!I333, 2), 2)</f>
        <v>0.68</v>
      </c>
    </row>
    <row r="423" spans="1:22" x14ac:dyDescent="0.2">
      <c r="D423" s="23" t="str">
        <f>"Объем: "&amp;Source!I333&amp;"=(1+"&amp;"2)*"&amp;"3"</f>
        <v>Объем: 9=(1+2)*3</v>
      </c>
    </row>
    <row r="424" spans="1:22" ht="14.25" x14ac:dyDescent="0.2">
      <c r="A424" s="19"/>
      <c r="B424" s="19"/>
      <c r="C424" s="19"/>
      <c r="D424" s="19" t="s">
        <v>825</v>
      </c>
      <c r="E424" s="20"/>
      <c r="F424" s="9"/>
      <c r="G424" s="22">
        <f>Source!AO333</f>
        <v>505.95</v>
      </c>
      <c r="H424" s="21" t="str">
        <f>Source!DG333</f>
        <v/>
      </c>
      <c r="I424" s="9">
        <f>Source!AV333</f>
        <v>1</v>
      </c>
      <c r="J424" s="9">
        <f>IF(Source!BA333&lt;&gt; 0, Source!BA333, 1)</f>
        <v>1</v>
      </c>
      <c r="K424" s="22">
        <f>Source!S333</f>
        <v>4553.55</v>
      </c>
      <c r="L424" s="22"/>
    </row>
    <row r="425" spans="1:22" ht="14.25" x14ac:dyDescent="0.2">
      <c r="A425" s="19"/>
      <c r="B425" s="19"/>
      <c r="C425" s="19"/>
      <c r="D425" s="19" t="s">
        <v>826</v>
      </c>
      <c r="E425" s="20"/>
      <c r="F425" s="9"/>
      <c r="G425" s="22">
        <f>Source!AM333</f>
        <v>5.0599999999999996</v>
      </c>
      <c r="H425" s="21" t="str">
        <f>Source!DE333</f>
        <v/>
      </c>
      <c r="I425" s="9">
        <f>Source!AV333</f>
        <v>1</v>
      </c>
      <c r="J425" s="9">
        <f>IF(Source!BB333&lt;&gt; 0, Source!BB333, 1)</f>
        <v>1</v>
      </c>
      <c r="K425" s="22">
        <f>Source!Q333</f>
        <v>45.54</v>
      </c>
      <c r="L425" s="22"/>
    </row>
    <row r="426" spans="1:22" ht="14.25" x14ac:dyDescent="0.2">
      <c r="A426" s="19"/>
      <c r="B426" s="19"/>
      <c r="C426" s="19"/>
      <c r="D426" s="19" t="s">
        <v>827</v>
      </c>
      <c r="E426" s="20"/>
      <c r="F426" s="9"/>
      <c r="G426" s="22">
        <f>Source!AN333</f>
        <v>7.0000000000000007E-2</v>
      </c>
      <c r="H426" s="21" t="str">
        <f>Source!DF333</f>
        <v/>
      </c>
      <c r="I426" s="9">
        <f>Source!AV333</f>
        <v>1</v>
      </c>
      <c r="J426" s="9">
        <f>IF(Source!BS333&lt;&gt; 0, Source!BS333, 1)</f>
        <v>1</v>
      </c>
      <c r="K426" s="24">
        <f>Source!R333</f>
        <v>0.63</v>
      </c>
      <c r="L426" s="22"/>
    </row>
    <row r="427" spans="1:22" ht="14.25" x14ac:dyDescent="0.2">
      <c r="A427" s="19"/>
      <c r="B427" s="19"/>
      <c r="C427" s="19"/>
      <c r="D427" s="19" t="s">
        <v>834</v>
      </c>
      <c r="E427" s="20"/>
      <c r="F427" s="9"/>
      <c r="G427" s="22">
        <f>Source!AL333</f>
        <v>0.94</v>
      </c>
      <c r="H427" s="21" t="str">
        <f>Source!DD333</f>
        <v/>
      </c>
      <c r="I427" s="9">
        <f>Source!AW333</f>
        <v>1</v>
      </c>
      <c r="J427" s="9">
        <f>IF(Source!BC333&lt;&gt; 0, Source!BC333, 1)</f>
        <v>1</v>
      </c>
      <c r="K427" s="22">
        <f>Source!P333</f>
        <v>8.4600000000000009</v>
      </c>
      <c r="L427" s="22"/>
    </row>
    <row r="428" spans="1:22" ht="14.25" x14ac:dyDescent="0.2">
      <c r="A428" s="19"/>
      <c r="B428" s="19"/>
      <c r="C428" s="19"/>
      <c r="D428" s="19" t="s">
        <v>828</v>
      </c>
      <c r="E428" s="20" t="s">
        <v>829</v>
      </c>
      <c r="F428" s="9">
        <f>Source!AT333</f>
        <v>70</v>
      </c>
      <c r="G428" s="22"/>
      <c r="H428" s="21"/>
      <c r="I428" s="9"/>
      <c r="J428" s="9"/>
      <c r="K428" s="22">
        <f>SUM(R422:R427)</f>
        <v>3187.49</v>
      </c>
      <c r="L428" s="22"/>
    </row>
    <row r="429" spans="1:22" ht="14.25" x14ac:dyDescent="0.2">
      <c r="A429" s="19"/>
      <c r="B429" s="19"/>
      <c r="C429" s="19"/>
      <c r="D429" s="19" t="s">
        <v>830</v>
      </c>
      <c r="E429" s="20" t="s">
        <v>829</v>
      </c>
      <c r="F429" s="9">
        <f>Source!AU333</f>
        <v>10</v>
      </c>
      <c r="G429" s="22"/>
      <c r="H429" s="21"/>
      <c r="I429" s="9"/>
      <c r="J429" s="9"/>
      <c r="K429" s="22">
        <f>SUM(T422:T428)</f>
        <v>455.36</v>
      </c>
      <c r="L429" s="22"/>
    </row>
    <row r="430" spans="1:22" ht="14.25" x14ac:dyDescent="0.2">
      <c r="A430" s="19"/>
      <c r="B430" s="19"/>
      <c r="C430" s="19"/>
      <c r="D430" s="19" t="s">
        <v>831</v>
      </c>
      <c r="E430" s="20" t="s">
        <v>829</v>
      </c>
      <c r="F430" s="9">
        <f>108</f>
        <v>108</v>
      </c>
      <c r="G430" s="22"/>
      <c r="H430" s="21"/>
      <c r="I430" s="9"/>
      <c r="J430" s="9"/>
      <c r="K430" s="22">
        <f>SUM(V422:V429)</f>
        <v>0.68</v>
      </c>
      <c r="L430" s="22"/>
    </row>
    <row r="431" spans="1:22" ht="14.25" x14ac:dyDescent="0.2">
      <c r="A431" s="19"/>
      <c r="B431" s="19"/>
      <c r="C431" s="19"/>
      <c r="D431" s="19" t="s">
        <v>832</v>
      </c>
      <c r="E431" s="20" t="s">
        <v>833</v>
      </c>
      <c r="F431" s="9">
        <f>Source!AQ333</f>
        <v>0.9</v>
      </c>
      <c r="G431" s="22"/>
      <c r="H431" s="21" t="str">
        <f>Source!DI333</f>
        <v/>
      </c>
      <c r="I431" s="9">
        <f>Source!AV333</f>
        <v>1</v>
      </c>
      <c r="J431" s="9"/>
      <c r="K431" s="22"/>
      <c r="L431" s="22">
        <f>Source!U333</f>
        <v>8.1</v>
      </c>
    </row>
    <row r="432" spans="1:22" ht="15" x14ac:dyDescent="0.25">
      <c r="A432" s="27"/>
      <c r="B432" s="27"/>
      <c r="C432" s="27"/>
      <c r="D432" s="27"/>
      <c r="E432" s="27"/>
      <c r="F432" s="27"/>
      <c r="G432" s="27"/>
      <c r="H432" s="27"/>
      <c r="I432" s="27"/>
      <c r="J432" s="60">
        <f>K424+K425+K427+K428+K429+K430</f>
        <v>8251.08</v>
      </c>
      <c r="K432" s="60"/>
      <c r="L432" s="28">
        <f>IF(Source!I333&lt;&gt;0, ROUND(J432/Source!I333, 2), 0)</f>
        <v>916.79</v>
      </c>
      <c r="P432" s="25">
        <f>J432</f>
        <v>8251.08</v>
      </c>
    </row>
    <row r="433" spans="1:22" ht="57" x14ac:dyDescent="0.2">
      <c r="A433" s="19">
        <v>39</v>
      </c>
      <c r="B433" s="19">
        <v>39</v>
      </c>
      <c r="C433" s="19" t="str">
        <f>Source!F334</f>
        <v>1.17-2103-15-3/1</v>
      </c>
      <c r="D433" s="19" t="str">
        <f>Source!G334</f>
        <v>Техническое обслуживание конвекторов, встраиваемых в пол, длиной короба 1100 мм, шириной короба до 260 мм</v>
      </c>
      <c r="E433" s="20" t="str">
        <f>Source!H334</f>
        <v>10 шт.</v>
      </c>
      <c r="F433" s="9">
        <f>Source!I334</f>
        <v>3.6</v>
      </c>
      <c r="G433" s="22"/>
      <c r="H433" s="21"/>
      <c r="I433" s="9"/>
      <c r="J433" s="9"/>
      <c r="K433" s="22"/>
      <c r="L433" s="22"/>
      <c r="Q433">
        <f>ROUND((Source!BZ334/100)*ROUND((Source!AF334*Source!AV334)*Source!I334, 2), 2)</f>
        <v>2634.56</v>
      </c>
      <c r="R433">
        <f>Source!X334</f>
        <v>2634.56</v>
      </c>
      <c r="S433">
        <f>ROUND((Source!CA334/100)*ROUND((Source!AF334*Source!AV334)*Source!I334, 2), 2)</f>
        <v>376.37</v>
      </c>
      <c r="T433">
        <f>Source!Y334</f>
        <v>376.37</v>
      </c>
      <c r="U433">
        <f>ROUND((175/100)*ROUND((Source!AE334*Source!AV334)*Source!I334, 2), 2)</f>
        <v>0.39</v>
      </c>
      <c r="V433">
        <f>ROUND((108/100)*ROUND(Source!CS334*Source!I334, 2), 2)</f>
        <v>0.24</v>
      </c>
    </row>
    <row r="434" spans="1:22" x14ac:dyDescent="0.2">
      <c r="D434" s="23" t="str">
        <f>"Объем: "&amp;Source!I334&amp;"=12*"&amp;"3/"&amp;"10"</f>
        <v>Объем: 3,6=12*3/10</v>
      </c>
    </row>
    <row r="435" spans="1:22" ht="14.25" x14ac:dyDescent="0.2">
      <c r="A435" s="19"/>
      <c r="B435" s="19"/>
      <c r="C435" s="19"/>
      <c r="D435" s="19" t="s">
        <v>825</v>
      </c>
      <c r="E435" s="20"/>
      <c r="F435" s="9"/>
      <c r="G435" s="22">
        <f>Source!AO334</f>
        <v>1045.46</v>
      </c>
      <c r="H435" s="21" t="str">
        <f>Source!DG334</f>
        <v/>
      </c>
      <c r="I435" s="9">
        <f>Source!AV334</f>
        <v>1</v>
      </c>
      <c r="J435" s="9">
        <f>IF(Source!BA334&lt;&gt; 0, Source!BA334, 1)</f>
        <v>1</v>
      </c>
      <c r="K435" s="22">
        <f>Source!S334</f>
        <v>3763.66</v>
      </c>
      <c r="L435" s="22"/>
    </row>
    <row r="436" spans="1:22" ht="14.25" x14ac:dyDescent="0.2">
      <c r="A436" s="19"/>
      <c r="B436" s="19"/>
      <c r="C436" s="19"/>
      <c r="D436" s="19" t="s">
        <v>826</v>
      </c>
      <c r="E436" s="20"/>
      <c r="F436" s="9"/>
      <c r="G436" s="22">
        <f>Source!AM334</f>
        <v>4.09</v>
      </c>
      <c r="H436" s="21" t="str">
        <f>Source!DE334</f>
        <v/>
      </c>
      <c r="I436" s="9">
        <f>Source!AV334</f>
        <v>1</v>
      </c>
      <c r="J436" s="9">
        <f>IF(Source!BB334&lt;&gt; 0, Source!BB334, 1)</f>
        <v>1</v>
      </c>
      <c r="K436" s="22">
        <f>Source!Q334</f>
        <v>14.72</v>
      </c>
      <c r="L436" s="22"/>
    </row>
    <row r="437" spans="1:22" ht="14.25" x14ac:dyDescent="0.2">
      <c r="A437" s="19"/>
      <c r="B437" s="19"/>
      <c r="C437" s="19"/>
      <c r="D437" s="19" t="s">
        <v>827</v>
      </c>
      <c r="E437" s="20"/>
      <c r="F437" s="9"/>
      <c r="G437" s="22">
        <f>Source!AN334</f>
        <v>0.06</v>
      </c>
      <c r="H437" s="21" t="str">
        <f>Source!DF334</f>
        <v/>
      </c>
      <c r="I437" s="9">
        <f>Source!AV334</f>
        <v>1</v>
      </c>
      <c r="J437" s="9">
        <f>IF(Source!BS334&lt;&gt; 0, Source!BS334, 1)</f>
        <v>1</v>
      </c>
      <c r="K437" s="24">
        <f>Source!R334</f>
        <v>0.22</v>
      </c>
      <c r="L437" s="22"/>
    </row>
    <row r="438" spans="1:22" ht="14.25" x14ac:dyDescent="0.2">
      <c r="A438" s="19"/>
      <c r="B438" s="19"/>
      <c r="C438" s="19"/>
      <c r="D438" s="19" t="s">
        <v>834</v>
      </c>
      <c r="E438" s="20"/>
      <c r="F438" s="9"/>
      <c r="G438" s="22">
        <f>Source!AL334</f>
        <v>1.67</v>
      </c>
      <c r="H438" s="21" t="str">
        <f>Source!DD334</f>
        <v/>
      </c>
      <c r="I438" s="9">
        <f>Source!AW334</f>
        <v>1</v>
      </c>
      <c r="J438" s="9">
        <f>IF(Source!BC334&lt;&gt; 0, Source!BC334, 1)</f>
        <v>1</v>
      </c>
      <c r="K438" s="22">
        <f>Source!P334</f>
        <v>6.01</v>
      </c>
      <c r="L438" s="22"/>
    </row>
    <row r="439" spans="1:22" ht="14.25" x14ac:dyDescent="0.2">
      <c r="A439" s="19"/>
      <c r="B439" s="19"/>
      <c r="C439" s="19"/>
      <c r="D439" s="19" t="s">
        <v>828</v>
      </c>
      <c r="E439" s="20" t="s">
        <v>829</v>
      </c>
      <c r="F439" s="9">
        <f>Source!AT334</f>
        <v>70</v>
      </c>
      <c r="G439" s="22"/>
      <c r="H439" s="21"/>
      <c r="I439" s="9"/>
      <c r="J439" s="9"/>
      <c r="K439" s="22">
        <f>SUM(R433:R438)</f>
        <v>2634.56</v>
      </c>
      <c r="L439" s="22"/>
    </row>
    <row r="440" spans="1:22" ht="14.25" x14ac:dyDescent="0.2">
      <c r="A440" s="19"/>
      <c r="B440" s="19"/>
      <c r="C440" s="19"/>
      <c r="D440" s="19" t="s">
        <v>830</v>
      </c>
      <c r="E440" s="20" t="s">
        <v>829</v>
      </c>
      <c r="F440" s="9">
        <f>Source!AU334</f>
        <v>10</v>
      </c>
      <c r="G440" s="22"/>
      <c r="H440" s="21"/>
      <c r="I440" s="9"/>
      <c r="J440" s="9"/>
      <c r="K440" s="22">
        <f>SUM(T433:T439)</f>
        <v>376.37</v>
      </c>
      <c r="L440" s="22"/>
    </row>
    <row r="441" spans="1:22" ht="14.25" x14ac:dyDescent="0.2">
      <c r="A441" s="19"/>
      <c r="B441" s="19"/>
      <c r="C441" s="19"/>
      <c r="D441" s="19" t="s">
        <v>831</v>
      </c>
      <c r="E441" s="20" t="s">
        <v>829</v>
      </c>
      <c r="F441" s="9">
        <f>108</f>
        <v>108</v>
      </c>
      <c r="G441" s="22"/>
      <c r="H441" s="21"/>
      <c r="I441" s="9"/>
      <c r="J441" s="9"/>
      <c r="K441" s="22">
        <f>SUM(V433:V440)</f>
        <v>0.24</v>
      </c>
      <c r="L441" s="22"/>
    </row>
    <row r="442" spans="1:22" ht="14.25" x14ac:dyDescent="0.2">
      <c r="A442" s="19"/>
      <c r="B442" s="19"/>
      <c r="C442" s="19"/>
      <c r="D442" s="19" t="s">
        <v>832</v>
      </c>
      <c r="E442" s="20" t="s">
        <v>833</v>
      </c>
      <c r="F442" s="9">
        <f>Source!AQ334</f>
        <v>1.84</v>
      </c>
      <c r="G442" s="22"/>
      <c r="H442" s="21" t="str">
        <f>Source!DI334</f>
        <v/>
      </c>
      <c r="I442" s="9">
        <f>Source!AV334</f>
        <v>1</v>
      </c>
      <c r="J442" s="9"/>
      <c r="K442" s="22"/>
      <c r="L442" s="22">
        <f>Source!U334</f>
        <v>6.6240000000000006</v>
      </c>
    </row>
    <row r="443" spans="1:22" ht="15" x14ac:dyDescent="0.25">
      <c r="A443" s="27"/>
      <c r="B443" s="27"/>
      <c r="C443" s="27"/>
      <c r="D443" s="27"/>
      <c r="E443" s="27"/>
      <c r="F443" s="27"/>
      <c r="G443" s="27"/>
      <c r="H443" s="27"/>
      <c r="I443" s="27"/>
      <c r="J443" s="60">
        <f>K435+K436+K438+K439+K440+K441</f>
        <v>6795.5599999999995</v>
      </c>
      <c r="K443" s="60"/>
      <c r="L443" s="28">
        <f>IF(Source!I334&lt;&gt;0, ROUND(J443/Source!I334, 2), 0)</f>
        <v>1887.66</v>
      </c>
      <c r="P443" s="25">
        <f>J443</f>
        <v>6795.5599999999995</v>
      </c>
    </row>
    <row r="444" spans="1:22" ht="57" x14ac:dyDescent="0.2">
      <c r="A444" s="19">
        <v>40</v>
      </c>
      <c r="B444" s="19">
        <v>40</v>
      </c>
      <c r="C444" s="19" t="str">
        <f>Source!F335</f>
        <v>1.17-2103-15-3/1</v>
      </c>
      <c r="D444" s="19" t="str">
        <f>Source!G335</f>
        <v>Техническое обслуживание конвекторов, встраиваемых в пол, длиной короба 1100 мм, шириной короба до 260 мм</v>
      </c>
      <c r="E444" s="20" t="str">
        <f>Source!H335</f>
        <v>10 шт.</v>
      </c>
      <c r="F444" s="9">
        <f>Source!I335</f>
        <v>4.5</v>
      </c>
      <c r="G444" s="22"/>
      <c r="H444" s="21"/>
      <c r="I444" s="9"/>
      <c r="J444" s="9"/>
      <c r="K444" s="22"/>
      <c r="L444" s="22"/>
      <c r="Q444">
        <f>ROUND((Source!BZ335/100)*ROUND((Source!AF335*Source!AV335)*Source!I335, 2), 2)</f>
        <v>3293.2</v>
      </c>
      <c r="R444">
        <f>Source!X335</f>
        <v>3293.2</v>
      </c>
      <c r="S444">
        <f>ROUND((Source!CA335/100)*ROUND((Source!AF335*Source!AV335)*Source!I335, 2), 2)</f>
        <v>470.46</v>
      </c>
      <c r="T444">
        <f>Source!Y335</f>
        <v>470.46</v>
      </c>
      <c r="U444">
        <f>ROUND((175/100)*ROUND((Source!AE335*Source!AV335)*Source!I335, 2), 2)</f>
        <v>0.47</v>
      </c>
      <c r="V444">
        <f>ROUND((108/100)*ROUND(Source!CS335*Source!I335, 2), 2)</f>
        <v>0.28999999999999998</v>
      </c>
    </row>
    <row r="445" spans="1:22" x14ac:dyDescent="0.2">
      <c r="D445" s="23" t="str">
        <f>"Объем: "&amp;Source!I335&amp;"=15*"&amp;"3/"&amp;"10"</f>
        <v>Объем: 4,5=15*3/10</v>
      </c>
    </row>
    <row r="446" spans="1:22" ht="14.25" x14ac:dyDescent="0.2">
      <c r="A446" s="19"/>
      <c r="B446" s="19"/>
      <c r="C446" s="19"/>
      <c r="D446" s="19" t="s">
        <v>825</v>
      </c>
      <c r="E446" s="20"/>
      <c r="F446" s="9"/>
      <c r="G446" s="22">
        <f>Source!AO335</f>
        <v>1045.46</v>
      </c>
      <c r="H446" s="21" t="str">
        <f>Source!DG335</f>
        <v/>
      </c>
      <c r="I446" s="9">
        <f>Source!AV335</f>
        <v>1</v>
      </c>
      <c r="J446" s="9">
        <f>IF(Source!BA335&lt;&gt; 0, Source!BA335, 1)</f>
        <v>1</v>
      </c>
      <c r="K446" s="22">
        <f>Source!S335</f>
        <v>4704.57</v>
      </c>
      <c r="L446" s="22"/>
    </row>
    <row r="447" spans="1:22" ht="14.25" x14ac:dyDescent="0.2">
      <c r="A447" s="19"/>
      <c r="B447" s="19"/>
      <c r="C447" s="19"/>
      <c r="D447" s="19" t="s">
        <v>826</v>
      </c>
      <c r="E447" s="20"/>
      <c r="F447" s="9"/>
      <c r="G447" s="22">
        <f>Source!AM335</f>
        <v>4.09</v>
      </c>
      <c r="H447" s="21" t="str">
        <f>Source!DE335</f>
        <v/>
      </c>
      <c r="I447" s="9">
        <f>Source!AV335</f>
        <v>1</v>
      </c>
      <c r="J447" s="9">
        <f>IF(Source!BB335&lt;&gt; 0, Source!BB335, 1)</f>
        <v>1</v>
      </c>
      <c r="K447" s="22">
        <f>Source!Q335</f>
        <v>18.41</v>
      </c>
      <c r="L447" s="22"/>
    </row>
    <row r="448" spans="1:22" ht="14.25" x14ac:dyDescent="0.2">
      <c r="A448" s="19"/>
      <c r="B448" s="19"/>
      <c r="C448" s="19"/>
      <c r="D448" s="19" t="s">
        <v>827</v>
      </c>
      <c r="E448" s="20"/>
      <c r="F448" s="9"/>
      <c r="G448" s="22">
        <f>Source!AN335</f>
        <v>0.06</v>
      </c>
      <c r="H448" s="21" t="str">
        <f>Source!DF335</f>
        <v/>
      </c>
      <c r="I448" s="9">
        <f>Source!AV335</f>
        <v>1</v>
      </c>
      <c r="J448" s="9">
        <f>IF(Source!BS335&lt;&gt; 0, Source!BS335, 1)</f>
        <v>1</v>
      </c>
      <c r="K448" s="24">
        <f>Source!R335</f>
        <v>0.27</v>
      </c>
      <c r="L448" s="22"/>
    </row>
    <row r="449" spans="1:22" ht="14.25" x14ac:dyDescent="0.2">
      <c r="A449" s="19"/>
      <c r="B449" s="19"/>
      <c r="C449" s="19"/>
      <c r="D449" s="19" t="s">
        <v>834</v>
      </c>
      <c r="E449" s="20"/>
      <c r="F449" s="9"/>
      <c r="G449" s="22">
        <f>Source!AL335</f>
        <v>1.67</v>
      </c>
      <c r="H449" s="21" t="str">
        <f>Source!DD335</f>
        <v/>
      </c>
      <c r="I449" s="9">
        <f>Source!AW335</f>
        <v>1</v>
      </c>
      <c r="J449" s="9">
        <f>IF(Source!BC335&lt;&gt; 0, Source!BC335, 1)</f>
        <v>1</v>
      </c>
      <c r="K449" s="22">
        <f>Source!P335</f>
        <v>7.52</v>
      </c>
      <c r="L449" s="22"/>
    </row>
    <row r="450" spans="1:22" ht="14.25" x14ac:dyDescent="0.2">
      <c r="A450" s="19"/>
      <c r="B450" s="19"/>
      <c r="C450" s="19"/>
      <c r="D450" s="19" t="s">
        <v>828</v>
      </c>
      <c r="E450" s="20" t="s">
        <v>829</v>
      </c>
      <c r="F450" s="9">
        <f>Source!AT335</f>
        <v>70</v>
      </c>
      <c r="G450" s="22"/>
      <c r="H450" s="21"/>
      <c r="I450" s="9"/>
      <c r="J450" s="9"/>
      <c r="K450" s="22">
        <f>SUM(R444:R449)</f>
        <v>3293.2</v>
      </c>
      <c r="L450" s="22"/>
    </row>
    <row r="451" spans="1:22" ht="14.25" x14ac:dyDescent="0.2">
      <c r="A451" s="19"/>
      <c r="B451" s="19"/>
      <c r="C451" s="19"/>
      <c r="D451" s="19" t="s">
        <v>830</v>
      </c>
      <c r="E451" s="20" t="s">
        <v>829</v>
      </c>
      <c r="F451" s="9">
        <f>Source!AU335</f>
        <v>10</v>
      </c>
      <c r="G451" s="22"/>
      <c r="H451" s="21"/>
      <c r="I451" s="9"/>
      <c r="J451" s="9"/>
      <c r="K451" s="22">
        <f>SUM(T444:T450)</f>
        <v>470.46</v>
      </c>
      <c r="L451" s="22"/>
    </row>
    <row r="452" spans="1:22" ht="14.25" x14ac:dyDescent="0.2">
      <c r="A452" s="19"/>
      <c r="B452" s="19"/>
      <c r="C452" s="19"/>
      <c r="D452" s="19" t="s">
        <v>831</v>
      </c>
      <c r="E452" s="20" t="s">
        <v>829</v>
      </c>
      <c r="F452" s="9">
        <f>108</f>
        <v>108</v>
      </c>
      <c r="G452" s="22"/>
      <c r="H452" s="21"/>
      <c r="I452" s="9"/>
      <c r="J452" s="9"/>
      <c r="K452" s="22">
        <f>SUM(V444:V451)</f>
        <v>0.28999999999999998</v>
      </c>
      <c r="L452" s="22"/>
    </row>
    <row r="453" spans="1:22" ht="14.25" x14ac:dyDescent="0.2">
      <c r="A453" s="19"/>
      <c r="B453" s="19"/>
      <c r="C453" s="19"/>
      <c r="D453" s="19" t="s">
        <v>832</v>
      </c>
      <c r="E453" s="20" t="s">
        <v>833</v>
      </c>
      <c r="F453" s="9">
        <f>Source!AQ335</f>
        <v>1.84</v>
      </c>
      <c r="G453" s="22"/>
      <c r="H453" s="21" t="str">
        <f>Source!DI335</f>
        <v/>
      </c>
      <c r="I453" s="9">
        <f>Source!AV335</f>
        <v>1</v>
      </c>
      <c r="J453" s="9"/>
      <c r="K453" s="22"/>
      <c r="L453" s="22">
        <f>Source!U335</f>
        <v>8.2800000000000011</v>
      </c>
    </row>
    <row r="454" spans="1:22" ht="15" x14ac:dyDescent="0.25">
      <c r="A454" s="27"/>
      <c r="B454" s="27"/>
      <c r="C454" s="27"/>
      <c r="D454" s="27"/>
      <c r="E454" s="27"/>
      <c r="F454" s="27"/>
      <c r="G454" s="27"/>
      <c r="H454" s="27"/>
      <c r="I454" s="27"/>
      <c r="J454" s="60">
        <f>K446+K447+K449+K450+K451+K452</f>
        <v>8494.4500000000007</v>
      </c>
      <c r="K454" s="60"/>
      <c r="L454" s="28">
        <f>IF(Source!I335&lt;&gt;0, ROUND(J454/Source!I335, 2), 0)</f>
        <v>1887.66</v>
      </c>
      <c r="P454" s="25">
        <f>J454</f>
        <v>8494.4500000000007</v>
      </c>
    </row>
    <row r="455" spans="1:22" ht="71.25" x14ac:dyDescent="0.2">
      <c r="A455" s="19">
        <v>41</v>
      </c>
      <c r="B455" s="19">
        <v>41</v>
      </c>
      <c r="C455" s="19" t="str">
        <f>Source!F336</f>
        <v>1.17-2103-15-4/1</v>
      </c>
      <c r="D455" s="19" t="str">
        <f>Source!G336</f>
        <v>Техническое обслуживание конвекторов, встраиваемых в пол, шириной короба до 260 мм, добавлять к 1.17-2103-15-3 на каждые 200 мм увеличения длины короба</v>
      </c>
      <c r="E455" s="20" t="str">
        <f>Source!H336</f>
        <v>10 шт.</v>
      </c>
      <c r="F455" s="9">
        <f>Source!I336</f>
        <v>4.5</v>
      </c>
      <c r="G455" s="22"/>
      <c r="H455" s="21"/>
      <c r="I455" s="9"/>
      <c r="J455" s="9"/>
      <c r="K455" s="22"/>
      <c r="L455" s="22"/>
      <c r="Q455">
        <f>ROUND((Source!BZ336/100)*ROUND((Source!AF336*Source!AV336)*Source!I336, 2), 2)</f>
        <v>1805.74</v>
      </c>
      <c r="R455">
        <f>Source!X336</f>
        <v>1805.74</v>
      </c>
      <c r="S455">
        <f>ROUND((Source!CA336/100)*ROUND((Source!AF336*Source!AV336)*Source!I336, 2), 2)</f>
        <v>257.95999999999998</v>
      </c>
      <c r="T455">
        <f>Source!Y336</f>
        <v>257.95999999999998</v>
      </c>
      <c r="U455">
        <f>ROUND((175/100)*ROUND((Source!AE336*Source!AV336)*Source!I336, 2), 2)</f>
        <v>0.4</v>
      </c>
      <c r="V455">
        <f>ROUND((108/100)*ROUND(Source!CS336*Source!I336, 2), 2)</f>
        <v>0.25</v>
      </c>
    </row>
    <row r="456" spans="1:22" x14ac:dyDescent="0.2">
      <c r="D456" s="23" t="str">
        <f>"Объем: "&amp;Source!I336&amp;"=15*"&amp;"3/"&amp;"10"</f>
        <v>Объем: 4,5=15*3/10</v>
      </c>
    </row>
    <row r="457" spans="1:22" ht="14.25" x14ac:dyDescent="0.2">
      <c r="A457" s="19"/>
      <c r="B457" s="19"/>
      <c r="C457" s="19"/>
      <c r="D457" s="19" t="s">
        <v>825</v>
      </c>
      <c r="E457" s="20"/>
      <c r="F457" s="9"/>
      <c r="G457" s="22">
        <f>Source!AO336</f>
        <v>114.65</v>
      </c>
      <c r="H457" s="21" t="str">
        <f>Source!DG336</f>
        <v>)*5</v>
      </c>
      <c r="I457" s="9">
        <f>Source!AV336</f>
        <v>1</v>
      </c>
      <c r="J457" s="9">
        <f>IF(Source!BA336&lt;&gt; 0, Source!BA336, 1)</f>
        <v>1</v>
      </c>
      <c r="K457" s="22">
        <f>Source!S336</f>
        <v>2579.63</v>
      </c>
      <c r="L457" s="22"/>
    </row>
    <row r="458" spans="1:22" ht="14.25" x14ac:dyDescent="0.2">
      <c r="A458" s="19"/>
      <c r="B458" s="19"/>
      <c r="C458" s="19"/>
      <c r="D458" s="19" t="s">
        <v>826</v>
      </c>
      <c r="E458" s="20"/>
      <c r="F458" s="9"/>
      <c r="G458" s="22">
        <f>Source!AM336</f>
        <v>0.74</v>
      </c>
      <c r="H458" s="21" t="str">
        <f>Source!DE336</f>
        <v>)*5</v>
      </c>
      <c r="I458" s="9">
        <f>Source!AV336</f>
        <v>1</v>
      </c>
      <c r="J458" s="9">
        <f>IF(Source!BB336&lt;&gt; 0, Source!BB336, 1)</f>
        <v>1</v>
      </c>
      <c r="K458" s="22">
        <f>Source!Q336</f>
        <v>16.649999999999999</v>
      </c>
      <c r="L458" s="22"/>
    </row>
    <row r="459" spans="1:22" ht="14.25" x14ac:dyDescent="0.2">
      <c r="A459" s="19"/>
      <c r="B459" s="19"/>
      <c r="C459" s="19"/>
      <c r="D459" s="19" t="s">
        <v>827</v>
      </c>
      <c r="E459" s="20"/>
      <c r="F459" s="9"/>
      <c r="G459" s="22">
        <f>Source!AN336</f>
        <v>0.01</v>
      </c>
      <c r="H459" s="21" t="str">
        <f>Source!DF336</f>
        <v>)*5</v>
      </c>
      <c r="I459" s="9">
        <f>Source!AV336</f>
        <v>1</v>
      </c>
      <c r="J459" s="9">
        <f>IF(Source!BS336&lt;&gt; 0, Source!BS336, 1)</f>
        <v>1</v>
      </c>
      <c r="K459" s="24">
        <f>Source!R336</f>
        <v>0.23</v>
      </c>
      <c r="L459" s="22"/>
    </row>
    <row r="460" spans="1:22" ht="14.25" x14ac:dyDescent="0.2">
      <c r="A460" s="19"/>
      <c r="B460" s="19"/>
      <c r="C460" s="19"/>
      <c r="D460" s="19" t="s">
        <v>834</v>
      </c>
      <c r="E460" s="20"/>
      <c r="F460" s="9"/>
      <c r="G460" s="22">
        <f>Source!AL336</f>
        <v>0.31</v>
      </c>
      <c r="H460" s="21" t="str">
        <f>Source!DD336</f>
        <v>)*5</v>
      </c>
      <c r="I460" s="9">
        <f>Source!AW336</f>
        <v>1</v>
      </c>
      <c r="J460" s="9">
        <f>IF(Source!BC336&lt;&gt; 0, Source!BC336, 1)</f>
        <v>1</v>
      </c>
      <c r="K460" s="22">
        <f>Source!P336</f>
        <v>6.98</v>
      </c>
      <c r="L460" s="22"/>
    </row>
    <row r="461" spans="1:22" ht="14.25" x14ac:dyDescent="0.2">
      <c r="A461" s="19"/>
      <c r="B461" s="19"/>
      <c r="C461" s="19"/>
      <c r="D461" s="19" t="s">
        <v>828</v>
      </c>
      <c r="E461" s="20" t="s">
        <v>829</v>
      </c>
      <c r="F461" s="9">
        <f>Source!AT336</f>
        <v>70</v>
      </c>
      <c r="G461" s="22"/>
      <c r="H461" s="21"/>
      <c r="I461" s="9"/>
      <c r="J461" s="9"/>
      <c r="K461" s="22">
        <f>SUM(R455:R460)</f>
        <v>1805.74</v>
      </c>
      <c r="L461" s="22"/>
    </row>
    <row r="462" spans="1:22" ht="14.25" x14ac:dyDescent="0.2">
      <c r="A462" s="19"/>
      <c r="B462" s="19"/>
      <c r="C462" s="19"/>
      <c r="D462" s="19" t="s">
        <v>830</v>
      </c>
      <c r="E462" s="20" t="s">
        <v>829</v>
      </c>
      <c r="F462" s="9">
        <f>Source!AU336</f>
        <v>10</v>
      </c>
      <c r="G462" s="22"/>
      <c r="H462" s="21"/>
      <c r="I462" s="9"/>
      <c r="J462" s="9"/>
      <c r="K462" s="22">
        <f>SUM(T455:T461)</f>
        <v>257.95999999999998</v>
      </c>
      <c r="L462" s="22"/>
    </row>
    <row r="463" spans="1:22" ht="14.25" x14ac:dyDescent="0.2">
      <c r="A463" s="19"/>
      <c r="B463" s="19"/>
      <c r="C463" s="19"/>
      <c r="D463" s="19" t="s">
        <v>831</v>
      </c>
      <c r="E463" s="20" t="s">
        <v>829</v>
      </c>
      <c r="F463" s="9">
        <f>108</f>
        <v>108</v>
      </c>
      <c r="G463" s="22"/>
      <c r="H463" s="21"/>
      <c r="I463" s="9"/>
      <c r="J463" s="9"/>
      <c r="K463" s="22">
        <f>SUM(V455:V462)</f>
        <v>0.25</v>
      </c>
      <c r="L463" s="22"/>
    </row>
    <row r="464" spans="1:22" ht="14.25" x14ac:dyDescent="0.2">
      <c r="A464" s="19"/>
      <c r="B464" s="19"/>
      <c r="C464" s="19"/>
      <c r="D464" s="19" t="s">
        <v>832</v>
      </c>
      <c r="E464" s="20" t="s">
        <v>833</v>
      </c>
      <c r="F464" s="9">
        <f>Source!AQ336</f>
        <v>0.2</v>
      </c>
      <c r="G464" s="22"/>
      <c r="H464" s="21" t="str">
        <f>Source!DI336</f>
        <v>)*5</v>
      </c>
      <c r="I464" s="9">
        <f>Source!AV336</f>
        <v>1</v>
      </c>
      <c r="J464" s="9"/>
      <c r="K464" s="22"/>
      <c r="L464" s="22">
        <f>Source!U336</f>
        <v>4.5</v>
      </c>
    </row>
    <row r="465" spans="1:22" ht="15" x14ac:dyDescent="0.25">
      <c r="A465" s="27"/>
      <c r="B465" s="27"/>
      <c r="C465" s="27"/>
      <c r="D465" s="27"/>
      <c r="E465" s="27"/>
      <c r="F465" s="27"/>
      <c r="G465" s="27"/>
      <c r="H465" s="27"/>
      <c r="I465" s="27"/>
      <c r="J465" s="60">
        <f>K457+K458+K460+K461+K462+K463</f>
        <v>4667.21</v>
      </c>
      <c r="K465" s="60"/>
      <c r="L465" s="28">
        <f>IF(Source!I336&lt;&gt;0, ROUND(J465/Source!I336, 2), 0)</f>
        <v>1037.1600000000001</v>
      </c>
      <c r="P465" s="25">
        <f>J465</f>
        <v>4667.21</v>
      </c>
    </row>
    <row r="466" spans="1:22" ht="57" x14ac:dyDescent="0.2">
      <c r="A466" s="19">
        <v>42</v>
      </c>
      <c r="B466" s="19">
        <v>42</v>
      </c>
      <c r="C466" s="19" t="str">
        <f>Source!F338</f>
        <v>1.21-2303-50-1/1</v>
      </c>
      <c r="D466" s="19" t="str">
        <f>Source!G338</f>
        <v>Техническое обслуживание  конвектора электрического настенного крепления, с механическим термостатом, мощность до 2,0 кВт</v>
      </c>
      <c r="E466" s="20" t="str">
        <f>Source!H338</f>
        <v>шт.</v>
      </c>
      <c r="F466" s="9">
        <f>Source!I338</f>
        <v>6</v>
      </c>
      <c r="G466" s="22"/>
      <c r="H466" s="21"/>
      <c r="I466" s="9"/>
      <c r="J466" s="9"/>
      <c r="K466" s="22"/>
      <c r="L466" s="22"/>
      <c r="Q466">
        <f>ROUND((Source!BZ338/100)*ROUND((Source!AF338*Source!AV338)*Source!I338, 2), 2)</f>
        <v>363.09</v>
      </c>
      <c r="R466">
        <f>Source!X338</f>
        <v>363.09</v>
      </c>
      <c r="S466">
        <f>ROUND((Source!CA338/100)*ROUND((Source!AF338*Source!AV338)*Source!I338, 2), 2)</f>
        <v>51.87</v>
      </c>
      <c r="T466">
        <f>Source!Y338</f>
        <v>51.87</v>
      </c>
      <c r="U466">
        <f>ROUND((175/100)*ROUND((Source!AE338*Source!AV338)*Source!I338, 2), 2)</f>
        <v>0</v>
      </c>
      <c r="V466">
        <f>ROUND((108/100)*ROUND(Source!CS338*Source!I338, 2), 2)</f>
        <v>0</v>
      </c>
    </row>
    <row r="467" spans="1:22" x14ac:dyDescent="0.2">
      <c r="D467" s="23" t="str">
        <f>"Объем: "&amp;Source!I338&amp;"=2*"&amp;"3"</f>
        <v>Объем: 6=2*3</v>
      </c>
    </row>
    <row r="468" spans="1:22" ht="14.25" x14ac:dyDescent="0.2">
      <c r="A468" s="19"/>
      <c r="B468" s="19"/>
      <c r="C468" s="19"/>
      <c r="D468" s="19" t="s">
        <v>825</v>
      </c>
      <c r="E468" s="20"/>
      <c r="F468" s="9"/>
      <c r="G468" s="22">
        <f>Source!AO338</f>
        <v>86.45</v>
      </c>
      <c r="H468" s="21" t="str">
        <f>Source!DG338</f>
        <v/>
      </c>
      <c r="I468" s="9">
        <f>Source!AV338</f>
        <v>1</v>
      </c>
      <c r="J468" s="9">
        <f>IF(Source!BA338&lt;&gt; 0, Source!BA338, 1)</f>
        <v>1</v>
      </c>
      <c r="K468" s="22">
        <f>Source!S338</f>
        <v>518.70000000000005</v>
      </c>
      <c r="L468" s="22"/>
    </row>
    <row r="469" spans="1:22" ht="14.25" x14ac:dyDescent="0.2">
      <c r="A469" s="19"/>
      <c r="B469" s="19"/>
      <c r="C469" s="19"/>
      <c r="D469" s="19" t="s">
        <v>826</v>
      </c>
      <c r="E469" s="20"/>
      <c r="F469" s="9"/>
      <c r="G469" s="22">
        <f>Source!AM338</f>
        <v>0.23</v>
      </c>
      <c r="H469" s="21" t="str">
        <f>Source!DE338</f>
        <v/>
      </c>
      <c r="I469" s="9">
        <f>Source!AV338</f>
        <v>1</v>
      </c>
      <c r="J469" s="9">
        <f>IF(Source!BB338&lt;&gt; 0, Source!BB338, 1)</f>
        <v>1</v>
      </c>
      <c r="K469" s="22">
        <f>Source!Q338</f>
        <v>1.38</v>
      </c>
      <c r="L469" s="22"/>
    </row>
    <row r="470" spans="1:22" ht="14.25" x14ac:dyDescent="0.2">
      <c r="A470" s="19"/>
      <c r="B470" s="19"/>
      <c r="C470" s="19"/>
      <c r="D470" s="19" t="s">
        <v>834</v>
      </c>
      <c r="E470" s="20"/>
      <c r="F470" s="9"/>
      <c r="G470" s="22">
        <f>Source!AL338</f>
        <v>2.2000000000000002</v>
      </c>
      <c r="H470" s="21" t="str">
        <f>Source!DD338</f>
        <v/>
      </c>
      <c r="I470" s="9">
        <f>Source!AW338</f>
        <v>1</v>
      </c>
      <c r="J470" s="9">
        <f>IF(Source!BC338&lt;&gt; 0, Source!BC338, 1)</f>
        <v>1</v>
      </c>
      <c r="K470" s="22">
        <f>Source!P338</f>
        <v>13.2</v>
      </c>
      <c r="L470" s="22"/>
    </row>
    <row r="471" spans="1:22" ht="14.25" x14ac:dyDescent="0.2">
      <c r="A471" s="19"/>
      <c r="B471" s="19"/>
      <c r="C471" s="19"/>
      <c r="D471" s="19" t="s">
        <v>828</v>
      </c>
      <c r="E471" s="20" t="s">
        <v>829</v>
      </c>
      <c r="F471" s="9">
        <f>Source!AT338</f>
        <v>70</v>
      </c>
      <c r="G471" s="22"/>
      <c r="H471" s="21"/>
      <c r="I471" s="9"/>
      <c r="J471" s="9"/>
      <c r="K471" s="22">
        <f>SUM(R466:R470)</f>
        <v>363.09</v>
      </c>
      <c r="L471" s="22"/>
    </row>
    <row r="472" spans="1:22" ht="14.25" x14ac:dyDescent="0.2">
      <c r="A472" s="19"/>
      <c r="B472" s="19"/>
      <c r="C472" s="19"/>
      <c r="D472" s="19" t="s">
        <v>830</v>
      </c>
      <c r="E472" s="20" t="s">
        <v>829</v>
      </c>
      <c r="F472" s="9">
        <f>Source!AU338</f>
        <v>10</v>
      </c>
      <c r="G472" s="22"/>
      <c r="H472" s="21"/>
      <c r="I472" s="9"/>
      <c r="J472" s="9"/>
      <c r="K472" s="22">
        <f>SUM(T466:T471)</f>
        <v>51.87</v>
      </c>
      <c r="L472" s="22"/>
    </row>
    <row r="473" spans="1:22" ht="14.25" x14ac:dyDescent="0.2">
      <c r="A473" s="19"/>
      <c r="B473" s="19"/>
      <c r="C473" s="19"/>
      <c r="D473" s="19" t="s">
        <v>832</v>
      </c>
      <c r="E473" s="20" t="s">
        <v>833</v>
      </c>
      <c r="F473" s="9">
        <f>Source!AQ338</f>
        <v>0.14000000000000001</v>
      </c>
      <c r="G473" s="22"/>
      <c r="H473" s="21" t="str">
        <f>Source!DI338</f>
        <v/>
      </c>
      <c r="I473" s="9">
        <f>Source!AV338</f>
        <v>1</v>
      </c>
      <c r="J473" s="9"/>
      <c r="K473" s="22"/>
      <c r="L473" s="22">
        <f>Source!U338</f>
        <v>0.84000000000000008</v>
      </c>
    </row>
    <row r="474" spans="1:22" ht="15" x14ac:dyDescent="0.25">
      <c r="A474" s="27"/>
      <c r="B474" s="27"/>
      <c r="C474" s="27"/>
      <c r="D474" s="27"/>
      <c r="E474" s="27"/>
      <c r="F474" s="27"/>
      <c r="G474" s="27"/>
      <c r="H474" s="27"/>
      <c r="I474" s="27"/>
      <c r="J474" s="60">
        <f>K468+K469+K470+K471+K472</f>
        <v>948.24000000000012</v>
      </c>
      <c r="K474" s="60"/>
      <c r="L474" s="28">
        <f>IF(Source!I338&lt;&gt;0, ROUND(J474/Source!I338, 2), 0)</f>
        <v>158.04</v>
      </c>
      <c r="P474" s="25">
        <f>J474</f>
        <v>948.24000000000012</v>
      </c>
    </row>
    <row r="475" spans="1:22" ht="42.75" x14ac:dyDescent="0.2">
      <c r="A475" s="19">
        <v>43</v>
      </c>
      <c r="B475" s="19">
        <v>43</v>
      </c>
      <c r="C475" s="19" t="str">
        <f>Source!F340</f>
        <v>1.15-2203-7-1/1</v>
      </c>
      <c r="D475" s="19" t="str">
        <f>Source!G340</f>
        <v>Техническое обслуживание крана шарового латунного никелированного диаметром до 25 мм</v>
      </c>
      <c r="E475" s="20" t="str">
        <f>Source!H340</f>
        <v>10 шт.</v>
      </c>
      <c r="F475" s="9">
        <f>Source!I340</f>
        <v>24</v>
      </c>
      <c r="G475" s="22"/>
      <c r="H475" s="21"/>
      <c r="I475" s="9"/>
      <c r="J475" s="9"/>
      <c r="K475" s="22"/>
      <c r="L475" s="22"/>
      <c r="Q475">
        <f>ROUND((Source!BZ340/100)*ROUND((Source!AF340*Source!AV340)*Source!I340, 2), 2)</f>
        <v>4668.22</v>
      </c>
      <c r="R475">
        <f>Source!X340</f>
        <v>4668.22</v>
      </c>
      <c r="S475">
        <f>ROUND((Source!CA340/100)*ROUND((Source!AF340*Source!AV340)*Source!I340, 2), 2)</f>
        <v>666.89</v>
      </c>
      <c r="T475">
        <f>Source!Y340</f>
        <v>666.89</v>
      </c>
      <c r="U475">
        <f>ROUND((175/100)*ROUND((Source!AE340*Source!AV340)*Source!I340, 2), 2)</f>
        <v>0</v>
      </c>
      <c r="V475">
        <f>ROUND((108/100)*ROUND(Source!CS340*Source!I340, 2), 2)</f>
        <v>0</v>
      </c>
    </row>
    <row r="476" spans="1:22" x14ac:dyDescent="0.2">
      <c r="D476" s="23" t="str">
        <f>"Объем: "&amp;Source!I340&amp;"=(80)*"&amp;"3/"&amp;"10"</f>
        <v>Объем: 24=(80)*3/10</v>
      </c>
    </row>
    <row r="477" spans="1:22" ht="14.25" x14ac:dyDescent="0.2">
      <c r="A477" s="19"/>
      <c r="B477" s="19"/>
      <c r="C477" s="19"/>
      <c r="D477" s="19" t="s">
        <v>825</v>
      </c>
      <c r="E477" s="20"/>
      <c r="F477" s="9"/>
      <c r="G477" s="22">
        <f>Source!AO340</f>
        <v>277.87</v>
      </c>
      <c r="H477" s="21" t="str">
        <f>Source!DG340</f>
        <v/>
      </c>
      <c r="I477" s="9">
        <f>Source!AV340</f>
        <v>1</v>
      </c>
      <c r="J477" s="9">
        <f>IF(Source!BA340&lt;&gt; 0, Source!BA340, 1)</f>
        <v>1</v>
      </c>
      <c r="K477" s="22">
        <f>Source!S340</f>
        <v>6668.88</v>
      </c>
      <c r="L477" s="22"/>
    </row>
    <row r="478" spans="1:22" ht="14.25" x14ac:dyDescent="0.2">
      <c r="A478" s="19"/>
      <c r="B478" s="19"/>
      <c r="C478" s="19"/>
      <c r="D478" s="19" t="s">
        <v>828</v>
      </c>
      <c r="E478" s="20" t="s">
        <v>829</v>
      </c>
      <c r="F478" s="9">
        <f>Source!AT340</f>
        <v>70</v>
      </c>
      <c r="G478" s="22"/>
      <c r="H478" s="21"/>
      <c r="I478" s="9"/>
      <c r="J478" s="9"/>
      <c r="K478" s="22">
        <f>SUM(R475:R477)</f>
        <v>4668.22</v>
      </c>
      <c r="L478" s="22"/>
    </row>
    <row r="479" spans="1:22" ht="14.25" x14ac:dyDescent="0.2">
      <c r="A479" s="19"/>
      <c r="B479" s="19"/>
      <c r="C479" s="19"/>
      <c r="D479" s="19" t="s">
        <v>830</v>
      </c>
      <c r="E479" s="20" t="s">
        <v>829</v>
      </c>
      <c r="F479" s="9">
        <f>Source!AU340</f>
        <v>10</v>
      </c>
      <c r="G479" s="22"/>
      <c r="H479" s="21"/>
      <c r="I479" s="9"/>
      <c r="J479" s="9"/>
      <c r="K479" s="22">
        <f>SUM(T475:T478)</f>
        <v>666.89</v>
      </c>
      <c r="L479" s="22"/>
    </row>
    <row r="480" spans="1:22" ht="14.25" x14ac:dyDescent="0.2">
      <c r="A480" s="19"/>
      <c r="B480" s="19"/>
      <c r="C480" s="19"/>
      <c r="D480" s="19" t="s">
        <v>832</v>
      </c>
      <c r="E480" s="20" t="s">
        <v>833</v>
      </c>
      <c r="F480" s="9">
        <f>Source!AQ340</f>
        <v>0.45</v>
      </c>
      <c r="G480" s="22"/>
      <c r="H480" s="21" t="str">
        <f>Source!DI340</f>
        <v/>
      </c>
      <c r="I480" s="9">
        <f>Source!AV340</f>
        <v>1</v>
      </c>
      <c r="J480" s="9"/>
      <c r="K480" s="22"/>
      <c r="L480" s="22">
        <f>Source!U340</f>
        <v>10.8</v>
      </c>
    </row>
    <row r="481" spans="1:22" ht="15" x14ac:dyDescent="0.25">
      <c r="A481" s="27"/>
      <c r="B481" s="27"/>
      <c r="C481" s="27"/>
      <c r="D481" s="27"/>
      <c r="E481" s="27"/>
      <c r="F481" s="27"/>
      <c r="G481" s="27"/>
      <c r="H481" s="27"/>
      <c r="I481" s="27"/>
      <c r="J481" s="60">
        <f>K477+K478+K479</f>
        <v>12003.99</v>
      </c>
      <c r="K481" s="60"/>
      <c r="L481" s="28">
        <f>IF(Source!I340&lt;&gt;0, ROUND(J481/Source!I340, 2), 0)</f>
        <v>500.17</v>
      </c>
      <c r="P481" s="25">
        <f>J481</f>
        <v>12003.99</v>
      </c>
    </row>
    <row r="482" spans="1:22" ht="28.5" x14ac:dyDescent="0.2">
      <c r="A482" s="19">
        <v>44</v>
      </c>
      <c r="B482" s="19">
        <v>44</v>
      </c>
      <c r="C482" s="19" t="str">
        <f>Source!F341</f>
        <v>1.17-2103-17-1/1</v>
      </c>
      <c r="D482" s="19" t="str">
        <f>Source!G341</f>
        <v>Техническое обслуживание автоматического воздухоотводчика</v>
      </c>
      <c r="E482" s="20" t="str">
        <f>Source!H341</f>
        <v>10 шт.</v>
      </c>
      <c r="F482" s="9">
        <f>Source!I341</f>
        <v>3</v>
      </c>
      <c r="G482" s="22"/>
      <c r="H482" s="21"/>
      <c r="I482" s="9"/>
      <c r="J482" s="9"/>
      <c r="K482" s="22"/>
      <c r="L482" s="22"/>
      <c r="Q482">
        <f>ROUND((Source!BZ341/100)*ROUND((Source!AF341*Source!AV341)*Source!I341, 2), 2)</f>
        <v>1971.02</v>
      </c>
      <c r="R482">
        <f>Source!X341</f>
        <v>1971.02</v>
      </c>
      <c r="S482">
        <f>ROUND((Source!CA341/100)*ROUND((Source!AF341*Source!AV341)*Source!I341, 2), 2)</f>
        <v>281.57</v>
      </c>
      <c r="T482">
        <f>Source!Y341</f>
        <v>281.57</v>
      </c>
      <c r="U482">
        <f>ROUND((175/100)*ROUND((Source!AE341*Source!AV341)*Source!I341, 2), 2)</f>
        <v>0</v>
      </c>
      <c r="V482">
        <f>ROUND((108/100)*ROUND(Source!CS341*Source!I341, 2), 2)</f>
        <v>0</v>
      </c>
    </row>
    <row r="483" spans="1:22" x14ac:dyDescent="0.2">
      <c r="D483" s="23" t="str">
        <f>"Объем: "&amp;Source!I341&amp;"=(10)*"&amp;"3/"&amp;"10"</f>
        <v>Объем: 3=(10)*3/10</v>
      </c>
    </row>
    <row r="484" spans="1:22" ht="14.25" x14ac:dyDescent="0.2">
      <c r="A484" s="19"/>
      <c r="B484" s="19"/>
      <c r="C484" s="19"/>
      <c r="D484" s="19" t="s">
        <v>825</v>
      </c>
      <c r="E484" s="20"/>
      <c r="F484" s="9"/>
      <c r="G484" s="22">
        <f>Source!AO341</f>
        <v>938.58</v>
      </c>
      <c r="H484" s="21" t="str">
        <f>Source!DG341</f>
        <v/>
      </c>
      <c r="I484" s="9">
        <f>Source!AV341</f>
        <v>1</v>
      </c>
      <c r="J484" s="9">
        <f>IF(Source!BA341&lt;&gt; 0, Source!BA341, 1)</f>
        <v>1</v>
      </c>
      <c r="K484" s="22">
        <f>Source!S341</f>
        <v>2815.74</v>
      </c>
      <c r="L484" s="22"/>
    </row>
    <row r="485" spans="1:22" ht="14.25" x14ac:dyDescent="0.2">
      <c r="A485" s="19"/>
      <c r="B485" s="19"/>
      <c r="C485" s="19"/>
      <c r="D485" s="19" t="s">
        <v>834</v>
      </c>
      <c r="E485" s="20"/>
      <c r="F485" s="9"/>
      <c r="G485" s="22">
        <f>Source!AL341</f>
        <v>0.63</v>
      </c>
      <c r="H485" s="21" t="str">
        <f>Source!DD341</f>
        <v/>
      </c>
      <c r="I485" s="9">
        <f>Source!AW341</f>
        <v>1</v>
      </c>
      <c r="J485" s="9">
        <f>IF(Source!BC341&lt;&gt; 0, Source!BC341, 1)</f>
        <v>1</v>
      </c>
      <c r="K485" s="22">
        <f>Source!P341</f>
        <v>1.89</v>
      </c>
      <c r="L485" s="22"/>
    </row>
    <row r="486" spans="1:22" ht="14.25" x14ac:dyDescent="0.2">
      <c r="A486" s="19"/>
      <c r="B486" s="19"/>
      <c r="C486" s="19"/>
      <c r="D486" s="19" t="s">
        <v>828</v>
      </c>
      <c r="E486" s="20" t="s">
        <v>829</v>
      </c>
      <c r="F486" s="9">
        <f>Source!AT341</f>
        <v>70</v>
      </c>
      <c r="G486" s="22"/>
      <c r="H486" s="21"/>
      <c r="I486" s="9"/>
      <c r="J486" s="9"/>
      <c r="K486" s="22">
        <f>SUM(R482:R485)</f>
        <v>1971.02</v>
      </c>
      <c r="L486" s="22"/>
    </row>
    <row r="487" spans="1:22" ht="14.25" x14ac:dyDescent="0.2">
      <c r="A487" s="19"/>
      <c r="B487" s="19"/>
      <c r="C487" s="19"/>
      <c r="D487" s="19" t="s">
        <v>830</v>
      </c>
      <c r="E487" s="20" t="s">
        <v>829</v>
      </c>
      <c r="F487" s="9">
        <f>Source!AU341</f>
        <v>10</v>
      </c>
      <c r="G487" s="22"/>
      <c r="H487" s="21"/>
      <c r="I487" s="9"/>
      <c r="J487" s="9"/>
      <c r="K487" s="22">
        <f>SUM(T482:T486)</f>
        <v>281.57</v>
      </c>
      <c r="L487" s="22"/>
    </row>
    <row r="488" spans="1:22" ht="14.25" x14ac:dyDescent="0.2">
      <c r="A488" s="19"/>
      <c r="B488" s="19"/>
      <c r="C488" s="19"/>
      <c r="D488" s="19" t="s">
        <v>832</v>
      </c>
      <c r="E488" s="20" t="s">
        <v>833</v>
      </c>
      <c r="F488" s="9">
        <f>Source!AQ341</f>
        <v>1.52</v>
      </c>
      <c r="G488" s="22"/>
      <c r="H488" s="21" t="str">
        <f>Source!DI341</f>
        <v/>
      </c>
      <c r="I488" s="9">
        <f>Source!AV341</f>
        <v>1</v>
      </c>
      <c r="J488" s="9"/>
      <c r="K488" s="22"/>
      <c r="L488" s="22">
        <f>Source!U341</f>
        <v>4.5600000000000005</v>
      </c>
    </row>
    <row r="489" spans="1:22" ht="15" x14ac:dyDescent="0.25">
      <c r="A489" s="27"/>
      <c r="B489" s="27"/>
      <c r="C489" s="27"/>
      <c r="D489" s="27"/>
      <c r="E489" s="27"/>
      <c r="F489" s="27"/>
      <c r="G489" s="27"/>
      <c r="H489" s="27"/>
      <c r="I489" s="27"/>
      <c r="J489" s="60">
        <f>K484+K485+K486+K487</f>
        <v>5070.2199999999993</v>
      </c>
      <c r="K489" s="60"/>
      <c r="L489" s="28">
        <f>IF(Source!I341&lt;&gt;0, ROUND(J489/Source!I341, 2), 0)</f>
        <v>1690.07</v>
      </c>
      <c r="P489" s="25">
        <f>J489</f>
        <v>5070.2199999999993</v>
      </c>
    </row>
    <row r="491" spans="1:22" ht="15" x14ac:dyDescent="0.25">
      <c r="C491" s="56" t="str">
        <f>Source!G346</f>
        <v>Корпус 7.2.4</v>
      </c>
      <c r="D491" s="56"/>
      <c r="E491" s="56"/>
      <c r="F491" s="56"/>
      <c r="G491" s="56"/>
      <c r="H491" s="56"/>
      <c r="I491" s="56"/>
      <c r="J491" s="56"/>
      <c r="K491" s="56"/>
    </row>
    <row r="492" spans="1:22" ht="42.75" x14ac:dyDescent="0.2">
      <c r="A492" s="19">
        <v>45</v>
      </c>
      <c r="B492" s="19">
        <v>45</v>
      </c>
      <c r="C492" s="19" t="str">
        <f>Source!F347</f>
        <v>1.17-2103-13-27/1</v>
      </c>
      <c r="D492" s="19" t="str">
        <f>Source!G347</f>
        <v>Техническое обслуживание стальных панельных радиаторов типа 33 высотой 500 мм длиной до 1500 мм</v>
      </c>
      <c r="E492" s="20" t="str">
        <f>Source!H347</f>
        <v>шт.</v>
      </c>
      <c r="F492" s="9">
        <f>Source!I347</f>
        <v>7</v>
      </c>
      <c r="G492" s="22"/>
      <c r="H492" s="21"/>
      <c r="I492" s="9"/>
      <c r="J492" s="9"/>
      <c r="K492" s="22"/>
      <c r="L492" s="22"/>
      <c r="Q492">
        <f>ROUND((Source!BZ347/100)*ROUND((Source!AF347*Source!AV347)*Source!I347, 2), 2)</f>
        <v>1597.69</v>
      </c>
      <c r="R492">
        <f>Source!X347</f>
        <v>1597.69</v>
      </c>
      <c r="S492">
        <f>ROUND((Source!CA347/100)*ROUND((Source!AF347*Source!AV347)*Source!I347, 2), 2)</f>
        <v>228.24</v>
      </c>
      <c r="T492">
        <f>Source!Y347</f>
        <v>228.24</v>
      </c>
      <c r="U492">
        <f>ROUND((175/100)*ROUND((Source!AE347*Source!AV347)*Source!I347, 2), 2)</f>
        <v>0.37</v>
      </c>
      <c r="V492">
        <f>ROUND((108/100)*ROUND(Source!CS347*Source!I347, 2), 2)</f>
        <v>0.23</v>
      </c>
    </row>
    <row r="493" spans="1:22" x14ac:dyDescent="0.2">
      <c r="D493" s="23" t="str">
        <f>"Объем: "&amp;Source!I347&amp;"=5+"&amp;"2"</f>
        <v>Объем: 7=5+2</v>
      </c>
    </row>
    <row r="494" spans="1:22" ht="14.25" x14ac:dyDescent="0.2">
      <c r="A494" s="19"/>
      <c r="B494" s="19"/>
      <c r="C494" s="19"/>
      <c r="D494" s="19" t="s">
        <v>825</v>
      </c>
      <c r="E494" s="20"/>
      <c r="F494" s="9"/>
      <c r="G494" s="22">
        <f>Source!AO347</f>
        <v>326.06</v>
      </c>
      <c r="H494" s="21" t="str">
        <f>Source!DG347</f>
        <v/>
      </c>
      <c r="I494" s="9">
        <f>Source!AV347</f>
        <v>1</v>
      </c>
      <c r="J494" s="9">
        <f>IF(Source!BA347&lt;&gt; 0, Source!BA347, 1)</f>
        <v>1</v>
      </c>
      <c r="K494" s="22">
        <f>Source!S347</f>
        <v>2282.42</v>
      </c>
      <c r="L494" s="22"/>
    </row>
    <row r="495" spans="1:22" ht="14.25" x14ac:dyDescent="0.2">
      <c r="A495" s="19"/>
      <c r="B495" s="19"/>
      <c r="C495" s="19"/>
      <c r="D495" s="19" t="s">
        <v>826</v>
      </c>
      <c r="E495" s="20"/>
      <c r="F495" s="9"/>
      <c r="G495" s="22">
        <f>Source!AM347</f>
        <v>2.5299999999999998</v>
      </c>
      <c r="H495" s="21" t="str">
        <f>Source!DE347</f>
        <v/>
      </c>
      <c r="I495" s="9">
        <f>Source!AV347</f>
        <v>1</v>
      </c>
      <c r="J495" s="9">
        <f>IF(Source!BB347&lt;&gt; 0, Source!BB347, 1)</f>
        <v>1</v>
      </c>
      <c r="K495" s="22">
        <f>Source!Q347</f>
        <v>17.71</v>
      </c>
      <c r="L495" s="22"/>
    </row>
    <row r="496" spans="1:22" ht="14.25" x14ac:dyDescent="0.2">
      <c r="A496" s="19"/>
      <c r="B496" s="19"/>
      <c r="C496" s="19"/>
      <c r="D496" s="19" t="s">
        <v>827</v>
      </c>
      <c r="E496" s="20"/>
      <c r="F496" s="9"/>
      <c r="G496" s="22">
        <f>Source!AN347</f>
        <v>0.03</v>
      </c>
      <c r="H496" s="21" t="str">
        <f>Source!DF347</f>
        <v/>
      </c>
      <c r="I496" s="9">
        <f>Source!AV347</f>
        <v>1</v>
      </c>
      <c r="J496" s="9">
        <f>IF(Source!BS347&lt;&gt; 0, Source!BS347, 1)</f>
        <v>1</v>
      </c>
      <c r="K496" s="24">
        <f>Source!R347</f>
        <v>0.21</v>
      </c>
      <c r="L496" s="22"/>
    </row>
    <row r="497" spans="1:22" ht="14.25" x14ac:dyDescent="0.2">
      <c r="A497" s="19"/>
      <c r="B497" s="19"/>
      <c r="C497" s="19"/>
      <c r="D497" s="19" t="s">
        <v>834</v>
      </c>
      <c r="E497" s="20"/>
      <c r="F497" s="9"/>
      <c r="G497" s="22">
        <f>Source!AL347</f>
        <v>0.47</v>
      </c>
      <c r="H497" s="21" t="str">
        <f>Source!DD347</f>
        <v/>
      </c>
      <c r="I497" s="9">
        <f>Source!AW347</f>
        <v>1</v>
      </c>
      <c r="J497" s="9">
        <f>IF(Source!BC347&lt;&gt; 0, Source!BC347, 1)</f>
        <v>1</v>
      </c>
      <c r="K497" s="22">
        <f>Source!P347</f>
        <v>3.29</v>
      </c>
      <c r="L497" s="22"/>
    </row>
    <row r="498" spans="1:22" ht="14.25" x14ac:dyDescent="0.2">
      <c r="A498" s="19"/>
      <c r="B498" s="19"/>
      <c r="C498" s="19"/>
      <c r="D498" s="19" t="s">
        <v>828</v>
      </c>
      <c r="E498" s="20" t="s">
        <v>829</v>
      </c>
      <c r="F498" s="9">
        <f>Source!AT347</f>
        <v>70</v>
      </c>
      <c r="G498" s="22"/>
      <c r="H498" s="21"/>
      <c r="I498" s="9"/>
      <c r="J498" s="9"/>
      <c r="K498" s="22">
        <f>SUM(R492:R497)</f>
        <v>1597.69</v>
      </c>
      <c r="L498" s="22"/>
    </row>
    <row r="499" spans="1:22" ht="14.25" x14ac:dyDescent="0.2">
      <c r="A499" s="19"/>
      <c r="B499" s="19"/>
      <c r="C499" s="19"/>
      <c r="D499" s="19" t="s">
        <v>830</v>
      </c>
      <c r="E499" s="20" t="s">
        <v>829</v>
      </c>
      <c r="F499" s="9">
        <f>Source!AU347</f>
        <v>10</v>
      </c>
      <c r="G499" s="22"/>
      <c r="H499" s="21"/>
      <c r="I499" s="9"/>
      <c r="J499" s="9"/>
      <c r="K499" s="22">
        <f>SUM(T492:T498)</f>
        <v>228.24</v>
      </c>
      <c r="L499" s="22"/>
    </row>
    <row r="500" spans="1:22" ht="14.25" x14ac:dyDescent="0.2">
      <c r="A500" s="19"/>
      <c r="B500" s="19"/>
      <c r="C500" s="19"/>
      <c r="D500" s="19" t="s">
        <v>831</v>
      </c>
      <c r="E500" s="20" t="s">
        <v>829</v>
      </c>
      <c r="F500" s="9">
        <f>108</f>
        <v>108</v>
      </c>
      <c r="G500" s="22"/>
      <c r="H500" s="21"/>
      <c r="I500" s="9"/>
      <c r="J500" s="9"/>
      <c r="K500" s="22">
        <f>SUM(V492:V499)</f>
        <v>0.23</v>
      </c>
      <c r="L500" s="22"/>
    </row>
    <row r="501" spans="1:22" ht="14.25" x14ac:dyDescent="0.2">
      <c r="A501" s="19"/>
      <c r="B501" s="19"/>
      <c r="C501" s="19"/>
      <c r="D501" s="19" t="s">
        <v>832</v>
      </c>
      <c r="E501" s="20" t="s">
        <v>833</v>
      </c>
      <c r="F501" s="9">
        <f>Source!AQ347</f>
        <v>0.57999999999999996</v>
      </c>
      <c r="G501" s="22"/>
      <c r="H501" s="21" t="str">
        <f>Source!DI347</f>
        <v/>
      </c>
      <c r="I501" s="9">
        <f>Source!AV347</f>
        <v>1</v>
      </c>
      <c r="J501" s="9"/>
      <c r="K501" s="22"/>
      <c r="L501" s="22">
        <f>Source!U347</f>
        <v>4.0599999999999996</v>
      </c>
    </row>
    <row r="502" spans="1:22" ht="15" x14ac:dyDescent="0.25">
      <c r="A502" s="27"/>
      <c r="B502" s="27"/>
      <c r="C502" s="27"/>
      <c r="D502" s="27"/>
      <c r="E502" s="27"/>
      <c r="F502" s="27"/>
      <c r="G502" s="27"/>
      <c r="H502" s="27"/>
      <c r="I502" s="27"/>
      <c r="J502" s="60">
        <f>K494+K495+K497+K498+K499+K500</f>
        <v>4129.58</v>
      </c>
      <c r="K502" s="60"/>
      <c r="L502" s="28">
        <f>IF(Source!I347&lt;&gt;0, ROUND(J502/Source!I347, 2), 0)</f>
        <v>589.94000000000005</v>
      </c>
      <c r="P502" s="25">
        <f>J502</f>
        <v>4129.58</v>
      </c>
    </row>
    <row r="503" spans="1:22" ht="42.75" x14ac:dyDescent="0.2">
      <c r="A503" s="19">
        <v>46</v>
      </c>
      <c r="B503" s="19">
        <v>46</v>
      </c>
      <c r="C503" s="19" t="str">
        <f>Source!F348</f>
        <v>1.17-2103-13-28/1</v>
      </c>
      <c r="D503" s="19" t="str">
        <f>Source!G348</f>
        <v>Техническое обслуживание стальных панельных радиаторов типа 33 высотой 500 мм длиной до 3000 мм</v>
      </c>
      <c r="E503" s="20" t="str">
        <f>Source!H348</f>
        <v>шт.</v>
      </c>
      <c r="F503" s="9">
        <f>Source!I348</f>
        <v>2</v>
      </c>
      <c r="G503" s="22"/>
      <c r="H503" s="21"/>
      <c r="I503" s="9"/>
      <c r="J503" s="9"/>
      <c r="K503" s="22"/>
      <c r="L503" s="22"/>
      <c r="Q503">
        <f>ROUND((Source!BZ348/100)*ROUND((Source!AF348*Source!AV348)*Source!I348, 2), 2)</f>
        <v>708.33</v>
      </c>
      <c r="R503">
        <f>Source!X348</f>
        <v>708.33</v>
      </c>
      <c r="S503">
        <f>ROUND((Source!CA348/100)*ROUND((Source!AF348*Source!AV348)*Source!I348, 2), 2)</f>
        <v>101.19</v>
      </c>
      <c r="T503">
        <f>Source!Y348</f>
        <v>101.19</v>
      </c>
      <c r="U503">
        <f>ROUND((175/100)*ROUND((Source!AE348*Source!AV348)*Source!I348, 2), 2)</f>
        <v>0.25</v>
      </c>
      <c r="V503">
        <f>ROUND((108/100)*ROUND(Source!CS348*Source!I348, 2), 2)</f>
        <v>0.15</v>
      </c>
    </row>
    <row r="504" spans="1:22" ht="14.25" x14ac:dyDescent="0.2">
      <c r="A504" s="19"/>
      <c r="B504" s="19"/>
      <c r="C504" s="19"/>
      <c r="D504" s="19" t="s">
        <v>825</v>
      </c>
      <c r="E504" s="20"/>
      <c r="F504" s="9"/>
      <c r="G504" s="22">
        <f>Source!AO348</f>
        <v>505.95</v>
      </c>
      <c r="H504" s="21" t="str">
        <f>Source!DG348</f>
        <v/>
      </c>
      <c r="I504" s="9">
        <f>Source!AV348</f>
        <v>1</v>
      </c>
      <c r="J504" s="9">
        <f>IF(Source!BA348&lt;&gt; 0, Source!BA348, 1)</f>
        <v>1</v>
      </c>
      <c r="K504" s="22">
        <f>Source!S348</f>
        <v>1011.9</v>
      </c>
      <c r="L504" s="22"/>
    </row>
    <row r="505" spans="1:22" ht="14.25" x14ac:dyDescent="0.2">
      <c r="A505" s="19"/>
      <c r="B505" s="19"/>
      <c r="C505" s="19"/>
      <c r="D505" s="19" t="s">
        <v>826</v>
      </c>
      <c r="E505" s="20"/>
      <c r="F505" s="9"/>
      <c r="G505" s="22">
        <f>Source!AM348</f>
        <v>5.0599999999999996</v>
      </c>
      <c r="H505" s="21" t="str">
        <f>Source!DE348</f>
        <v/>
      </c>
      <c r="I505" s="9">
        <f>Source!AV348</f>
        <v>1</v>
      </c>
      <c r="J505" s="9">
        <f>IF(Source!BB348&lt;&gt; 0, Source!BB348, 1)</f>
        <v>1</v>
      </c>
      <c r="K505" s="22">
        <f>Source!Q348</f>
        <v>10.119999999999999</v>
      </c>
      <c r="L505" s="22"/>
    </row>
    <row r="506" spans="1:22" ht="14.25" x14ac:dyDescent="0.2">
      <c r="A506" s="19"/>
      <c r="B506" s="19"/>
      <c r="C506" s="19"/>
      <c r="D506" s="19" t="s">
        <v>827</v>
      </c>
      <c r="E506" s="20"/>
      <c r="F506" s="9"/>
      <c r="G506" s="22">
        <f>Source!AN348</f>
        <v>7.0000000000000007E-2</v>
      </c>
      <c r="H506" s="21" t="str">
        <f>Source!DF348</f>
        <v/>
      </c>
      <c r="I506" s="9">
        <f>Source!AV348</f>
        <v>1</v>
      </c>
      <c r="J506" s="9">
        <f>IF(Source!BS348&lt;&gt; 0, Source!BS348, 1)</f>
        <v>1</v>
      </c>
      <c r="K506" s="24">
        <f>Source!R348</f>
        <v>0.14000000000000001</v>
      </c>
      <c r="L506" s="22"/>
    </row>
    <row r="507" spans="1:22" ht="14.25" x14ac:dyDescent="0.2">
      <c r="A507" s="19"/>
      <c r="B507" s="19"/>
      <c r="C507" s="19"/>
      <c r="D507" s="19" t="s">
        <v>834</v>
      </c>
      <c r="E507" s="20"/>
      <c r="F507" s="9"/>
      <c r="G507" s="22">
        <f>Source!AL348</f>
        <v>0.94</v>
      </c>
      <c r="H507" s="21" t="str">
        <f>Source!DD348</f>
        <v/>
      </c>
      <c r="I507" s="9">
        <f>Source!AW348</f>
        <v>1</v>
      </c>
      <c r="J507" s="9">
        <f>IF(Source!BC348&lt;&gt; 0, Source!BC348, 1)</f>
        <v>1</v>
      </c>
      <c r="K507" s="22">
        <f>Source!P348</f>
        <v>1.88</v>
      </c>
      <c r="L507" s="22"/>
    </row>
    <row r="508" spans="1:22" ht="14.25" x14ac:dyDescent="0.2">
      <c r="A508" s="19"/>
      <c r="B508" s="19"/>
      <c r="C508" s="19"/>
      <c r="D508" s="19" t="s">
        <v>828</v>
      </c>
      <c r="E508" s="20" t="s">
        <v>829</v>
      </c>
      <c r="F508" s="9">
        <f>Source!AT348</f>
        <v>70</v>
      </c>
      <c r="G508" s="22"/>
      <c r="H508" s="21"/>
      <c r="I508" s="9"/>
      <c r="J508" s="9"/>
      <c r="K508" s="22">
        <f>SUM(R503:R507)</f>
        <v>708.33</v>
      </c>
      <c r="L508" s="22"/>
    </row>
    <row r="509" spans="1:22" ht="14.25" x14ac:dyDescent="0.2">
      <c r="A509" s="19"/>
      <c r="B509" s="19"/>
      <c r="C509" s="19"/>
      <c r="D509" s="19" t="s">
        <v>830</v>
      </c>
      <c r="E509" s="20" t="s">
        <v>829</v>
      </c>
      <c r="F509" s="9">
        <f>Source!AU348</f>
        <v>10</v>
      </c>
      <c r="G509" s="22"/>
      <c r="H509" s="21"/>
      <c r="I509" s="9"/>
      <c r="J509" s="9"/>
      <c r="K509" s="22">
        <f>SUM(T503:T508)</f>
        <v>101.19</v>
      </c>
      <c r="L509" s="22"/>
    </row>
    <row r="510" spans="1:22" ht="14.25" x14ac:dyDescent="0.2">
      <c r="A510" s="19"/>
      <c r="B510" s="19"/>
      <c r="C510" s="19"/>
      <c r="D510" s="19" t="s">
        <v>831</v>
      </c>
      <c r="E510" s="20" t="s">
        <v>829</v>
      </c>
      <c r="F510" s="9">
        <f>108</f>
        <v>108</v>
      </c>
      <c r="G510" s="22"/>
      <c r="H510" s="21"/>
      <c r="I510" s="9"/>
      <c r="J510" s="9"/>
      <c r="K510" s="22">
        <f>SUM(V503:V509)</f>
        <v>0.15</v>
      </c>
      <c r="L510" s="22"/>
    </row>
    <row r="511" spans="1:22" ht="14.25" x14ac:dyDescent="0.2">
      <c r="A511" s="19"/>
      <c r="B511" s="19"/>
      <c r="C511" s="19"/>
      <c r="D511" s="19" t="s">
        <v>832</v>
      </c>
      <c r="E511" s="20" t="s">
        <v>833</v>
      </c>
      <c r="F511" s="9">
        <f>Source!AQ348</f>
        <v>0.9</v>
      </c>
      <c r="G511" s="22"/>
      <c r="H511" s="21" t="str">
        <f>Source!DI348</f>
        <v/>
      </c>
      <c r="I511" s="9">
        <f>Source!AV348</f>
        <v>1</v>
      </c>
      <c r="J511" s="9"/>
      <c r="K511" s="22"/>
      <c r="L511" s="22">
        <f>Source!U348</f>
        <v>1.8</v>
      </c>
    </row>
    <row r="512" spans="1:22" ht="15" x14ac:dyDescent="0.25">
      <c r="A512" s="27"/>
      <c r="B512" s="27"/>
      <c r="C512" s="27"/>
      <c r="D512" s="27"/>
      <c r="E512" s="27"/>
      <c r="F512" s="27"/>
      <c r="G512" s="27"/>
      <c r="H512" s="27"/>
      <c r="I512" s="27"/>
      <c r="J512" s="60">
        <f>K504+K505+K507+K508+K509+K510</f>
        <v>1833.5700000000002</v>
      </c>
      <c r="K512" s="60"/>
      <c r="L512" s="28">
        <f>IF(Source!I348&lt;&gt;0, ROUND(J512/Source!I348, 2), 0)</f>
        <v>916.79</v>
      </c>
      <c r="P512" s="25">
        <f>J512</f>
        <v>1833.5700000000002</v>
      </c>
    </row>
    <row r="513" spans="1:22" ht="57" x14ac:dyDescent="0.2">
      <c r="A513" s="19">
        <v>47</v>
      </c>
      <c r="B513" s="19">
        <v>47</v>
      </c>
      <c r="C513" s="19" t="str">
        <f>Source!F349</f>
        <v>1.17-2103-15-3/1</v>
      </c>
      <c r="D513" s="19" t="str">
        <f>Source!G349</f>
        <v>Техническое обслуживание конвекторов, встраиваемых в пол, длиной короба 1100 мм, шириной короба до 260 мм</v>
      </c>
      <c r="E513" s="20" t="str">
        <f>Source!H349</f>
        <v>10 шт.</v>
      </c>
      <c r="F513" s="9">
        <f>Source!I349</f>
        <v>1.8</v>
      </c>
      <c r="G513" s="22"/>
      <c r="H513" s="21"/>
      <c r="I513" s="9"/>
      <c r="J513" s="9"/>
      <c r="K513" s="22"/>
      <c r="L513" s="22"/>
      <c r="Q513">
        <f>ROUND((Source!BZ349/100)*ROUND((Source!AF349*Source!AV349)*Source!I349, 2), 2)</f>
        <v>1317.28</v>
      </c>
      <c r="R513">
        <f>Source!X349</f>
        <v>1317.28</v>
      </c>
      <c r="S513">
        <f>ROUND((Source!CA349/100)*ROUND((Source!AF349*Source!AV349)*Source!I349, 2), 2)</f>
        <v>188.18</v>
      </c>
      <c r="T513">
        <f>Source!Y349</f>
        <v>188.18</v>
      </c>
      <c r="U513">
        <f>ROUND((175/100)*ROUND((Source!AE349*Source!AV349)*Source!I349, 2), 2)</f>
        <v>0.19</v>
      </c>
      <c r="V513">
        <f>ROUND((108/100)*ROUND(Source!CS349*Source!I349, 2), 2)</f>
        <v>0.12</v>
      </c>
    </row>
    <row r="514" spans="1:22" x14ac:dyDescent="0.2">
      <c r="D514" s="23" t="str">
        <f>"Объем: "&amp;Source!I349&amp;"=18/"&amp;"10"</f>
        <v>Объем: 1,8=18/10</v>
      </c>
    </row>
    <row r="515" spans="1:22" ht="14.25" x14ac:dyDescent="0.2">
      <c r="A515" s="19"/>
      <c r="B515" s="19"/>
      <c r="C515" s="19"/>
      <c r="D515" s="19" t="s">
        <v>825</v>
      </c>
      <c r="E515" s="20"/>
      <c r="F515" s="9"/>
      <c r="G515" s="22">
        <f>Source!AO349</f>
        <v>1045.46</v>
      </c>
      <c r="H515" s="21" t="str">
        <f>Source!DG349</f>
        <v/>
      </c>
      <c r="I515" s="9">
        <f>Source!AV349</f>
        <v>1</v>
      </c>
      <c r="J515" s="9">
        <f>IF(Source!BA349&lt;&gt; 0, Source!BA349, 1)</f>
        <v>1</v>
      </c>
      <c r="K515" s="22">
        <f>Source!S349</f>
        <v>1881.83</v>
      </c>
      <c r="L515" s="22"/>
    </row>
    <row r="516" spans="1:22" ht="14.25" x14ac:dyDescent="0.2">
      <c r="A516" s="19"/>
      <c r="B516" s="19"/>
      <c r="C516" s="19"/>
      <c r="D516" s="19" t="s">
        <v>826</v>
      </c>
      <c r="E516" s="20"/>
      <c r="F516" s="9"/>
      <c r="G516" s="22">
        <f>Source!AM349</f>
        <v>4.09</v>
      </c>
      <c r="H516" s="21" t="str">
        <f>Source!DE349</f>
        <v/>
      </c>
      <c r="I516" s="9">
        <f>Source!AV349</f>
        <v>1</v>
      </c>
      <c r="J516" s="9">
        <f>IF(Source!BB349&lt;&gt; 0, Source!BB349, 1)</f>
        <v>1</v>
      </c>
      <c r="K516" s="22">
        <f>Source!Q349</f>
        <v>7.36</v>
      </c>
      <c r="L516" s="22"/>
    </row>
    <row r="517" spans="1:22" ht="14.25" x14ac:dyDescent="0.2">
      <c r="A517" s="19"/>
      <c r="B517" s="19"/>
      <c r="C517" s="19"/>
      <c r="D517" s="19" t="s">
        <v>827</v>
      </c>
      <c r="E517" s="20"/>
      <c r="F517" s="9"/>
      <c r="G517" s="22">
        <f>Source!AN349</f>
        <v>0.06</v>
      </c>
      <c r="H517" s="21" t="str">
        <f>Source!DF349</f>
        <v/>
      </c>
      <c r="I517" s="9">
        <f>Source!AV349</f>
        <v>1</v>
      </c>
      <c r="J517" s="9">
        <f>IF(Source!BS349&lt;&gt; 0, Source!BS349, 1)</f>
        <v>1</v>
      </c>
      <c r="K517" s="24">
        <f>Source!R349</f>
        <v>0.11</v>
      </c>
      <c r="L517" s="22"/>
    </row>
    <row r="518" spans="1:22" ht="14.25" x14ac:dyDescent="0.2">
      <c r="A518" s="19"/>
      <c r="B518" s="19"/>
      <c r="C518" s="19"/>
      <c r="D518" s="19" t="s">
        <v>834</v>
      </c>
      <c r="E518" s="20"/>
      <c r="F518" s="9"/>
      <c r="G518" s="22">
        <f>Source!AL349</f>
        <v>1.67</v>
      </c>
      <c r="H518" s="21" t="str">
        <f>Source!DD349</f>
        <v/>
      </c>
      <c r="I518" s="9">
        <f>Source!AW349</f>
        <v>1</v>
      </c>
      <c r="J518" s="9">
        <f>IF(Source!BC349&lt;&gt; 0, Source!BC349, 1)</f>
        <v>1</v>
      </c>
      <c r="K518" s="22">
        <f>Source!P349</f>
        <v>3.01</v>
      </c>
      <c r="L518" s="22"/>
    </row>
    <row r="519" spans="1:22" ht="14.25" x14ac:dyDescent="0.2">
      <c r="A519" s="19"/>
      <c r="B519" s="19"/>
      <c r="C519" s="19"/>
      <c r="D519" s="19" t="s">
        <v>828</v>
      </c>
      <c r="E519" s="20" t="s">
        <v>829</v>
      </c>
      <c r="F519" s="9">
        <f>Source!AT349</f>
        <v>70</v>
      </c>
      <c r="G519" s="22"/>
      <c r="H519" s="21"/>
      <c r="I519" s="9"/>
      <c r="J519" s="9"/>
      <c r="K519" s="22">
        <f>SUM(R513:R518)</f>
        <v>1317.28</v>
      </c>
      <c r="L519" s="22"/>
    </row>
    <row r="520" spans="1:22" ht="14.25" x14ac:dyDescent="0.2">
      <c r="A520" s="19"/>
      <c r="B520" s="19"/>
      <c r="C520" s="19"/>
      <c r="D520" s="19" t="s">
        <v>830</v>
      </c>
      <c r="E520" s="20" t="s">
        <v>829</v>
      </c>
      <c r="F520" s="9">
        <f>Source!AU349</f>
        <v>10</v>
      </c>
      <c r="G520" s="22"/>
      <c r="H520" s="21"/>
      <c r="I520" s="9"/>
      <c r="J520" s="9"/>
      <c r="K520" s="22">
        <f>SUM(T513:T519)</f>
        <v>188.18</v>
      </c>
      <c r="L520" s="22"/>
    </row>
    <row r="521" spans="1:22" ht="14.25" x14ac:dyDescent="0.2">
      <c r="A521" s="19"/>
      <c r="B521" s="19"/>
      <c r="C521" s="19"/>
      <c r="D521" s="19" t="s">
        <v>831</v>
      </c>
      <c r="E521" s="20" t="s">
        <v>829</v>
      </c>
      <c r="F521" s="9">
        <f>108</f>
        <v>108</v>
      </c>
      <c r="G521" s="22"/>
      <c r="H521" s="21"/>
      <c r="I521" s="9"/>
      <c r="J521" s="9"/>
      <c r="K521" s="22">
        <f>SUM(V513:V520)</f>
        <v>0.12</v>
      </c>
      <c r="L521" s="22"/>
    </row>
    <row r="522" spans="1:22" ht="14.25" x14ac:dyDescent="0.2">
      <c r="A522" s="19"/>
      <c r="B522" s="19"/>
      <c r="C522" s="19"/>
      <c r="D522" s="19" t="s">
        <v>832</v>
      </c>
      <c r="E522" s="20" t="s">
        <v>833</v>
      </c>
      <c r="F522" s="9">
        <f>Source!AQ349</f>
        <v>1.84</v>
      </c>
      <c r="G522" s="22"/>
      <c r="H522" s="21" t="str">
        <f>Source!DI349</f>
        <v/>
      </c>
      <c r="I522" s="9">
        <f>Source!AV349</f>
        <v>1</v>
      </c>
      <c r="J522" s="9"/>
      <c r="K522" s="22"/>
      <c r="L522" s="22">
        <f>Source!U349</f>
        <v>3.3120000000000003</v>
      </c>
    </row>
    <row r="523" spans="1:22" ht="15" x14ac:dyDescent="0.25">
      <c r="A523" s="27"/>
      <c r="B523" s="27"/>
      <c r="C523" s="27"/>
      <c r="D523" s="27"/>
      <c r="E523" s="27"/>
      <c r="F523" s="27"/>
      <c r="G523" s="27"/>
      <c r="H523" s="27"/>
      <c r="I523" s="27"/>
      <c r="J523" s="60">
        <f>K515+K516+K518+K519+K520+K521</f>
        <v>3397.7799999999993</v>
      </c>
      <c r="K523" s="60"/>
      <c r="L523" s="28">
        <f>IF(Source!I349&lt;&gt;0, ROUND(J523/Source!I349, 2), 0)</f>
        <v>1887.66</v>
      </c>
      <c r="P523" s="25">
        <f>J523</f>
        <v>3397.7799999999993</v>
      </c>
    </row>
    <row r="524" spans="1:22" ht="57" x14ac:dyDescent="0.2">
      <c r="A524" s="19">
        <v>48</v>
      </c>
      <c r="B524" s="19">
        <v>48</v>
      </c>
      <c r="C524" s="19" t="str">
        <f>Source!F350</f>
        <v>1.17-2103-15-3/1</v>
      </c>
      <c r="D524" s="19" t="str">
        <f>Source!G350</f>
        <v>Техническое обслуживание конвекторов, встраиваемых в пол, длиной короба 1100 мм, шириной короба до 260 мм</v>
      </c>
      <c r="E524" s="20" t="str">
        <f>Source!H350</f>
        <v>10 шт.</v>
      </c>
      <c r="F524" s="9">
        <f>Source!I350</f>
        <v>0.2</v>
      </c>
      <c r="G524" s="22"/>
      <c r="H524" s="21"/>
      <c r="I524" s="9"/>
      <c r="J524" s="9"/>
      <c r="K524" s="22"/>
      <c r="L524" s="22"/>
      <c r="Q524">
        <f>ROUND((Source!BZ350/100)*ROUND((Source!AF350*Source!AV350)*Source!I350, 2), 2)</f>
        <v>146.36000000000001</v>
      </c>
      <c r="R524">
        <f>Source!X350</f>
        <v>146.36000000000001</v>
      </c>
      <c r="S524">
        <f>ROUND((Source!CA350/100)*ROUND((Source!AF350*Source!AV350)*Source!I350, 2), 2)</f>
        <v>20.91</v>
      </c>
      <c r="T524">
        <f>Source!Y350</f>
        <v>20.91</v>
      </c>
      <c r="U524">
        <f>ROUND((175/100)*ROUND((Source!AE350*Source!AV350)*Source!I350, 2), 2)</f>
        <v>0.02</v>
      </c>
      <c r="V524">
        <f>ROUND((108/100)*ROUND(Source!CS350*Source!I350, 2), 2)</f>
        <v>0.01</v>
      </c>
    </row>
    <row r="525" spans="1:22" x14ac:dyDescent="0.2">
      <c r="D525" s="23" t="str">
        <f>"Объем: "&amp;Source!I350&amp;"=2/"&amp;"10"</f>
        <v>Объем: 0,2=2/10</v>
      </c>
    </row>
    <row r="526" spans="1:22" ht="14.25" x14ac:dyDescent="0.2">
      <c r="A526" s="19"/>
      <c r="B526" s="19"/>
      <c r="C526" s="19"/>
      <c r="D526" s="19" t="s">
        <v>825</v>
      </c>
      <c r="E526" s="20"/>
      <c r="F526" s="9"/>
      <c r="G526" s="22">
        <f>Source!AO350</f>
        <v>1045.46</v>
      </c>
      <c r="H526" s="21" t="str">
        <f>Source!DG350</f>
        <v/>
      </c>
      <c r="I526" s="9">
        <f>Source!AV350</f>
        <v>1</v>
      </c>
      <c r="J526" s="9">
        <f>IF(Source!BA350&lt;&gt; 0, Source!BA350, 1)</f>
        <v>1</v>
      </c>
      <c r="K526" s="22">
        <f>Source!S350</f>
        <v>209.09</v>
      </c>
      <c r="L526" s="22"/>
    </row>
    <row r="527" spans="1:22" ht="14.25" x14ac:dyDescent="0.2">
      <c r="A527" s="19"/>
      <c r="B527" s="19"/>
      <c r="C527" s="19"/>
      <c r="D527" s="19" t="s">
        <v>826</v>
      </c>
      <c r="E527" s="20"/>
      <c r="F527" s="9"/>
      <c r="G527" s="22">
        <f>Source!AM350</f>
        <v>4.09</v>
      </c>
      <c r="H527" s="21" t="str">
        <f>Source!DE350</f>
        <v/>
      </c>
      <c r="I527" s="9">
        <f>Source!AV350</f>
        <v>1</v>
      </c>
      <c r="J527" s="9">
        <f>IF(Source!BB350&lt;&gt; 0, Source!BB350, 1)</f>
        <v>1</v>
      </c>
      <c r="K527" s="22">
        <f>Source!Q350</f>
        <v>0.82</v>
      </c>
      <c r="L527" s="22"/>
    </row>
    <row r="528" spans="1:22" ht="14.25" x14ac:dyDescent="0.2">
      <c r="A528" s="19"/>
      <c r="B528" s="19"/>
      <c r="C528" s="19"/>
      <c r="D528" s="19" t="s">
        <v>827</v>
      </c>
      <c r="E528" s="20"/>
      <c r="F528" s="9"/>
      <c r="G528" s="22">
        <f>Source!AN350</f>
        <v>0.06</v>
      </c>
      <c r="H528" s="21" t="str">
        <f>Source!DF350</f>
        <v/>
      </c>
      <c r="I528" s="9">
        <f>Source!AV350</f>
        <v>1</v>
      </c>
      <c r="J528" s="9">
        <f>IF(Source!BS350&lt;&gt; 0, Source!BS350, 1)</f>
        <v>1</v>
      </c>
      <c r="K528" s="24">
        <f>Source!R350</f>
        <v>0.01</v>
      </c>
      <c r="L528" s="22"/>
    </row>
    <row r="529" spans="1:22" ht="14.25" x14ac:dyDescent="0.2">
      <c r="A529" s="19"/>
      <c r="B529" s="19"/>
      <c r="C529" s="19"/>
      <c r="D529" s="19" t="s">
        <v>834</v>
      </c>
      <c r="E529" s="20"/>
      <c r="F529" s="9"/>
      <c r="G529" s="22">
        <f>Source!AL350</f>
        <v>1.67</v>
      </c>
      <c r="H529" s="21" t="str">
        <f>Source!DD350</f>
        <v/>
      </c>
      <c r="I529" s="9">
        <f>Source!AW350</f>
        <v>1</v>
      </c>
      <c r="J529" s="9">
        <f>IF(Source!BC350&lt;&gt; 0, Source!BC350, 1)</f>
        <v>1</v>
      </c>
      <c r="K529" s="22">
        <f>Source!P350</f>
        <v>0.33</v>
      </c>
      <c r="L529" s="22"/>
    </row>
    <row r="530" spans="1:22" ht="14.25" x14ac:dyDescent="0.2">
      <c r="A530" s="19"/>
      <c r="B530" s="19"/>
      <c r="C530" s="19"/>
      <c r="D530" s="19" t="s">
        <v>828</v>
      </c>
      <c r="E530" s="20" t="s">
        <v>829</v>
      </c>
      <c r="F530" s="9">
        <f>Source!AT350</f>
        <v>70</v>
      </c>
      <c r="G530" s="22"/>
      <c r="H530" s="21"/>
      <c r="I530" s="9"/>
      <c r="J530" s="9"/>
      <c r="K530" s="22">
        <f>SUM(R524:R529)</f>
        <v>146.36000000000001</v>
      </c>
      <c r="L530" s="22"/>
    </row>
    <row r="531" spans="1:22" ht="14.25" x14ac:dyDescent="0.2">
      <c r="A531" s="19"/>
      <c r="B531" s="19"/>
      <c r="C531" s="19"/>
      <c r="D531" s="19" t="s">
        <v>830</v>
      </c>
      <c r="E531" s="20" t="s">
        <v>829</v>
      </c>
      <c r="F531" s="9">
        <f>Source!AU350</f>
        <v>10</v>
      </c>
      <c r="G531" s="22"/>
      <c r="H531" s="21"/>
      <c r="I531" s="9"/>
      <c r="J531" s="9"/>
      <c r="K531" s="22">
        <f>SUM(T524:T530)</f>
        <v>20.91</v>
      </c>
      <c r="L531" s="22"/>
    </row>
    <row r="532" spans="1:22" ht="14.25" x14ac:dyDescent="0.2">
      <c r="A532" s="19"/>
      <c r="B532" s="19"/>
      <c r="C532" s="19"/>
      <c r="D532" s="19" t="s">
        <v>831</v>
      </c>
      <c r="E532" s="20" t="s">
        <v>829</v>
      </c>
      <c r="F532" s="9">
        <f>108</f>
        <v>108</v>
      </c>
      <c r="G532" s="22"/>
      <c r="H532" s="21"/>
      <c r="I532" s="9"/>
      <c r="J532" s="9"/>
      <c r="K532" s="22">
        <f>SUM(V524:V531)</f>
        <v>0.01</v>
      </c>
      <c r="L532" s="22"/>
    </row>
    <row r="533" spans="1:22" ht="14.25" x14ac:dyDescent="0.2">
      <c r="A533" s="19"/>
      <c r="B533" s="19"/>
      <c r="C533" s="19"/>
      <c r="D533" s="19" t="s">
        <v>832</v>
      </c>
      <c r="E533" s="20" t="s">
        <v>833</v>
      </c>
      <c r="F533" s="9">
        <f>Source!AQ350</f>
        <v>1.84</v>
      </c>
      <c r="G533" s="22"/>
      <c r="H533" s="21" t="str">
        <f>Source!DI350</f>
        <v/>
      </c>
      <c r="I533" s="9">
        <f>Source!AV350</f>
        <v>1</v>
      </c>
      <c r="J533" s="9"/>
      <c r="K533" s="22"/>
      <c r="L533" s="22">
        <f>Source!U350</f>
        <v>0.36800000000000005</v>
      </c>
    </row>
    <row r="534" spans="1:22" ht="15" x14ac:dyDescent="0.25">
      <c r="A534" s="27"/>
      <c r="B534" s="27"/>
      <c r="C534" s="27"/>
      <c r="D534" s="27"/>
      <c r="E534" s="27"/>
      <c r="F534" s="27"/>
      <c r="G534" s="27"/>
      <c r="H534" s="27"/>
      <c r="I534" s="27"/>
      <c r="J534" s="60">
        <f>K526+K527+K529+K530+K531+K532</f>
        <v>377.52000000000004</v>
      </c>
      <c r="K534" s="60"/>
      <c r="L534" s="28">
        <f>IF(Source!I350&lt;&gt;0, ROUND(J534/Source!I350, 2), 0)</f>
        <v>1887.6</v>
      </c>
      <c r="P534" s="25">
        <f>J534</f>
        <v>377.52000000000004</v>
      </c>
    </row>
    <row r="535" spans="1:22" ht="71.25" x14ac:dyDescent="0.2">
      <c r="A535" s="19">
        <v>49</v>
      </c>
      <c r="B535" s="19">
        <v>49</v>
      </c>
      <c r="C535" s="19" t="str">
        <f>Source!F351</f>
        <v>1.17-2103-15-4/1</v>
      </c>
      <c r="D535" s="19" t="str">
        <f>Source!G351</f>
        <v>Техническое обслуживание конвекторов, встраиваемых в пол, шириной короба до 260 мм, добавлять к 1.17-2103-15-3 на каждые 200 мм увеличения длины короба</v>
      </c>
      <c r="E535" s="20" t="str">
        <f>Source!H351</f>
        <v>10 шт.</v>
      </c>
      <c r="F535" s="9">
        <f>Source!I351</f>
        <v>0.2</v>
      </c>
      <c r="G535" s="22"/>
      <c r="H535" s="21"/>
      <c r="I535" s="9"/>
      <c r="J535" s="9"/>
      <c r="K535" s="22"/>
      <c r="L535" s="22"/>
      <c r="Q535">
        <f>ROUND((Source!BZ351/100)*ROUND((Source!AF351*Source!AV351)*Source!I351, 2), 2)</f>
        <v>32.1</v>
      </c>
      <c r="R535">
        <f>Source!X351</f>
        <v>32.1</v>
      </c>
      <c r="S535">
        <f>ROUND((Source!CA351/100)*ROUND((Source!AF351*Source!AV351)*Source!I351, 2), 2)</f>
        <v>4.59</v>
      </c>
      <c r="T535">
        <f>Source!Y351</f>
        <v>4.59</v>
      </c>
      <c r="U535">
        <f>ROUND((175/100)*ROUND((Source!AE351*Source!AV351)*Source!I351, 2), 2)</f>
        <v>0</v>
      </c>
      <c r="V535">
        <f>ROUND((108/100)*ROUND(Source!CS351*Source!I351, 2), 2)</f>
        <v>0</v>
      </c>
    </row>
    <row r="536" spans="1:22" x14ac:dyDescent="0.2">
      <c r="D536" s="23" t="str">
        <f>"Объем: "&amp;Source!I351&amp;"=2/"&amp;"10"</f>
        <v>Объем: 0,2=2/10</v>
      </c>
    </row>
    <row r="537" spans="1:22" ht="14.25" x14ac:dyDescent="0.2">
      <c r="A537" s="19"/>
      <c r="B537" s="19"/>
      <c r="C537" s="19"/>
      <c r="D537" s="19" t="s">
        <v>825</v>
      </c>
      <c r="E537" s="20"/>
      <c r="F537" s="9"/>
      <c r="G537" s="22">
        <f>Source!AO351</f>
        <v>114.65</v>
      </c>
      <c r="H537" s="21" t="str">
        <f>Source!DG351</f>
        <v>)*2</v>
      </c>
      <c r="I537" s="9">
        <f>Source!AV351</f>
        <v>1</v>
      </c>
      <c r="J537" s="9">
        <f>IF(Source!BA351&lt;&gt; 0, Source!BA351, 1)</f>
        <v>1</v>
      </c>
      <c r="K537" s="22">
        <f>Source!S351</f>
        <v>45.86</v>
      </c>
      <c r="L537" s="22"/>
    </row>
    <row r="538" spans="1:22" ht="14.25" x14ac:dyDescent="0.2">
      <c r="A538" s="19"/>
      <c r="B538" s="19"/>
      <c r="C538" s="19"/>
      <c r="D538" s="19" t="s">
        <v>826</v>
      </c>
      <c r="E538" s="20"/>
      <c r="F538" s="9"/>
      <c r="G538" s="22">
        <f>Source!AM351</f>
        <v>0.74</v>
      </c>
      <c r="H538" s="21" t="str">
        <f>Source!DE351</f>
        <v>)*2</v>
      </c>
      <c r="I538" s="9">
        <f>Source!AV351</f>
        <v>1</v>
      </c>
      <c r="J538" s="9">
        <f>IF(Source!BB351&lt;&gt; 0, Source!BB351, 1)</f>
        <v>1</v>
      </c>
      <c r="K538" s="22">
        <f>Source!Q351</f>
        <v>0.3</v>
      </c>
      <c r="L538" s="22"/>
    </row>
    <row r="539" spans="1:22" ht="14.25" x14ac:dyDescent="0.2">
      <c r="A539" s="19"/>
      <c r="B539" s="19"/>
      <c r="C539" s="19"/>
      <c r="D539" s="19" t="s">
        <v>834</v>
      </c>
      <c r="E539" s="20"/>
      <c r="F539" s="9"/>
      <c r="G539" s="22">
        <f>Source!AL351</f>
        <v>0.31</v>
      </c>
      <c r="H539" s="21" t="str">
        <f>Source!DD351</f>
        <v>)*2</v>
      </c>
      <c r="I539" s="9">
        <f>Source!AW351</f>
        <v>1</v>
      </c>
      <c r="J539" s="9">
        <f>IF(Source!BC351&lt;&gt; 0, Source!BC351, 1)</f>
        <v>1</v>
      </c>
      <c r="K539" s="22">
        <f>Source!P351</f>
        <v>0.12</v>
      </c>
      <c r="L539" s="22"/>
    </row>
    <row r="540" spans="1:22" ht="14.25" x14ac:dyDescent="0.2">
      <c r="A540" s="19"/>
      <c r="B540" s="19"/>
      <c r="C540" s="19"/>
      <c r="D540" s="19" t="s">
        <v>828</v>
      </c>
      <c r="E540" s="20" t="s">
        <v>829</v>
      </c>
      <c r="F540" s="9">
        <f>Source!AT351</f>
        <v>70</v>
      </c>
      <c r="G540" s="22"/>
      <c r="H540" s="21"/>
      <c r="I540" s="9"/>
      <c r="J540" s="9"/>
      <c r="K540" s="22">
        <f>SUM(R535:R539)</f>
        <v>32.1</v>
      </c>
      <c r="L540" s="22"/>
    </row>
    <row r="541" spans="1:22" ht="14.25" x14ac:dyDescent="0.2">
      <c r="A541" s="19"/>
      <c r="B541" s="19"/>
      <c r="C541" s="19"/>
      <c r="D541" s="19" t="s">
        <v>830</v>
      </c>
      <c r="E541" s="20" t="s">
        <v>829</v>
      </c>
      <c r="F541" s="9">
        <f>Source!AU351</f>
        <v>10</v>
      </c>
      <c r="G541" s="22"/>
      <c r="H541" s="21"/>
      <c r="I541" s="9"/>
      <c r="J541" s="9"/>
      <c r="K541" s="22">
        <f>SUM(T535:T540)</f>
        <v>4.59</v>
      </c>
      <c r="L541" s="22"/>
    </row>
    <row r="542" spans="1:22" ht="14.25" x14ac:dyDescent="0.2">
      <c r="A542" s="19"/>
      <c r="B542" s="19"/>
      <c r="C542" s="19"/>
      <c r="D542" s="19" t="s">
        <v>832</v>
      </c>
      <c r="E542" s="20" t="s">
        <v>833</v>
      </c>
      <c r="F542" s="9">
        <f>Source!AQ351</f>
        <v>0.2</v>
      </c>
      <c r="G542" s="22"/>
      <c r="H542" s="21" t="str">
        <f>Source!DI351</f>
        <v>)*2</v>
      </c>
      <c r="I542" s="9">
        <f>Source!AV351</f>
        <v>1</v>
      </c>
      <c r="J542" s="9"/>
      <c r="K542" s="22"/>
      <c r="L542" s="22">
        <f>Source!U351</f>
        <v>8.0000000000000016E-2</v>
      </c>
    </row>
    <row r="543" spans="1:22" ht="15" x14ac:dyDescent="0.25">
      <c r="A543" s="27"/>
      <c r="B543" s="27"/>
      <c r="C543" s="27"/>
      <c r="D543" s="27"/>
      <c r="E543" s="27"/>
      <c r="F543" s="27"/>
      <c r="G543" s="27"/>
      <c r="H543" s="27"/>
      <c r="I543" s="27"/>
      <c r="J543" s="60">
        <f>K537+K538+K539+K540+K541</f>
        <v>82.97</v>
      </c>
      <c r="K543" s="60"/>
      <c r="L543" s="28">
        <f>IF(Source!I351&lt;&gt;0, ROUND(J543/Source!I351, 2), 0)</f>
        <v>414.85</v>
      </c>
      <c r="P543" s="25">
        <f>J543</f>
        <v>82.97</v>
      </c>
    </row>
    <row r="544" spans="1:22" ht="57" x14ac:dyDescent="0.2">
      <c r="A544" s="19">
        <v>50</v>
      </c>
      <c r="B544" s="19">
        <v>50</v>
      </c>
      <c r="C544" s="19" t="str">
        <f>Source!F352</f>
        <v>1.17-2103-15-3/1</v>
      </c>
      <c r="D544" s="19" t="str">
        <f>Source!G352</f>
        <v>Техническое обслуживание конвекторов, встраиваемых в пол, длиной короба 1100 мм, шириной короба до 260 мм</v>
      </c>
      <c r="E544" s="20" t="str">
        <f>Source!H352</f>
        <v>10 шт.</v>
      </c>
      <c r="F544" s="9">
        <f>Source!I352</f>
        <v>1.2</v>
      </c>
      <c r="G544" s="22"/>
      <c r="H544" s="21"/>
      <c r="I544" s="9"/>
      <c r="J544" s="9"/>
      <c r="K544" s="22"/>
      <c r="L544" s="22"/>
      <c r="Q544">
        <f>ROUND((Source!BZ352/100)*ROUND((Source!AF352*Source!AV352)*Source!I352, 2), 2)</f>
        <v>878.19</v>
      </c>
      <c r="R544">
        <f>Source!X352</f>
        <v>878.19</v>
      </c>
      <c r="S544">
        <f>ROUND((Source!CA352/100)*ROUND((Source!AF352*Source!AV352)*Source!I352, 2), 2)</f>
        <v>125.46</v>
      </c>
      <c r="T544">
        <f>Source!Y352</f>
        <v>125.46</v>
      </c>
      <c r="U544">
        <f>ROUND((175/100)*ROUND((Source!AE352*Source!AV352)*Source!I352, 2), 2)</f>
        <v>0.12</v>
      </c>
      <c r="V544">
        <f>ROUND((108/100)*ROUND(Source!CS352*Source!I352, 2), 2)</f>
        <v>0.08</v>
      </c>
    </row>
    <row r="545" spans="1:22" x14ac:dyDescent="0.2">
      <c r="D545" s="23" t="str">
        <f>"Объем: "&amp;Source!I352&amp;"=12/"&amp;"10"</f>
        <v>Объем: 1,2=12/10</v>
      </c>
    </row>
    <row r="546" spans="1:22" ht="14.25" x14ac:dyDescent="0.2">
      <c r="A546" s="19"/>
      <c r="B546" s="19"/>
      <c r="C546" s="19"/>
      <c r="D546" s="19" t="s">
        <v>825</v>
      </c>
      <c r="E546" s="20"/>
      <c r="F546" s="9"/>
      <c r="G546" s="22">
        <f>Source!AO352</f>
        <v>1045.46</v>
      </c>
      <c r="H546" s="21" t="str">
        <f>Source!DG352</f>
        <v/>
      </c>
      <c r="I546" s="9">
        <f>Source!AV352</f>
        <v>1</v>
      </c>
      <c r="J546" s="9">
        <f>IF(Source!BA352&lt;&gt; 0, Source!BA352, 1)</f>
        <v>1</v>
      </c>
      <c r="K546" s="22">
        <f>Source!S352</f>
        <v>1254.55</v>
      </c>
      <c r="L546" s="22"/>
    </row>
    <row r="547" spans="1:22" ht="14.25" x14ac:dyDescent="0.2">
      <c r="A547" s="19"/>
      <c r="B547" s="19"/>
      <c r="C547" s="19"/>
      <c r="D547" s="19" t="s">
        <v>826</v>
      </c>
      <c r="E547" s="20"/>
      <c r="F547" s="9"/>
      <c r="G547" s="22">
        <f>Source!AM352</f>
        <v>4.09</v>
      </c>
      <c r="H547" s="21" t="str">
        <f>Source!DE352</f>
        <v/>
      </c>
      <c r="I547" s="9">
        <f>Source!AV352</f>
        <v>1</v>
      </c>
      <c r="J547" s="9">
        <f>IF(Source!BB352&lt;&gt; 0, Source!BB352, 1)</f>
        <v>1</v>
      </c>
      <c r="K547" s="22">
        <f>Source!Q352</f>
        <v>4.91</v>
      </c>
      <c r="L547" s="22"/>
    </row>
    <row r="548" spans="1:22" ht="14.25" x14ac:dyDescent="0.2">
      <c r="A548" s="19"/>
      <c r="B548" s="19"/>
      <c r="C548" s="19"/>
      <c r="D548" s="19" t="s">
        <v>827</v>
      </c>
      <c r="E548" s="20"/>
      <c r="F548" s="9"/>
      <c r="G548" s="22">
        <f>Source!AN352</f>
        <v>0.06</v>
      </c>
      <c r="H548" s="21" t="str">
        <f>Source!DF352</f>
        <v/>
      </c>
      <c r="I548" s="9">
        <f>Source!AV352</f>
        <v>1</v>
      </c>
      <c r="J548" s="9">
        <f>IF(Source!BS352&lt;&gt; 0, Source!BS352, 1)</f>
        <v>1</v>
      </c>
      <c r="K548" s="24">
        <f>Source!R352</f>
        <v>7.0000000000000007E-2</v>
      </c>
      <c r="L548" s="22"/>
    </row>
    <row r="549" spans="1:22" ht="14.25" x14ac:dyDescent="0.2">
      <c r="A549" s="19"/>
      <c r="B549" s="19"/>
      <c r="C549" s="19"/>
      <c r="D549" s="19" t="s">
        <v>834</v>
      </c>
      <c r="E549" s="20"/>
      <c r="F549" s="9"/>
      <c r="G549" s="22">
        <f>Source!AL352</f>
        <v>1.67</v>
      </c>
      <c r="H549" s="21" t="str">
        <f>Source!DD352</f>
        <v/>
      </c>
      <c r="I549" s="9">
        <f>Source!AW352</f>
        <v>1</v>
      </c>
      <c r="J549" s="9">
        <f>IF(Source!BC352&lt;&gt; 0, Source!BC352, 1)</f>
        <v>1</v>
      </c>
      <c r="K549" s="22">
        <f>Source!P352</f>
        <v>2</v>
      </c>
      <c r="L549" s="22"/>
    </row>
    <row r="550" spans="1:22" ht="14.25" x14ac:dyDescent="0.2">
      <c r="A550" s="19"/>
      <c r="B550" s="19"/>
      <c r="C550" s="19"/>
      <c r="D550" s="19" t="s">
        <v>828</v>
      </c>
      <c r="E550" s="20" t="s">
        <v>829</v>
      </c>
      <c r="F550" s="9">
        <f>Source!AT352</f>
        <v>70</v>
      </c>
      <c r="G550" s="22"/>
      <c r="H550" s="21"/>
      <c r="I550" s="9"/>
      <c r="J550" s="9"/>
      <c r="K550" s="22">
        <f>SUM(R544:R549)</f>
        <v>878.19</v>
      </c>
      <c r="L550" s="22"/>
    </row>
    <row r="551" spans="1:22" ht="14.25" x14ac:dyDescent="0.2">
      <c r="A551" s="19"/>
      <c r="B551" s="19"/>
      <c r="C551" s="19"/>
      <c r="D551" s="19" t="s">
        <v>830</v>
      </c>
      <c r="E551" s="20" t="s">
        <v>829</v>
      </c>
      <c r="F551" s="9">
        <f>Source!AU352</f>
        <v>10</v>
      </c>
      <c r="G551" s="22"/>
      <c r="H551" s="21"/>
      <c r="I551" s="9"/>
      <c r="J551" s="9"/>
      <c r="K551" s="22">
        <f>SUM(T544:T550)</f>
        <v>125.46</v>
      </c>
      <c r="L551" s="22"/>
    </row>
    <row r="552" spans="1:22" ht="14.25" x14ac:dyDescent="0.2">
      <c r="A552" s="19"/>
      <c r="B552" s="19"/>
      <c r="C552" s="19"/>
      <c r="D552" s="19" t="s">
        <v>831</v>
      </c>
      <c r="E552" s="20" t="s">
        <v>829</v>
      </c>
      <c r="F552" s="9">
        <f>108</f>
        <v>108</v>
      </c>
      <c r="G552" s="22"/>
      <c r="H552" s="21"/>
      <c r="I552" s="9"/>
      <c r="J552" s="9"/>
      <c r="K552" s="22">
        <f>SUM(V544:V551)</f>
        <v>0.08</v>
      </c>
      <c r="L552" s="22"/>
    </row>
    <row r="553" spans="1:22" ht="14.25" x14ac:dyDescent="0.2">
      <c r="A553" s="19"/>
      <c r="B553" s="19"/>
      <c r="C553" s="19"/>
      <c r="D553" s="19" t="s">
        <v>832</v>
      </c>
      <c r="E553" s="20" t="s">
        <v>833</v>
      </c>
      <c r="F553" s="9">
        <f>Source!AQ352</f>
        <v>1.84</v>
      </c>
      <c r="G553" s="22"/>
      <c r="H553" s="21" t="str">
        <f>Source!DI352</f>
        <v/>
      </c>
      <c r="I553" s="9">
        <f>Source!AV352</f>
        <v>1</v>
      </c>
      <c r="J553" s="9"/>
      <c r="K553" s="22"/>
      <c r="L553" s="22">
        <f>Source!U352</f>
        <v>2.2080000000000002</v>
      </c>
    </row>
    <row r="554" spans="1:22" ht="15" x14ac:dyDescent="0.25">
      <c r="A554" s="27"/>
      <c r="B554" s="27"/>
      <c r="C554" s="27"/>
      <c r="D554" s="27"/>
      <c r="E554" s="27"/>
      <c r="F554" s="27"/>
      <c r="G554" s="27"/>
      <c r="H554" s="27"/>
      <c r="I554" s="27"/>
      <c r="J554" s="60">
        <f>K546+K547+K549+K550+K551+K552</f>
        <v>2265.19</v>
      </c>
      <c r="K554" s="60"/>
      <c r="L554" s="28">
        <f>IF(Source!I352&lt;&gt;0, ROUND(J554/Source!I352, 2), 0)</f>
        <v>1887.66</v>
      </c>
      <c r="P554" s="25">
        <f>J554</f>
        <v>2265.19</v>
      </c>
    </row>
    <row r="555" spans="1:22" ht="71.25" x14ac:dyDescent="0.2">
      <c r="A555" s="19">
        <v>51</v>
      </c>
      <c r="B555" s="19">
        <v>51</v>
      </c>
      <c r="C555" s="19" t="str">
        <f>Source!F353</f>
        <v>1.17-2103-15-4/1</v>
      </c>
      <c r="D555" s="19" t="str">
        <f>Source!G353</f>
        <v>Техническое обслуживание конвекторов, встраиваемых в пол, шириной короба до 260 мм, добавлять к 1.17-2103-15-3 на каждые 200 мм увеличения длины короба</v>
      </c>
      <c r="E555" s="20" t="str">
        <f>Source!H353</f>
        <v>10 шт.</v>
      </c>
      <c r="F555" s="9">
        <f>Source!I353</f>
        <v>1.2</v>
      </c>
      <c r="G555" s="22"/>
      <c r="H555" s="21"/>
      <c r="I555" s="9"/>
      <c r="J555" s="9"/>
      <c r="K555" s="22"/>
      <c r="L555" s="22"/>
      <c r="Q555">
        <f>ROUND((Source!BZ353/100)*ROUND((Source!AF353*Source!AV353)*Source!I353, 2), 2)</f>
        <v>481.53</v>
      </c>
      <c r="R555">
        <f>Source!X353</f>
        <v>481.53</v>
      </c>
      <c r="S555">
        <f>ROUND((Source!CA353/100)*ROUND((Source!AF353*Source!AV353)*Source!I353, 2), 2)</f>
        <v>68.790000000000006</v>
      </c>
      <c r="T555">
        <f>Source!Y353</f>
        <v>68.790000000000006</v>
      </c>
      <c r="U555">
        <f>ROUND((175/100)*ROUND((Source!AE353*Source!AV353)*Source!I353, 2), 2)</f>
        <v>0.11</v>
      </c>
      <c r="V555">
        <f>ROUND((108/100)*ROUND(Source!CS353*Source!I353, 2), 2)</f>
        <v>0.06</v>
      </c>
    </row>
    <row r="556" spans="1:22" x14ac:dyDescent="0.2">
      <c r="D556" s="23" t="str">
        <f>"Объем: "&amp;Source!I353&amp;"=12/"&amp;"10"</f>
        <v>Объем: 1,2=12/10</v>
      </c>
    </row>
    <row r="557" spans="1:22" ht="14.25" x14ac:dyDescent="0.2">
      <c r="A557" s="19"/>
      <c r="B557" s="19"/>
      <c r="C557" s="19"/>
      <c r="D557" s="19" t="s">
        <v>825</v>
      </c>
      <c r="E557" s="20"/>
      <c r="F557" s="9"/>
      <c r="G557" s="22">
        <f>Source!AO353</f>
        <v>114.65</v>
      </c>
      <c r="H557" s="21" t="str">
        <f>Source!DG353</f>
        <v>)*5</v>
      </c>
      <c r="I557" s="9">
        <f>Source!AV353</f>
        <v>1</v>
      </c>
      <c r="J557" s="9">
        <f>IF(Source!BA353&lt;&gt; 0, Source!BA353, 1)</f>
        <v>1</v>
      </c>
      <c r="K557" s="22">
        <f>Source!S353</f>
        <v>687.9</v>
      </c>
      <c r="L557" s="22"/>
    </row>
    <row r="558" spans="1:22" ht="14.25" x14ac:dyDescent="0.2">
      <c r="A558" s="19"/>
      <c r="B558" s="19"/>
      <c r="C558" s="19"/>
      <c r="D558" s="19" t="s">
        <v>826</v>
      </c>
      <c r="E558" s="20"/>
      <c r="F558" s="9"/>
      <c r="G558" s="22">
        <f>Source!AM353</f>
        <v>0.74</v>
      </c>
      <c r="H558" s="21" t="str">
        <f>Source!DE353</f>
        <v>)*5</v>
      </c>
      <c r="I558" s="9">
        <f>Source!AV353</f>
        <v>1</v>
      </c>
      <c r="J558" s="9">
        <f>IF(Source!BB353&lt;&gt; 0, Source!BB353, 1)</f>
        <v>1</v>
      </c>
      <c r="K558" s="22">
        <f>Source!Q353</f>
        <v>4.4400000000000004</v>
      </c>
      <c r="L558" s="22"/>
    </row>
    <row r="559" spans="1:22" ht="14.25" x14ac:dyDescent="0.2">
      <c r="A559" s="19"/>
      <c r="B559" s="19"/>
      <c r="C559" s="19"/>
      <c r="D559" s="19" t="s">
        <v>827</v>
      </c>
      <c r="E559" s="20"/>
      <c r="F559" s="9"/>
      <c r="G559" s="22">
        <f>Source!AN353</f>
        <v>0.01</v>
      </c>
      <c r="H559" s="21" t="str">
        <f>Source!DF353</f>
        <v>)*5</v>
      </c>
      <c r="I559" s="9">
        <f>Source!AV353</f>
        <v>1</v>
      </c>
      <c r="J559" s="9">
        <f>IF(Source!BS353&lt;&gt; 0, Source!BS353, 1)</f>
        <v>1</v>
      </c>
      <c r="K559" s="24">
        <f>Source!R353</f>
        <v>0.06</v>
      </c>
      <c r="L559" s="22"/>
    </row>
    <row r="560" spans="1:22" ht="14.25" x14ac:dyDescent="0.2">
      <c r="A560" s="19"/>
      <c r="B560" s="19"/>
      <c r="C560" s="19"/>
      <c r="D560" s="19" t="s">
        <v>834</v>
      </c>
      <c r="E560" s="20"/>
      <c r="F560" s="9"/>
      <c r="G560" s="22">
        <f>Source!AL353</f>
        <v>0.31</v>
      </c>
      <c r="H560" s="21" t="str">
        <f>Source!DD353</f>
        <v>)*5</v>
      </c>
      <c r="I560" s="9">
        <f>Source!AW353</f>
        <v>1</v>
      </c>
      <c r="J560" s="9">
        <f>IF(Source!BC353&lt;&gt; 0, Source!BC353, 1)</f>
        <v>1</v>
      </c>
      <c r="K560" s="22">
        <f>Source!P353</f>
        <v>1.86</v>
      </c>
      <c r="L560" s="22"/>
    </row>
    <row r="561" spans="1:22" ht="14.25" x14ac:dyDescent="0.2">
      <c r="A561" s="19"/>
      <c r="B561" s="19"/>
      <c r="C561" s="19"/>
      <c r="D561" s="19" t="s">
        <v>828</v>
      </c>
      <c r="E561" s="20" t="s">
        <v>829</v>
      </c>
      <c r="F561" s="9">
        <f>Source!AT353</f>
        <v>70</v>
      </c>
      <c r="G561" s="22"/>
      <c r="H561" s="21"/>
      <c r="I561" s="9"/>
      <c r="J561" s="9"/>
      <c r="K561" s="22">
        <f>SUM(R555:R560)</f>
        <v>481.53</v>
      </c>
      <c r="L561" s="22"/>
    </row>
    <row r="562" spans="1:22" ht="14.25" x14ac:dyDescent="0.2">
      <c r="A562" s="19"/>
      <c r="B562" s="19"/>
      <c r="C562" s="19"/>
      <c r="D562" s="19" t="s">
        <v>830</v>
      </c>
      <c r="E562" s="20" t="s">
        <v>829</v>
      </c>
      <c r="F562" s="9">
        <f>Source!AU353</f>
        <v>10</v>
      </c>
      <c r="G562" s="22"/>
      <c r="H562" s="21"/>
      <c r="I562" s="9"/>
      <c r="J562" s="9"/>
      <c r="K562" s="22">
        <f>SUM(T555:T561)</f>
        <v>68.790000000000006</v>
      </c>
      <c r="L562" s="22"/>
    </row>
    <row r="563" spans="1:22" ht="14.25" x14ac:dyDescent="0.2">
      <c r="A563" s="19"/>
      <c r="B563" s="19"/>
      <c r="C563" s="19"/>
      <c r="D563" s="19" t="s">
        <v>831</v>
      </c>
      <c r="E563" s="20" t="s">
        <v>829</v>
      </c>
      <c r="F563" s="9">
        <f>108</f>
        <v>108</v>
      </c>
      <c r="G563" s="22"/>
      <c r="H563" s="21"/>
      <c r="I563" s="9"/>
      <c r="J563" s="9"/>
      <c r="K563" s="22">
        <f>SUM(V555:V562)</f>
        <v>0.06</v>
      </c>
      <c r="L563" s="22"/>
    </row>
    <row r="564" spans="1:22" ht="14.25" x14ac:dyDescent="0.2">
      <c r="A564" s="19"/>
      <c r="B564" s="19"/>
      <c r="C564" s="19"/>
      <c r="D564" s="19" t="s">
        <v>832</v>
      </c>
      <c r="E564" s="20" t="s">
        <v>833</v>
      </c>
      <c r="F564" s="9">
        <f>Source!AQ353</f>
        <v>0.2</v>
      </c>
      <c r="G564" s="22"/>
      <c r="H564" s="21" t="str">
        <f>Source!DI353</f>
        <v>)*5</v>
      </c>
      <c r="I564" s="9">
        <f>Source!AV353</f>
        <v>1</v>
      </c>
      <c r="J564" s="9"/>
      <c r="K564" s="22"/>
      <c r="L564" s="22">
        <f>Source!U353</f>
        <v>1.2</v>
      </c>
    </row>
    <row r="565" spans="1:22" ht="15" x14ac:dyDescent="0.25">
      <c r="A565" s="27"/>
      <c r="B565" s="27"/>
      <c r="C565" s="27"/>
      <c r="D565" s="27"/>
      <c r="E565" s="27"/>
      <c r="F565" s="27"/>
      <c r="G565" s="27"/>
      <c r="H565" s="27"/>
      <c r="I565" s="27"/>
      <c r="J565" s="60">
        <f>K557+K558+K560+K561+K562+K563</f>
        <v>1244.58</v>
      </c>
      <c r="K565" s="60"/>
      <c r="L565" s="28">
        <f>IF(Source!I353&lt;&gt;0, ROUND(J565/Source!I353, 2), 0)</f>
        <v>1037.1500000000001</v>
      </c>
      <c r="P565" s="25">
        <f>J565</f>
        <v>1244.58</v>
      </c>
    </row>
    <row r="566" spans="1:22" ht="28.5" x14ac:dyDescent="0.2">
      <c r="A566" s="19">
        <v>52</v>
      </c>
      <c r="B566" s="19">
        <v>52</v>
      </c>
      <c r="C566" s="19" t="str">
        <f>Source!F355</f>
        <v>1.17-2103-8-1/1</v>
      </c>
      <c r="D566" s="19" t="str">
        <f>Source!G355</f>
        <v>Техническое обслуживание инфракрасных потолочных панелей</v>
      </c>
      <c r="E566" s="20" t="str">
        <f>Source!H355</f>
        <v>100 м</v>
      </c>
      <c r="F566" s="9">
        <f>Source!I355</f>
        <v>4.8000000000000001E-2</v>
      </c>
      <c r="G566" s="22"/>
      <c r="H566" s="21"/>
      <c r="I566" s="9"/>
      <c r="J566" s="9"/>
      <c r="K566" s="22"/>
      <c r="L566" s="22"/>
      <c r="Q566">
        <f>ROUND((Source!BZ355/100)*ROUND((Source!AF355*Source!AV355)*Source!I355, 2), 2)</f>
        <v>453.54</v>
      </c>
      <c r="R566">
        <f>Source!X355</f>
        <v>453.54</v>
      </c>
      <c r="S566">
        <f>ROUND((Source!CA355/100)*ROUND((Source!AF355*Source!AV355)*Source!I355, 2), 2)</f>
        <v>64.790000000000006</v>
      </c>
      <c r="T566">
        <f>Source!Y355</f>
        <v>64.790000000000006</v>
      </c>
      <c r="U566">
        <f>ROUND((175/100)*ROUND((Source!AE355*Source!AV355)*Source!I355, 2), 2)</f>
        <v>335.9</v>
      </c>
      <c r="V566">
        <f>ROUND((108/100)*ROUND(Source!CS355*Source!I355, 2), 2)</f>
        <v>207.3</v>
      </c>
    </row>
    <row r="567" spans="1:22" x14ac:dyDescent="0.2">
      <c r="D567" s="23" t="str">
        <f>"Объем: "&amp;Source!I355&amp;"=(1,2)*"&amp;"4/"&amp;"100"</f>
        <v>Объем: 0,048=(1,2)*4/100</v>
      </c>
    </row>
    <row r="568" spans="1:22" ht="14.25" x14ac:dyDescent="0.2">
      <c r="A568" s="19"/>
      <c r="B568" s="19"/>
      <c r="C568" s="19"/>
      <c r="D568" s="19" t="s">
        <v>825</v>
      </c>
      <c r="E568" s="20"/>
      <c r="F568" s="9"/>
      <c r="G568" s="22">
        <f>Source!AO355</f>
        <v>6749.12</v>
      </c>
      <c r="H568" s="21" t="str">
        <f>Source!DG355</f>
        <v>)*2</v>
      </c>
      <c r="I568" s="9">
        <f>Source!AV355</f>
        <v>1</v>
      </c>
      <c r="J568" s="9">
        <f>IF(Source!BA355&lt;&gt; 0, Source!BA355, 1)</f>
        <v>1</v>
      </c>
      <c r="K568" s="22">
        <f>Source!S355</f>
        <v>647.91999999999996</v>
      </c>
      <c r="L568" s="22"/>
    </row>
    <row r="569" spans="1:22" ht="14.25" x14ac:dyDescent="0.2">
      <c r="A569" s="19"/>
      <c r="B569" s="19"/>
      <c r="C569" s="19"/>
      <c r="D569" s="19" t="s">
        <v>826</v>
      </c>
      <c r="E569" s="20"/>
      <c r="F569" s="9"/>
      <c r="G569" s="22">
        <f>Source!AM355</f>
        <v>3153.28</v>
      </c>
      <c r="H569" s="21" t="str">
        <f>Source!DE355</f>
        <v>)*2</v>
      </c>
      <c r="I569" s="9">
        <f>Source!AV355</f>
        <v>1</v>
      </c>
      <c r="J569" s="9">
        <f>IF(Source!BB355&lt;&gt; 0, Source!BB355, 1)</f>
        <v>1</v>
      </c>
      <c r="K569" s="22">
        <f>Source!Q355</f>
        <v>302.70999999999998</v>
      </c>
      <c r="L569" s="22"/>
    </row>
    <row r="570" spans="1:22" ht="14.25" x14ac:dyDescent="0.2">
      <c r="A570" s="19"/>
      <c r="B570" s="19"/>
      <c r="C570" s="19"/>
      <c r="D570" s="19" t="s">
        <v>827</v>
      </c>
      <c r="E570" s="20"/>
      <c r="F570" s="9"/>
      <c r="G570" s="22">
        <f>Source!AN355</f>
        <v>1999.4</v>
      </c>
      <c r="H570" s="21" t="str">
        <f>Source!DF355</f>
        <v>)*2</v>
      </c>
      <c r="I570" s="9">
        <f>Source!AV355</f>
        <v>1</v>
      </c>
      <c r="J570" s="9">
        <f>IF(Source!BS355&lt;&gt; 0, Source!BS355, 1)</f>
        <v>1</v>
      </c>
      <c r="K570" s="24">
        <f>Source!R355</f>
        <v>191.94</v>
      </c>
      <c r="L570" s="22"/>
    </row>
    <row r="571" spans="1:22" ht="14.25" x14ac:dyDescent="0.2">
      <c r="A571" s="19"/>
      <c r="B571" s="19"/>
      <c r="C571" s="19"/>
      <c r="D571" s="19" t="s">
        <v>834</v>
      </c>
      <c r="E571" s="20"/>
      <c r="F571" s="9"/>
      <c r="G571" s="22">
        <f>Source!AL355</f>
        <v>7.8</v>
      </c>
      <c r="H571" s="21" t="str">
        <f>Source!DD355</f>
        <v>)*2</v>
      </c>
      <c r="I571" s="9">
        <f>Source!AW355</f>
        <v>1</v>
      </c>
      <c r="J571" s="9">
        <f>IF(Source!BC355&lt;&gt; 0, Source!BC355, 1)</f>
        <v>1</v>
      </c>
      <c r="K571" s="22">
        <f>Source!P355</f>
        <v>0.75</v>
      </c>
      <c r="L571" s="22"/>
    </row>
    <row r="572" spans="1:22" ht="14.25" x14ac:dyDescent="0.2">
      <c r="A572" s="19"/>
      <c r="B572" s="19"/>
      <c r="C572" s="19"/>
      <c r="D572" s="19" t="s">
        <v>828</v>
      </c>
      <c r="E572" s="20" t="s">
        <v>829</v>
      </c>
      <c r="F572" s="9">
        <f>Source!AT355</f>
        <v>70</v>
      </c>
      <c r="G572" s="22"/>
      <c r="H572" s="21"/>
      <c r="I572" s="9"/>
      <c r="J572" s="9"/>
      <c r="K572" s="22">
        <f>SUM(R566:R571)</f>
        <v>453.54</v>
      </c>
      <c r="L572" s="22"/>
    </row>
    <row r="573" spans="1:22" ht="14.25" x14ac:dyDescent="0.2">
      <c r="A573" s="19"/>
      <c r="B573" s="19"/>
      <c r="C573" s="19"/>
      <c r="D573" s="19" t="s">
        <v>830</v>
      </c>
      <c r="E573" s="20" t="s">
        <v>829</v>
      </c>
      <c r="F573" s="9">
        <f>Source!AU355</f>
        <v>10</v>
      </c>
      <c r="G573" s="22"/>
      <c r="H573" s="21"/>
      <c r="I573" s="9"/>
      <c r="J573" s="9"/>
      <c r="K573" s="22">
        <f>SUM(T566:T572)</f>
        <v>64.790000000000006</v>
      </c>
      <c r="L573" s="22"/>
    </row>
    <row r="574" spans="1:22" ht="14.25" x14ac:dyDescent="0.2">
      <c r="A574" s="19"/>
      <c r="B574" s="19"/>
      <c r="C574" s="19"/>
      <c r="D574" s="19" t="s">
        <v>831</v>
      </c>
      <c r="E574" s="20" t="s">
        <v>829</v>
      </c>
      <c r="F574" s="9">
        <f>108</f>
        <v>108</v>
      </c>
      <c r="G574" s="22"/>
      <c r="H574" s="21"/>
      <c r="I574" s="9"/>
      <c r="J574" s="9"/>
      <c r="K574" s="22">
        <f>SUM(V566:V573)</f>
        <v>207.3</v>
      </c>
      <c r="L574" s="22"/>
    </row>
    <row r="575" spans="1:22" ht="14.25" x14ac:dyDescent="0.2">
      <c r="A575" s="19"/>
      <c r="B575" s="19"/>
      <c r="C575" s="19"/>
      <c r="D575" s="19" t="s">
        <v>832</v>
      </c>
      <c r="E575" s="20" t="s">
        <v>833</v>
      </c>
      <c r="F575" s="9">
        <f>Source!AQ355</f>
        <v>11.04</v>
      </c>
      <c r="G575" s="22"/>
      <c r="H575" s="21" t="str">
        <f>Source!DI355</f>
        <v>)*2</v>
      </c>
      <c r="I575" s="9">
        <f>Source!AV355</f>
        <v>1</v>
      </c>
      <c r="J575" s="9"/>
      <c r="K575" s="22"/>
      <c r="L575" s="22">
        <f>Source!U355</f>
        <v>1.0598399999999999</v>
      </c>
    </row>
    <row r="576" spans="1:22" ht="15" x14ac:dyDescent="0.25">
      <c r="A576" s="27"/>
      <c r="B576" s="27"/>
      <c r="C576" s="27"/>
      <c r="D576" s="27"/>
      <c r="E576" s="27"/>
      <c r="F576" s="27"/>
      <c r="G576" s="27"/>
      <c r="H576" s="27"/>
      <c r="I576" s="27"/>
      <c r="J576" s="60">
        <f>K568+K569+K571+K572+K573+K574</f>
        <v>1677.0099999999998</v>
      </c>
      <c r="K576" s="60"/>
      <c r="L576" s="28">
        <f>IF(Source!I355&lt;&gt;0, ROUND(J576/Source!I355, 2), 0)</f>
        <v>34937.71</v>
      </c>
      <c r="P576" s="25">
        <f>J576</f>
        <v>1677.0099999999998</v>
      </c>
    </row>
    <row r="577" spans="1:22" ht="57" x14ac:dyDescent="0.2">
      <c r="A577" s="19">
        <v>53</v>
      </c>
      <c r="B577" s="19">
        <v>53</v>
      </c>
      <c r="C577" s="19" t="str">
        <f>Source!F356</f>
        <v>1.21-2303-50-1/1</v>
      </c>
      <c r="D577" s="19" t="str">
        <f>Source!G356</f>
        <v>Техническое обслуживание  конвектора электрического настенного крепления, с механическим термостатом, мощность до 2,0 кВт</v>
      </c>
      <c r="E577" s="20" t="str">
        <f>Source!H356</f>
        <v>шт.</v>
      </c>
      <c r="F577" s="9">
        <f>Source!I356</f>
        <v>1</v>
      </c>
      <c r="G577" s="22"/>
      <c r="H577" s="21"/>
      <c r="I577" s="9"/>
      <c r="J577" s="9"/>
      <c r="K577" s="22"/>
      <c r="L577" s="22"/>
      <c r="Q577">
        <f>ROUND((Source!BZ356/100)*ROUND((Source!AF356*Source!AV356)*Source!I356, 2), 2)</f>
        <v>60.52</v>
      </c>
      <c r="R577">
        <f>Source!X356</f>
        <v>60.52</v>
      </c>
      <c r="S577">
        <f>ROUND((Source!CA356/100)*ROUND((Source!AF356*Source!AV356)*Source!I356, 2), 2)</f>
        <v>8.65</v>
      </c>
      <c r="T577">
        <f>Source!Y356</f>
        <v>8.65</v>
      </c>
      <c r="U577">
        <f>ROUND((175/100)*ROUND((Source!AE356*Source!AV356)*Source!I356, 2), 2)</f>
        <v>0</v>
      </c>
      <c r="V577">
        <f>ROUND((108/100)*ROUND(Source!CS356*Source!I356, 2), 2)</f>
        <v>0</v>
      </c>
    </row>
    <row r="578" spans="1:22" ht="14.25" x14ac:dyDescent="0.2">
      <c r="A578" s="19"/>
      <c r="B578" s="19"/>
      <c r="C578" s="19"/>
      <c r="D578" s="19" t="s">
        <v>825</v>
      </c>
      <c r="E578" s="20"/>
      <c r="F578" s="9"/>
      <c r="G578" s="22">
        <f>Source!AO356</f>
        <v>86.45</v>
      </c>
      <c r="H578" s="21" t="str">
        <f>Source!DG356</f>
        <v/>
      </c>
      <c r="I578" s="9">
        <f>Source!AV356</f>
        <v>1</v>
      </c>
      <c r="J578" s="9">
        <f>IF(Source!BA356&lt;&gt; 0, Source!BA356, 1)</f>
        <v>1</v>
      </c>
      <c r="K578" s="22">
        <f>Source!S356</f>
        <v>86.45</v>
      </c>
      <c r="L578" s="22"/>
    </row>
    <row r="579" spans="1:22" ht="14.25" x14ac:dyDescent="0.2">
      <c r="A579" s="19"/>
      <c r="B579" s="19"/>
      <c r="C579" s="19"/>
      <c r="D579" s="19" t="s">
        <v>826</v>
      </c>
      <c r="E579" s="20"/>
      <c r="F579" s="9"/>
      <c r="G579" s="22">
        <f>Source!AM356</f>
        <v>0.23</v>
      </c>
      <c r="H579" s="21" t="str">
        <f>Source!DE356</f>
        <v/>
      </c>
      <c r="I579" s="9">
        <f>Source!AV356</f>
        <v>1</v>
      </c>
      <c r="J579" s="9">
        <f>IF(Source!BB356&lt;&gt; 0, Source!BB356, 1)</f>
        <v>1</v>
      </c>
      <c r="K579" s="22">
        <f>Source!Q356</f>
        <v>0.23</v>
      </c>
      <c r="L579" s="22"/>
    </row>
    <row r="580" spans="1:22" ht="14.25" x14ac:dyDescent="0.2">
      <c r="A580" s="19"/>
      <c r="B580" s="19"/>
      <c r="C580" s="19"/>
      <c r="D580" s="19" t="s">
        <v>834</v>
      </c>
      <c r="E580" s="20"/>
      <c r="F580" s="9"/>
      <c r="G580" s="22">
        <f>Source!AL356</f>
        <v>2.2000000000000002</v>
      </c>
      <c r="H580" s="21" t="str">
        <f>Source!DD356</f>
        <v/>
      </c>
      <c r="I580" s="9">
        <f>Source!AW356</f>
        <v>1</v>
      </c>
      <c r="J580" s="9">
        <f>IF(Source!BC356&lt;&gt; 0, Source!BC356, 1)</f>
        <v>1</v>
      </c>
      <c r="K580" s="22">
        <f>Source!P356</f>
        <v>2.2000000000000002</v>
      </c>
      <c r="L580" s="22"/>
    </row>
    <row r="581" spans="1:22" ht="14.25" x14ac:dyDescent="0.2">
      <c r="A581" s="19"/>
      <c r="B581" s="19"/>
      <c r="C581" s="19"/>
      <c r="D581" s="19" t="s">
        <v>828</v>
      </c>
      <c r="E581" s="20" t="s">
        <v>829</v>
      </c>
      <c r="F581" s="9">
        <f>Source!AT356</f>
        <v>70</v>
      </c>
      <c r="G581" s="22"/>
      <c r="H581" s="21"/>
      <c r="I581" s="9"/>
      <c r="J581" s="9"/>
      <c r="K581" s="22">
        <f>SUM(R577:R580)</f>
        <v>60.52</v>
      </c>
      <c r="L581" s="22"/>
    </row>
    <row r="582" spans="1:22" ht="14.25" x14ac:dyDescent="0.2">
      <c r="A582" s="19"/>
      <c r="B582" s="19"/>
      <c r="C582" s="19"/>
      <c r="D582" s="19" t="s">
        <v>830</v>
      </c>
      <c r="E582" s="20" t="s">
        <v>829</v>
      </c>
      <c r="F582" s="9">
        <f>Source!AU356</f>
        <v>10</v>
      </c>
      <c r="G582" s="22"/>
      <c r="H582" s="21"/>
      <c r="I582" s="9"/>
      <c r="J582" s="9"/>
      <c r="K582" s="22">
        <f>SUM(T577:T581)</f>
        <v>8.65</v>
      </c>
      <c r="L582" s="22"/>
    </row>
    <row r="583" spans="1:22" ht="14.25" x14ac:dyDescent="0.2">
      <c r="A583" s="19"/>
      <c r="B583" s="19"/>
      <c r="C583" s="19"/>
      <c r="D583" s="19" t="s">
        <v>832</v>
      </c>
      <c r="E583" s="20" t="s">
        <v>833</v>
      </c>
      <c r="F583" s="9">
        <f>Source!AQ356</f>
        <v>0.14000000000000001</v>
      </c>
      <c r="G583" s="22"/>
      <c r="H583" s="21" t="str">
        <f>Source!DI356</f>
        <v/>
      </c>
      <c r="I583" s="9">
        <f>Source!AV356</f>
        <v>1</v>
      </c>
      <c r="J583" s="9"/>
      <c r="K583" s="22"/>
      <c r="L583" s="22">
        <f>Source!U356</f>
        <v>0.14000000000000001</v>
      </c>
    </row>
    <row r="584" spans="1:22" ht="15" x14ac:dyDescent="0.25">
      <c r="A584" s="27"/>
      <c r="B584" s="27"/>
      <c r="C584" s="27"/>
      <c r="D584" s="27"/>
      <c r="E584" s="27"/>
      <c r="F584" s="27"/>
      <c r="G584" s="27"/>
      <c r="H584" s="27"/>
      <c r="I584" s="27"/>
      <c r="J584" s="60">
        <f>K578+K579+K580+K581+K582</f>
        <v>158.05000000000001</v>
      </c>
      <c r="K584" s="60"/>
      <c r="L584" s="28">
        <f>IF(Source!I356&lt;&gt;0, ROUND(J584/Source!I356, 2), 0)</f>
        <v>158.05000000000001</v>
      </c>
      <c r="P584" s="25">
        <f>J584</f>
        <v>158.05000000000001</v>
      </c>
    </row>
    <row r="585" spans="1:22" ht="42.75" x14ac:dyDescent="0.2">
      <c r="A585" s="19">
        <v>54</v>
      </c>
      <c r="B585" s="19">
        <v>54</v>
      </c>
      <c r="C585" s="19" t="str">
        <f>Source!F358</f>
        <v>1.15-2203-7-1/1</v>
      </c>
      <c r="D585" s="19" t="str">
        <f>Source!G358</f>
        <v>Техническое обслуживание крана шарового латунного никелированного диаметром до 25 мм</v>
      </c>
      <c r="E585" s="20" t="str">
        <f>Source!H358</f>
        <v>10 шт.</v>
      </c>
      <c r="F585" s="9">
        <f>Source!I358</f>
        <v>8.1999999999999993</v>
      </c>
      <c r="G585" s="22"/>
      <c r="H585" s="21"/>
      <c r="I585" s="9"/>
      <c r="J585" s="9"/>
      <c r="K585" s="22"/>
      <c r="L585" s="22"/>
      <c r="Q585">
        <f>ROUND((Source!BZ358/100)*ROUND((Source!AF358*Source!AV358)*Source!I358, 2), 2)</f>
        <v>1594.97</v>
      </c>
      <c r="R585">
        <f>Source!X358</f>
        <v>1594.97</v>
      </c>
      <c r="S585">
        <f>ROUND((Source!CA358/100)*ROUND((Source!AF358*Source!AV358)*Source!I358, 2), 2)</f>
        <v>227.85</v>
      </c>
      <c r="T585">
        <f>Source!Y358</f>
        <v>227.85</v>
      </c>
      <c r="U585">
        <f>ROUND((175/100)*ROUND((Source!AE358*Source!AV358)*Source!I358, 2), 2)</f>
        <v>0</v>
      </c>
      <c r="V585">
        <f>ROUND((108/100)*ROUND(Source!CS358*Source!I358, 2), 2)</f>
        <v>0</v>
      </c>
    </row>
    <row r="586" spans="1:22" x14ac:dyDescent="0.2">
      <c r="D586" s="23" t="str">
        <f>"Объем: "&amp;Source!I358&amp;"=82/"&amp;"10"</f>
        <v>Объем: 8,2=82/10</v>
      </c>
    </row>
    <row r="587" spans="1:22" ht="14.25" x14ac:dyDescent="0.2">
      <c r="A587" s="19"/>
      <c r="B587" s="19"/>
      <c r="C587" s="19"/>
      <c r="D587" s="19" t="s">
        <v>825</v>
      </c>
      <c r="E587" s="20"/>
      <c r="F587" s="9"/>
      <c r="G587" s="22">
        <f>Source!AO358</f>
        <v>277.87</v>
      </c>
      <c r="H587" s="21" t="str">
        <f>Source!DG358</f>
        <v/>
      </c>
      <c r="I587" s="9">
        <f>Source!AV358</f>
        <v>1</v>
      </c>
      <c r="J587" s="9">
        <f>IF(Source!BA358&lt;&gt; 0, Source!BA358, 1)</f>
        <v>1</v>
      </c>
      <c r="K587" s="22">
        <f>Source!S358</f>
        <v>2278.5300000000002</v>
      </c>
      <c r="L587" s="22"/>
    </row>
    <row r="588" spans="1:22" ht="14.25" x14ac:dyDescent="0.2">
      <c r="A588" s="19"/>
      <c r="B588" s="19"/>
      <c r="C588" s="19"/>
      <c r="D588" s="19" t="s">
        <v>828</v>
      </c>
      <c r="E588" s="20" t="s">
        <v>829</v>
      </c>
      <c r="F588" s="9">
        <f>Source!AT358</f>
        <v>70</v>
      </c>
      <c r="G588" s="22"/>
      <c r="H588" s="21"/>
      <c r="I588" s="9"/>
      <c r="J588" s="9"/>
      <c r="K588" s="22">
        <f>SUM(R585:R587)</f>
        <v>1594.97</v>
      </c>
      <c r="L588" s="22"/>
    </row>
    <row r="589" spans="1:22" ht="14.25" x14ac:dyDescent="0.2">
      <c r="A589" s="19"/>
      <c r="B589" s="19"/>
      <c r="C589" s="19"/>
      <c r="D589" s="19" t="s">
        <v>830</v>
      </c>
      <c r="E589" s="20" t="s">
        <v>829</v>
      </c>
      <c r="F589" s="9">
        <f>Source!AU358</f>
        <v>10</v>
      </c>
      <c r="G589" s="22"/>
      <c r="H589" s="21"/>
      <c r="I589" s="9"/>
      <c r="J589" s="9"/>
      <c r="K589" s="22">
        <f>SUM(T585:T588)</f>
        <v>227.85</v>
      </c>
      <c r="L589" s="22"/>
    </row>
    <row r="590" spans="1:22" ht="14.25" x14ac:dyDescent="0.2">
      <c r="A590" s="19"/>
      <c r="B590" s="19"/>
      <c r="C590" s="19"/>
      <c r="D590" s="19" t="s">
        <v>832</v>
      </c>
      <c r="E590" s="20" t="s">
        <v>833</v>
      </c>
      <c r="F590" s="9">
        <f>Source!AQ358</f>
        <v>0.45</v>
      </c>
      <c r="G590" s="22"/>
      <c r="H590" s="21" t="str">
        <f>Source!DI358</f>
        <v/>
      </c>
      <c r="I590" s="9">
        <f>Source!AV358</f>
        <v>1</v>
      </c>
      <c r="J590" s="9"/>
      <c r="K590" s="22"/>
      <c r="L590" s="22">
        <f>Source!U358</f>
        <v>3.69</v>
      </c>
    </row>
    <row r="591" spans="1:22" ht="15" x14ac:dyDescent="0.25">
      <c r="A591" s="27"/>
      <c r="B591" s="27"/>
      <c r="C591" s="27"/>
      <c r="D591" s="27"/>
      <c r="E591" s="27"/>
      <c r="F591" s="27"/>
      <c r="G591" s="27"/>
      <c r="H591" s="27"/>
      <c r="I591" s="27"/>
      <c r="J591" s="60">
        <f>K587+K588+K589</f>
        <v>4101.3500000000004</v>
      </c>
      <c r="K591" s="60"/>
      <c r="L591" s="28">
        <f>IF(Source!I358&lt;&gt;0, ROUND(J591/Source!I358, 2), 0)</f>
        <v>500.16</v>
      </c>
      <c r="P591" s="25">
        <f>J591</f>
        <v>4101.3500000000004</v>
      </c>
    </row>
    <row r="592" spans="1:22" ht="28.5" x14ac:dyDescent="0.2">
      <c r="A592" s="19">
        <v>55</v>
      </c>
      <c r="B592" s="19">
        <v>55</v>
      </c>
      <c r="C592" s="19" t="str">
        <f>Source!F359</f>
        <v>1.17-2103-17-1/1</v>
      </c>
      <c r="D592" s="19" t="str">
        <f>Source!G359</f>
        <v>Техническое обслуживание автоматического воздухоотводчика</v>
      </c>
      <c r="E592" s="20" t="str">
        <f>Source!H359</f>
        <v>10 шт.</v>
      </c>
      <c r="F592" s="9">
        <f>Source!I359</f>
        <v>1</v>
      </c>
      <c r="G592" s="22"/>
      <c r="H592" s="21"/>
      <c r="I592" s="9"/>
      <c r="J592" s="9"/>
      <c r="K592" s="22"/>
      <c r="L592" s="22"/>
      <c r="Q592">
        <f>ROUND((Source!BZ359/100)*ROUND((Source!AF359*Source!AV359)*Source!I359, 2), 2)</f>
        <v>657.01</v>
      </c>
      <c r="R592">
        <f>Source!X359</f>
        <v>657.01</v>
      </c>
      <c r="S592">
        <f>ROUND((Source!CA359/100)*ROUND((Source!AF359*Source!AV359)*Source!I359, 2), 2)</f>
        <v>93.86</v>
      </c>
      <c r="T592">
        <f>Source!Y359</f>
        <v>93.86</v>
      </c>
      <c r="U592">
        <f>ROUND((175/100)*ROUND((Source!AE359*Source!AV359)*Source!I359, 2), 2)</f>
        <v>0</v>
      </c>
      <c r="V592">
        <f>ROUND((108/100)*ROUND(Source!CS359*Source!I359, 2), 2)</f>
        <v>0</v>
      </c>
    </row>
    <row r="593" spans="1:16" x14ac:dyDescent="0.2">
      <c r="D593" s="23" t="str">
        <f>"Объем: "&amp;Source!I359&amp;"=10/"&amp;"10"</f>
        <v>Объем: 1=10/10</v>
      </c>
    </row>
    <row r="594" spans="1:16" ht="14.25" x14ac:dyDescent="0.2">
      <c r="A594" s="19"/>
      <c r="B594" s="19"/>
      <c r="C594" s="19"/>
      <c r="D594" s="19" t="s">
        <v>825</v>
      </c>
      <c r="E594" s="20"/>
      <c r="F594" s="9"/>
      <c r="G594" s="22">
        <f>Source!AO359</f>
        <v>938.58</v>
      </c>
      <c r="H594" s="21" t="str">
        <f>Source!DG359</f>
        <v/>
      </c>
      <c r="I594" s="9">
        <f>Source!AV359</f>
        <v>1</v>
      </c>
      <c r="J594" s="9">
        <f>IF(Source!BA359&lt;&gt; 0, Source!BA359, 1)</f>
        <v>1</v>
      </c>
      <c r="K594" s="22">
        <f>Source!S359</f>
        <v>938.58</v>
      </c>
      <c r="L594" s="22"/>
    </row>
    <row r="595" spans="1:16" ht="14.25" x14ac:dyDescent="0.2">
      <c r="A595" s="19"/>
      <c r="B595" s="19"/>
      <c r="C595" s="19"/>
      <c r="D595" s="19" t="s">
        <v>834</v>
      </c>
      <c r="E595" s="20"/>
      <c r="F595" s="9"/>
      <c r="G595" s="22">
        <f>Source!AL359</f>
        <v>0.63</v>
      </c>
      <c r="H595" s="21" t="str">
        <f>Source!DD359</f>
        <v/>
      </c>
      <c r="I595" s="9">
        <f>Source!AW359</f>
        <v>1</v>
      </c>
      <c r="J595" s="9">
        <f>IF(Source!BC359&lt;&gt; 0, Source!BC359, 1)</f>
        <v>1</v>
      </c>
      <c r="K595" s="22">
        <f>Source!P359</f>
        <v>0.63</v>
      </c>
      <c r="L595" s="22"/>
    </row>
    <row r="596" spans="1:16" ht="14.25" x14ac:dyDescent="0.2">
      <c r="A596" s="19"/>
      <c r="B596" s="19"/>
      <c r="C596" s="19"/>
      <c r="D596" s="19" t="s">
        <v>828</v>
      </c>
      <c r="E596" s="20" t="s">
        <v>829</v>
      </c>
      <c r="F596" s="9">
        <f>Source!AT359</f>
        <v>70</v>
      </c>
      <c r="G596" s="22"/>
      <c r="H596" s="21"/>
      <c r="I596" s="9"/>
      <c r="J596" s="9"/>
      <c r="K596" s="22">
        <f>SUM(R592:R595)</f>
        <v>657.01</v>
      </c>
      <c r="L596" s="22"/>
    </row>
    <row r="597" spans="1:16" ht="14.25" x14ac:dyDescent="0.2">
      <c r="A597" s="19"/>
      <c r="B597" s="19"/>
      <c r="C597" s="19"/>
      <c r="D597" s="19" t="s">
        <v>830</v>
      </c>
      <c r="E597" s="20" t="s">
        <v>829</v>
      </c>
      <c r="F597" s="9">
        <f>Source!AU359</f>
        <v>10</v>
      </c>
      <c r="G597" s="22"/>
      <c r="H597" s="21"/>
      <c r="I597" s="9"/>
      <c r="J597" s="9"/>
      <c r="K597" s="22">
        <f>SUM(T592:T596)</f>
        <v>93.86</v>
      </c>
      <c r="L597" s="22"/>
    </row>
    <row r="598" spans="1:16" ht="14.25" x14ac:dyDescent="0.2">
      <c r="A598" s="19"/>
      <c r="B598" s="19"/>
      <c r="C598" s="19"/>
      <c r="D598" s="19" t="s">
        <v>832</v>
      </c>
      <c r="E598" s="20" t="s">
        <v>833</v>
      </c>
      <c r="F598" s="9">
        <f>Source!AQ359</f>
        <v>1.52</v>
      </c>
      <c r="G598" s="22"/>
      <c r="H598" s="21" t="str">
        <f>Source!DI359</f>
        <v/>
      </c>
      <c r="I598" s="9">
        <f>Source!AV359</f>
        <v>1</v>
      </c>
      <c r="J598" s="9"/>
      <c r="K598" s="22"/>
      <c r="L598" s="22">
        <f>Source!U359</f>
        <v>1.52</v>
      </c>
    </row>
    <row r="599" spans="1:16" ht="15" x14ac:dyDescent="0.25">
      <c r="A599" s="27"/>
      <c r="B599" s="27"/>
      <c r="C599" s="27"/>
      <c r="D599" s="27"/>
      <c r="E599" s="27"/>
      <c r="F599" s="27"/>
      <c r="G599" s="27"/>
      <c r="H599" s="27"/>
      <c r="I599" s="27"/>
      <c r="J599" s="60">
        <f>K594+K595+K596+K597</f>
        <v>1690.08</v>
      </c>
      <c r="K599" s="60"/>
      <c r="L599" s="28">
        <f>IF(Source!I359&lt;&gt;0, ROUND(J599/Source!I359, 2), 0)</f>
        <v>1690.08</v>
      </c>
      <c r="P599" s="25">
        <f>J599</f>
        <v>1690.08</v>
      </c>
    </row>
    <row r="601" spans="1:16" ht="15" hidden="1" x14ac:dyDescent="0.25">
      <c r="C601" s="56" t="str">
        <f>Source!G364</f>
        <v>Теплоснабжение калориферов</v>
      </c>
      <c r="D601" s="56"/>
      <c r="E601" s="56"/>
      <c r="F601" s="56"/>
      <c r="G601" s="56"/>
      <c r="H601" s="56"/>
      <c r="I601" s="56"/>
      <c r="J601" s="56"/>
      <c r="K601" s="56"/>
    </row>
    <row r="602" spans="1:16" hidden="1" x14ac:dyDescent="0.2"/>
    <row r="603" spans="1:16" ht="15" hidden="1" x14ac:dyDescent="0.25">
      <c r="C603" s="56" t="str">
        <f>Source!G365</f>
        <v>Корпуса 7.2.1 - 7.2.3</v>
      </c>
      <c r="D603" s="56"/>
      <c r="E603" s="56"/>
      <c r="F603" s="56"/>
      <c r="G603" s="56"/>
      <c r="H603" s="56"/>
      <c r="I603" s="56"/>
      <c r="J603" s="56"/>
      <c r="K603" s="56"/>
    </row>
    <row r="604" spans="1:16" hidden="1" x14ac:dyDescent="0.2"/>
    <row r="605" spans="1:16" ht="15" hidden="1" x14ac:dyDescent="0.25">
      <c r="C605" s="56" t="str">
        <f>Source!G370</f>
        <v>Корпус 7.2.4</v>
      </c>
      <c r="D605" s="56"/>
      <c r="E605" s="56"/>
      <c r="F605" s="56"/>
      <c r="G605" s="56"/>
      <c r="H605" s="56"/>
      <c r="I605" s="56"/>
      <c r="J605" s="56"/>
      <c r="K605" s="56"/>
    </row>
    <row r="607" spans="1:16" ht="15" x14ac:dyDescent="0.25">
      <c r="A607" s="59" t="str">
        <f>CONCATENATE("Итого по подразделу: ",IF(Source!G378&lt;&gt;"Новый подраздел", Source!G378, ""))</f>
        <v>Итого по подразделу: Отопление</v>
      </c>
      <c r="B607" s="59"/>
      <c r="C607" s="59"/>
      <c r="D607" s="59"/>
      <c r="E607" s="59"/>
      <c r="F607" s="59"/>
      <c r="G607" s="59"/>
      <c r="H607" s="59"/>
      <c r="I607" s="59"/>
      <c r="J607" s="57">
        <f>SUM(P408:P606)</f>
        <v>84886.640000000014</v>
      </c>
      <c r="K607" s="58"/>
      <c r="L607" s="18"/>
    </row>
    <row r="610" spans="1:22" ht="15" x14ac:dyDescent="0.25">
      <c r="A610" s="59" t="str">
        <f>CONCATENATE("Итого по разделу: ",IF(Source!G408&lt;&gt;"Новый раздел", Source!G408, ""))</f>
        <v>Итого по разделу: 2. Внутренние сети отопления и ИТП</v>
      </c>
      <c r="B610" s="59"/>
      <c r="C610" s="59"/>
      <c r="D610" s="59"/>
      <c r="E610" s="59"/>
      <c r="F610" s="59"/>
      <c r="G610" s="59"/>
      <c r="H610" s="59"/>
      <c r="I610" s="59"/>
      <c r="J610" s="57">
        <f>SUM(P207:P609)</f>
        <v>406712.56000000006</v>
      </c>
      <c r="K610" s="58"/>
      <c r="L610" s="18"/>
    </row>
    <row r="613" spans="1:22" ht="16.5" x14ac:dyDescent="0.25">
      <c r="A613" s="55" t="str">
        <f>CONCATENATE("Раздел: ",IF(Source!G438&lt;&gt;"Новый раздел", Source!G438, ""))</f>
        <v>Раздел: 3. Вентиляция и кондиционирование</v>
      </c>
      <c r="B613" s="55"/>
      <c r="C613" s="55"/>
      <c r="D613" s="55"/>
      <c r="E613" s="55"/>
      <c r="F613" s="55"/>
      <c r="G613" s="55"/>
      <c r="H613" s="55"/>
      <c r="I613" s="55"/>
      <c r="J613" s="55"/>
      <c r="K613" s="55"/>
      <c r="L613" s="55"/>
    </row>
    <row r="615" spans="1:22" ht="16.5" x14ac:dyDescent="0.25">
      <c r="A615" s="55" t="str">
        <f>CONCATENATE("Подраздел: ",IF(Source!G442&lt;&gt;"Новый подраздел", Source!G442, ""))</f>
        <v>Подраздел: Вентиляция</v>
      </c>
      <c r="B615" s="55"/>
      <c r="C615" s="55"/>
      <c r="D615" s="55"/>
      <c r="E615" s="55"/>
      <c r="F615" s="55"/>
      <c r="G615" s="55"/>
      <c r="H615" s="55"/>
      <c r="I615" s="55"/>
      <c r="J615" s="55"/>
      <c r="K615" s="55"/>
      <c r="L615" s="55"/>
    </row>
    <row r="617" spans="1:22" ht="15" x14ac:dyDescent="0.25">
      <c r="C617" s="56" t="str">
        <f>Source!G446</f>
        <v>Корпуса 7.2.1-7.2.3</v>
      </c>
      <c r="D617" s="56"/>
      <c r="E617" s="56"/>
      <c r="F617" s="56"/>
      <c r="G617" s="56"/>
      <c r="H617" s="56"/>
      <c r="I617" s="56"/>
      <c r="J617" s="56"/>
      <c r="K617" s="56"/>
    </row>
    <row r="618" spans="1:22" ht="42.75" x14ac:dyDescent="0.2">
      <c r="A618" s="19">
        <v>56</v>
      </c>
      <c r="B618" s="19">
        <v>56</v>
      </c>
      <c r="C618" s="19" t="str">
        <f>Source!F449</f>
        <v>1.18-2403-21-4/1</v>
      </c>
      <c r="D618" s="19" t="str">
        <f>Source!G449</f>
        <v>Техническое обслуживание приточных установок производительностью до 5000 м3/ч - ежеквартальное</v>
      </c>
      <c r="E618" s="20" t="str">
        <f>Source!H449</f>
        <v>установка</v>
      </c>
      <c r="F618" s="9">
        <f>Source!I449</f>
        <v>6</v>
      </c>
      <c r="G618" s="22"/>
      <c r="H618" s="21"/>
      <c r="I618" s="9"/>
      <c r="J618" s="9"/>
      <c r="K618" s="22"/>
      <c r="L618" s="22"/>
      <c r="Q618">
        <f>ROUND((Source!BZ449/100)*ROUND((Source!AF449*Source!AV449)*Source!I449, 2), 2)</f>
        <v>17502.490000000002</v>
      </c>
      <c r="R618">
        <f>Source!X449</f>
        <v>17502.490000000002</v>
      </c>
      <c r="S618">
        <f>ROUND((Source!CA449/100)*ROUND((Source!AF449*Source!AV449)*Source!I449, 2), 2)</f>
        <v>2500.36</v>
      </c>
      <c r="T618">
        <f>Source!Y449</f>
        <v>2500.36</v>
      </c>
      <c r="U618">
        <f>ROUND((175/100)*ROUND((Source!AE449*Source!AV449)*Source!I449, 2), 2)</f>
        <v>0.42</v>
      </c>
      <c r="V618">
        <f>ROUND((108/100)*ROUND(Source!CS449*Source!I449, 2), 2)</f>
        <v>0.26</v>
      </c>
    </row>
    <row r="619" spans="1:22" x14ac:dyDescent="0.2">
      <c r="D619" s="23" t="str">
        <f>"Объем: "&amp;Source!I449&amp;"=(1+"&amp;"1)*"&amp;"3"</f>
        <v>Объем: 6=(1+1)*3</v>
      </c>
    </row>
    <row r="620" spans="1:22" ht="14.25" x14ac:dyDescent="0.2">
      <c r="A620" s="19"/>
      <c r="B620" s="19"/>
      <c r="C620" s="19"/>
      <c r="D620" s="19" t="s">
        <v>825</v>
      </c>
      <c r="E620" s="20"/>
      <c r="F620" s="9"/>
      <c r="G620" s="22">
        <f>Source!AO449</f>
        <v>2083.63</v>
      </c>
      <c r="H620" s="21" t="str">
        <f>Source!DG449</f>
        <v>)*2</v>
      </c>
      <c r="I620" s="9">
        <f>Source!AV449</f>
        <v>1</v>
      </c>
      <c r="J620" s="9">
        <f>IF(Source!BA449&lt;&gt; 0, Source!BA449, 1)</f>
        <v>1</v>
      </c>
      <c r="K620" s="22">
        <f>Source!S449</f>
        <v>25003.56</v>
      </c>
      <c r="L620" s="22"/>
    </row>
    <row r="621" spans="1:22" ht="14.25" x14ac:dyDescent="0.2">
      <c r="A621" s="19"/>
      <c r="B621" s="19"/>
      <c r="C621" s="19"/>
      <c r="D621" s="19" t="s">
        <v>826</v>
      </c>
      <c r="E621" s="20"/>
      <c r="F621" s="9"/>
      <c r="G621" s="22">
        <f>Source!AM449</f>
        <v>1.79</v>
      </c>
      <c r="H621" s="21" t="str">
        <f>Source!DE449</f>
        <v>)*2</v>
      </c>
      <c r="I621" s="9">
        <f>Source!AV449</f>
        <v>1</v>
      </c>
      <c r="J621" s="9">
        <f>IF(Source!BB449&lt;&gt; 0, Source!BB449, 1)</f>
        <v>1</v>
      </c>
      <c r="K621" s="22">
        <f>Source!Q449</f>
        <v>21.48</v>
      </c>
      <c r="L621" s="22"/>
    </row>
    <row r="622" spans="1:22" ht="14.25" x14ac:dyDescent="0.2">
      <c r="A622" s="19"/>
      <c r="B622" s="19"/>
      <c r="C622" s="19"/>
      <c r="D622" s="19" t="s">
        <v>827</v>
      </c>
      <c r="E622" s="20"/>
      <c r="F622" s="9"/>
      <c r="G622" s="22">
        <f>Source!AN449</f>
        <v>0.02</v>
      </c>
      <c r="H622" s="21" t="str">
        <f>Source!DF449</f>
        <v>)*2</v>
      </c>
      <c r="I622" s="9">
        <f>Source!AV449</f>
        <v>1</v>
      </c>
      <c r="J622" s="9">
        <f>IF(Source!BS449&lt;&gt; 0, Source!BS449, 1)</f>
        <v>1</v>
      </c>
      <c r="K622" s="24">
        <f>Source!R449</f>
        <v>0.24</v>
      </c>
      <c r="L622" s="22"/>
    </row>
    <row r="623" spans="1:22" ht="14.25" x14ac:dyDescent="0.2">
      <c r="A623" s="19"/>
      <c r="B623" s="19"/>
      <c r="C623" s="19"/>
      <c r="D623" s="19" t="s">
        <v>834</v>
      </c>
      <c r="E623" s="20"/>
      <c r="F623" s="9"/>
      <c r="G623" s="22">
        <f>Source!AL449</f>
        <v>10.08</v>
      </c>
      <c r="H623" s="21" t="str">
        <f>Source!DD449</f>
        <v>)*2</v>
      </c>
      <c r="I623" s="9">
        <f>Source!AW449</f>
        <v>1</v>
      </c>
      <c r="J623" s="9">
        <f>IF(Source!BC449&lt;&gt; 0, Source!BC449, 1)</f>
        <v>1</v>
      </c>
      <c r="K623" s="22">
        <f>Source!P449</f>
        <v>120.96</v>
      </c>
      <c r="L623" s="22"/>
    </row>
    <row r="624" spans="1:22" ht="14.25" x14ac:dyDescent="0.2">
      <c r="A624" s="19"/>
      <c r="B624" s="19"/>
      <c r="C624" s="19"/>
      <c r="D624" s="19" t="s">
        <v>828</v>
      </c>
      <c r="E624" s="20" t="s">
        <v>829</v>
      </c>
      <c r="F624" s="9">
        <f>Source!AT449</f>
        <v>70</v>
      </c>
      <c r="G624" s="22"/>
      <c r="H624" s="21"/>
      <c r="I624" s="9"/>
      <c r="J624" s="9"/>
      <c r="K624" s="22">
        <f>SUM(R618:R623)</f>
        <v>17502.490000000002</v>
      </c>
      <c r="L624" s="22"/>
    </row>
    <row r="625" spans="1:22" ht="14.25" x14ac:dyDescent="0.2">
      <c r="A625" s="19"/>
      <c r="B625" s="19"/>
      <c r="C625" s="19"/>
      <c r="D625" s="19" t="s">
        <v>830</v>
      </c>
      <c r="E625" s="20" t="s">
        <v>829</v>
      </c>
      <c r="F625" s="9">
        <f>Source!AU449</f>
        <v>10</v>
      </c>
      <c r="G625" s="22"/>
      <c r="H625" s="21"/>
      <c r="I625" s="9"/>
      <c r="J625" s="9"/>
      <c r="K625" s="22">
        <f>SUM(T618:T624)</f>
        <v>2500.36</v>
      </c>
      <c r="L625" s="22"/>
    </row>
    <row r="626" spans="1:22" ht="14.25" x14ac:dyDescent="0.2">
      <c r="A626" s="19"/>
      <c r="B626" s="19"/>
      <c r="C626" s="19"/>
      <c r="D626" s="19" t="s">
        <v>831</v>
      </c>
      <c r="E626" s="20" t="s">
        <v>829</v>
      </c>
      <c r="F626" s="9">
        <f>108</f>
        <v>108</v>
      </c>
      <c r="G626" s="22"/>
      <c r="H626" s="21"/>
      <c r="I626" s="9"/>
      <c r="J626" s="9"/>
      <c r="K626" s="22">
        <f>SUM(V618:V625)</f>
        <v>0.26</v>
      </c>
      <c r="L626" s="22"/>
    </row>
    <row r="627" spans="1:22" ht="14.25" x14ac:dyDescent="0.2">
      <c r="A627" s="19"/>
      <c r="B627" s="19"/>
      <c r="C627" s="19"/>
      <c r="D627" s="19" t="s">
        <v>832</v>
      </c>
      <c r="E627" s="20" t="s">
        <v>833</v>
      </c>
      <c r="F627" s="9">
        <f>Source!AQ449</f>
        <v>3.14</v>
      </c>
      <c r="G627" s="22"/>
      <c r="H627" s="21" t="str">
        <f>Source!DI449</f>
        <v>)*2</v>
      </c>
      <c r="I627" s="9">
        <f>Source!AV449</f>
        <v>1</v>
      </c>
      <c r="J627" s="9"/>
      <c r="K627" s="22"/>
      <c r="L627" s="22">
        <f>Source!U449</f>
        <v>37.68</v>
      </c>
    </row>
    <row r="628" spans="1:22" ht="15" x14ac:dyDescent="0.25">
      <c r="A628" s="27"/>
      <c r="B628" s="27"/>
      <c r="C628" s="27"/>
      <c r="D628" s="27"/>
      <c r="E628" s="27"/>
      <c r="F628" s="27"/>
      <c r="G628" s="27"/>
      <c r="H628" s="27"/>
      <c r="I628" s="27"/>
      <c r="J628" s="60">
        <f>K620+K621+K623+K624+K625+K626</f>
        <v>45149.110000000008</v>
      </c>
      <c r="K628" s="60"/>
      <c r="L628" s="28">
        <f>IF(Source!I449&lt;&gt;0, ROUND(J628/Source!I449, 2), 0)</f>
        <v>7524.85</v>
      </c>
      <c r="P628" s="25">
        <f>J628</f>
        <v>45149.110000000008</v>
      </c>
    </row>
    <row r="629" spans="1:22" ht="57" x14ac:dyDescent="0.2">
      <c r="A629" s="19">
        <v>57</v>
      </c>
      <c r="B629" s="19">
        <v>57</v>
      </c>
      <c r="C629" s="19" t="str">
        <f>Source!F453</f>
        <v>1.18-2403-20-3/1</v>
      </c>
      <c r="D629" s="19" t="str">
        <f>Source!G453</f>
        <v>Техническое обслуживание вытяжных установок производительностью до 5000 м3/ч - ежеквартальное / применительно до 2000 м3/ч</v>
      </c>
      <c r="E629" s="20" t="str">
        <f>Source!H453</f>
        <v>установка</v>
      </c>
      <c r="F629" s="9">
        <f>Source!I453</f>
        <v>6</v>
      </c>
      <c r="G629" s="22"/>
      <c r="H629" s="21"/>
      <c r="I629" s="9"/>
      <c r="J629" s="9"/>
      <c r="K629" s="22"/>
      <c r="L629" s="22"/>
      <c r="Q629">
        <f>ROUND((Source!BZ453/100)*ROUND((Source!AF453*Source!AV453)*Source!I453, 2), 2)</f>
        <v>13266.2</v>
      </c>
      <c r="R629">
        <f>Source!X453</f>
        <v>13266.2</v>
      </c>
      <c r="S629">
        <f>ROUND((Source!CA453/100)*ROUND((Source!AF453*Source!AV453)*Source!I453, 2), 2)</f>
        <v>1895.17</v>
      </c>
      <c r="T629">
        <f>Source!Y453</f>
        <v>1895.17</v>
      </c>
      <c r="U629">
        <f>ROUND((175/100)*ROUND((Source!AE453*Source!AV453)*Source!I453, 2), 2)</f>
        <v>0</v>
      </c>
      <c r="V629">
        <f>ROUND((108/100)*ROUND(Source!CS453*Source!I453, 2), 2)</f>
        <v>0</v>
      </c>
    </row>
    <row r="630" spans="1:22" x14ac:dyDescent="0.2">
      <c r="D630" s="23" t="str">
        <f>"Объем: "&amp;Source!I453&amp;"=2*"&amp;"3"</f>
        <v>Объем: 6=2*3</v>
      </c>
    </row>
    <row r="631" spans="1:22" ht="14.25" x14ac:dyDescent="0.2">
      <c r="A631" s="19"/>
      <c r="B631" s="19"/>
      <c r="C631" s="19"/>
      <c r="D631" s="19" t="s">
        <v>825</v>
      </c>
      <c r="E631" s="20"/>
      <c r="F631" s="9"/>
      <c r="G631" s="22">
        <f>Source!AO453</f>
        <v>1579.31</v>
      </c>
      <c r="H631" s="21" t="str">
        <f>Source!DG453</f>
        <v>)*2</v>
      </c>
      <c r="I631" s="9">
        <f>Source!AV453</f>
        <v>1</v>
      </c>
      <c r="J631" s="9">
        <f>IF(Source!BA453&lt;&gt; 0, Source!BA453, 1)</f>
        <v>1</v>
      </c>
      <c r="K631" s="22">
        <f>Source!S453</f>
        <v>18951.72</v>
      </c>
      <c r="L631" s="22"/>
    </row>
    <row r="632" spans="1:22" ht="14.25" x14ac:dyDescent="0.2">
      <c r="A632" s="19"/>
      <c r="B632" s="19"/>
      <c r="C632" s="19"/>
      <c r="D632" s="19" t="s">
        <v>834</v>
      </c>
      <c r="E632" s="20"/>
      <c r="F632" s="9"/>
      <c r="G632" s="22">
        <f>Source!AL453</f>
        <v>0.03</v>
      </c>
      <c r="H632" s="21" t="str">
        <f>Source!DD453</f>
        <v>)*2</v>
      </c>
      <c r="I632" s="9">
        <f>Source!AW453</f>
        <v>1</v>
      </c>
      <c r="J632" s="9">
        <f>IF(Source!BC453&lt;&gt; 0, Source!BC453, 1)</f>
        <v>1</v>
      </c>
      <c r="K632" s="22">
        <f>Source!P453</f>
        <v>0.36</v>
      </c>
      <c r="L632" s="22"/>
    </row>
    <row r="633" spans="1:22" ht="14.25" x14ac:dyDescent="0.2">
      <c r="A633" s="19"/>
      <c r="B633" s="19"/>
      <c r="C633" s="19"/>
      <c r="D633" s="19" t="s">
        <v>828</v>
      </c>
      <c r="E633" s="20" t="s">
        <v>829</v>
      </c>
      <c r="F633" s="9">
        <f>Source!AT453</f>
        <v>70</v>
      </c>
      <c r="G633" s="22"/>
      <c r="H633" s="21"/>
      <c r="I633" s="9"/>
      <c r="J633" s="9"/>
      <c r="K633" s="22">
        <f>SUM(R629:R632)</f>
        <v>13266.2</v>
      </c>
      <c r="L633" s="22"/>
    </row>
    <row r="634" spans="1:22" ht="14.25" x14ac:dyDescent="0.2">
      <c r="A634" s="19"/>
      <c r="B634" s="19"/>
      <c r="C634" s="19"/>
      <c r="D634" s="19" t="s">
        <v>830</v>
      </c>
      <c r="E634" s="20" t="s">
        <v>829</v>
      </c>
      <c r="F634" s="9">
        <f>Source!AU453</f>
        <v>10</v>
      </c>
      <c r="G634" s="22"/>
      <c r="H634" s="21"/>
      <c r="I634" s="9"/>
      <c r="J634" s="9"/>
      <c r="K634" s="22">
        <f>SUM(T629:T633)</f>
        <v>1895.17</v>
      </c>
      <c r="L634" s="22"/>
    </row>
    <row r="635" spans="1:22" ht="14.25" x14ac:dyDescent="0.2">
      <c r="A635" s="19"/>
      <c r="B635" s="19"/>
      <c r="C635" s="19"/>
      <c r="D635" s="19" t="s">
        <v>832</v>
      </c>
      <c r="E635" s="20" t="s">
        <v>833</v>
      </c>
      <c r="F635" s="9">
        <f>Source!AQ453</f>
        <v>2.38</v>
      </c>
      <c r="G635" s="22"/>
      <c r="H635" s="21" t="str">
        <f>Source!DI453</f>
        <v>)*2</v>
      </c>
      <c r="I635" s="9">
        <f>Source!AV453</f>
        <v>1</v>
      </c>
      <c r="J635" s="9"/>
      <c r="K635" s="22"/>
      <c r="L635" s="22">
        <f>Source!U453</f>
        <v>28.56</v>
      </c>
    </row>
    <row r="636" spans="1:22" ht="15" x14ac:dyDescent="0.25">
      <c r="A636" s="27"/>
      <c r="B636" s="27"/>
      <c r="C636" s="27"/>
      <c r="D636" s="27"/>
      <c r="E636" s="27"/>
      <c r="F636" s="27"/>
      <c r="G636" s="27"/>
      <c r="H636" s="27"/>
      <c r="I636" s="27"/>
      <c r="J636" s="60">
        <f>K631+K632+K633+K634</f>
        <v>34113.450000000004</v>
      </c>
      <c r="K636" s="60"/>
      <c r="L636" s="28">
        <f>IF(Source!I453&lt;&gt;0, ROUND(J636/Source!I453, 2), 0)</f>
        <v>5685.58</v>
      </c>
      <c r="P636" s="25">
        <f>J636</f>
        <v>34113.450000000004</v>
      </c>
    </row>
    <row r="637" spans="1:22" ht="28.5" x14ac:dyDescent="0.2">
      <c r="A637" s="19">
        <v>58</v>
      </c>
      <c r="B637" s="19">
        <v>58</v>
      </c>
      <c r="C637" s="19" t="str">
        <f>Source!F457</f>
        <v>1.23-2303-7-2/1</v>
      </c>
      <c r="D637" s="19" t="str">
        <f>Source!G457</f>
        <v>Техническое обслуживание реле давления, напора, тяги</v>
      </c>
      <c r="E637" s="20" t="str">
        <f>Source!H457</f>
        <v>шт.</v>
      </c>
      <c r="F637" s="9">
        <f>Source!I457</f>
        <v>6</v>
      </c>
      <c r="G637" s="22"/>
      <c r="H637" s="21"/>
      <c r="I637" s="9"/>
      <c r="J637" s="9"/>
      <c r="K637" s="22"/>
      <c r="L637" s="22"/>
      <c r="Q637">
        <f>ROUND((Source!BZ457/100)*ROUND((Source!AF457*Source!AV457)*Source!I457, 2), 2)</f>
        <v>2265.23</v>
      </c>
      <c r="R637">
        <f>Source!X457</f>
        <v>2265.23</v>
      </c>
      <c r="S637">
        <f>ROUND((Source!CA457/100)*ROUND((Source!AF457*Source!AV457)*Source!I457, 2), 2)</f>
        <v>323.60000000000002</v>
      </c>
      <c r="T637">
        <f>Source!Y457</f>
        <v>323.60000000000002</v>
      </c>
      <c r="U637">
        <f>ROUND((175/100)*ROUND((Source!AE457*Source!AV457)*Source!I457, 2), 2)</f>
        <v>0</v>
      </c>
      <c r="V637">
        <f>ROUND((108/100)*ROUND(Source!CS457*Source!I457, 2), 2)</f>
        <v>0</v>
      </c>
    </row>
    <row r="638" spans="1:22" x14ac:dyDescent="0.2">
      <c r="D638" s="23" t="str">
        <f>"Объем: "&amp;Source!I457&amp;"=(1+"&amp;"1)*"&amp;"3"</f>
        <v>Объем: 6=(1+1)*3</v>
      </c>
    </row>
    <row r="639" spans="1:22" ht="14.25" x14ac:dyDescent="0.2">
      <c r="A639" s="19"/>
      <c r="B639" s="19"/>
      <c r="C639" s="19"/>
      <c r="D639" s="19" t="s">
        <v>825</v>
      </c>
      <c r="E639" s="20"/>
      <c r="F639" s="9"/>
      <c r="G639" s="22">
        <f>Source!AO457</f>
        <v>269.67</v>
      </c>
      <c r="H639" s="21" t="str">
        <f>Source!DG457</f>
        <v>)*2</v>
      </c>
      <c r="I639" s="9">
        <f>Source!AV457</f>
        <v>1</v>
      </c>
      <c r="J639" s="9">
        <f>IF(Source!BA457&lt;&gt; 0, Source!BA457, 1)</f>
        <v>1</v>
      </c>
      <c r="K639" s="22">
        <f>Source!S457</f>
        <v>3236.04</v>
      </c>
      <c r="L639" s="22"/>
    </row>
    <row r="640" spans="1:22" ht="14.25" x14ac:dyDescent="0.2">
      <c r="A640" s="19"/>
      <c r="B640" s="19"/>
      <c r="C640" s="19"/>
      <c r="D640" s="19" t="s">
        <v>834</v>
      </c>
      <c r="E640" s="20"/>
      <c r="F640" s="9"/>
      <c r="G640" s="22">
        <f>Source!AL457</f>
        <v>19.14</v>
      </c>
      <c r="H640" s="21" t="str">
        <f>Source!DD457</f>
        <v>)*2</v>
      </c>
      <c r="I640" s="9">
        <f>Source!AW457</f>
        <v>1</v>
      </c>
      <c r="J640" s="9">
        <f>IF(Source!BC457&lt;&gt; 0, Source!BC457, 1)</f>
        <v>1</v>
      </c>
      <c r="K640" s="22">
        <f>Source!P457</f>
        <v>229.68</v>
      </c>
      <c r="L640" s="22"/>
    </row>
    <row r="641" spans="1:22" ht="14.25" x14ac:dyDescent="0.2">
      <c r="A641" s="19"/>
      <c r="B641" s="19"/>
      <c r="C641" s="19"/>
      <c r="D641" s="19" t="s">
        <v>828</v>
      </c>
      <c r="E641" s="20" t="s">
        <v>829</v>
      </c>
      <c r="F641" s="9">
        <f>Source!AT457</f>
        <v>70</v>
      </c>
      <c r="G641" s="22"/>
      <c r="H641" s="21"/>
      <c r="I641" s="9"/>
      <c r="J641" s="9"/>
      <c r="K641" s="22">
        <f>SUM(R637:R640)</f>
        <v>2265.23</v>
      </c>
      <c r="L641" s="22"/>
    </row>
    <row r="642" spans="1:22" ht="14.25" x14ac:dyDescent="0.2">
      <c r="A642" s="19"/>
      <c r="B642" s="19"/>
      <c r="C642" s="19"/>
      <c r="D642" s="19" t="s">
        <v>830</v>
      </c>
      <c r="E642" s="20" t="s">
        <v>829</v>
      </c>
      <c r="F642" s="9">
        <f>Source!AU457</f>
        <v>10</v>
      </c>
      <c r="G642" s="22"/>
      <c r="H642" s="21"/>
      <c r="I642" s="9"/>
      <c r="J642" s="9"/>
      <c r="K642" s="22">
        <f>SUM(T637:T641)</f>
        <v>323.60000000000002</v>
      </c>
      <c r="L642" s="22"/>
    </row>
    <row r="643" spans="1:22" ht="14.25" x14ac:dyDescent="0.2">
      <c r="A643" s="19"/>
      <c r="B643" s="19"/>
      <c r="C643" s="19"/>
      <c r="D643" s="19" t="s">
        <v>832</v>
      </c>
      <c r="E643" s="20" t="s">
        <v>833</v>
      </c>
      <c r="F643" s="9">
        <f>Source!AQ457</f>
        <v>0.38</v>
      </c>
      <c r="G643" s="22"/>
      <c r="H643" s="21" t="str">
        <f>Source!DI457</f>
        <v>)*2</v>
      </c>
      <c r="I643" s="9">
        <f>Source!AV457</f>
        <v>1</v>
      </c>
      <c r="J643" s="9"/>
      <c r="K643" s="22"/>
      <c r="L643" s="22">
        <f>Source!U457</f>
        <v>4.5600000000000005</v>
      </c>
    </row>
    <row r="644" spans="1:22" ht="15" x14ac:dyDescent="0.25">
      <c r="A644" s="27"/>
      <c r="B644" s="27"/>
      <c r="C644" s="27"/>
      <c r="D644" s="27"/>
      <c r="E644" s="27"/>
      <c r="F644" s="27"/>
      <c r="G644" s="27"/>
      <c r="H644" s="27"/>
      <c r="I644" s="27"/>
      <c r="J644" s="60">
        <f>K639+K640+K641+K642</f>
        <v>6054.55</v>
      </c>
      <c r="K644" s="60"/>
      <c r="L644" s="28">
        <f>IF(Source!I457&lt;&gt;0, ROUND(J644/Source!I457, 2), 0)</f>
        <v>1009.09</v>
      </c>
      <c r="P644" s="25">
        <f>J644</f>
        <v>6054.55</v>
      </c>
    </row>
    <row r="645" spans="1:22" ht="28.5" x14ac:dyDescent="0.2">
      <c r="A645" s="19">
        <v>59</v>
      </c>
      <c r="B645" s="19">
        <v>59</v>
      </c>
      <c r="C645" s="19" t="str">
        <f>Source!F458</f>
        <v>1.23-2303-7-1/1</v>
      </c>
      <c r="D645" s="19" t="str">
        <f>Source!G458</f>
        <v>Техническое обслуживание реле температуры</v>
      </c>
      <c r="E645" s="20" t="str">
        <f>Source!H458</f>
        <v>шт.</v>
      </c>
      <c r="F645" s="9">
        <f>Source!I458</f>
        <v>6</v>
      </c>
      <c r="G645" s="22"/>
      <c r="H645" s="21"/>
      <c r="I645" s="9"/>
      <c r="J645" s="9"/>
      <c r="K645" s="22"/>
      <c r="L645" s="22"/>
      <c r="Q645">
        <f>ROUND((Source!BZ458/100)*ROUND((Source!AF458*Source!AV458)*Source!I458, 2), 2)</f>
        <v>2861.38</v>
      </c>
      <c r="R645">
        <f>Source!X458</f>
        <v>2861.38</v>
      </c>
      <c r="S645">
        <f>ROUND((Source!CA458/100)*ROUND((Source!AF458*Source!AV458)*Source!I458, 2), 2)</f>
        <v>408.77</v>
      </c>
      <c r="T645">
        <f>Source!Y458</f>
        <v>408.77</v>
      </c>
      <c r="U645">
        <f>ROUND((175/100)*ROUND((Source!AE458*Source!AV458)*Source!I458, 2), 2)</f>
        <v>0</v>
      </c>
      <c r="V645">
        <f>ROUND((108/100)*ROUND(Source!CS458*Source!I458, 2), 2)</f>
        <v>0</v>
      </c>
    </row>
    <row r="646" spans="1:22" x14ac:dyDescent="0.2">
      <c r="D646" s="23" t="str">
        <f>"Объем: "&amp;Source!I458&amp;"=(1+"&amp;"1)*"&amp;"3"</f>
        <v>Объем: 6=(1+1)*3</v>
      </c>
    </row>
    <row r="647" spans="1:22" ht="14.25" x14ac:dyDescent="0.2">
      <c r="A647" s="19"/>
      <c r="B647" s="19"/>
      <c r="C647" s="19"/>
      <c r="D647" s="19" t="s">
        <v>825</v>
      </c>
      <c r="E647" s="20"/>
      <c r="F647" s="9"/>
      <c r="G647" s="22">
        <f>Source!AO458</f>
        <v>340.64</v>
      </c>
      <c r="H647" s="21" t="str">
        <f>Source!DG458</f>
        <v>)*2</v>
      </c>
      <c r="I647" s="9">
        <f>Source!AV458</f>
        <v>1</v>
      </c>
      <c r="J647" s="9">
        <f>IF(Source!BA458&lt;&gt; 0, Source!BA458, 1)</f>
        <v>1</v>
      </c>
      <c r="K647" s="22">
        <f>Source!S458</f>
        <v>4087.68</v>
      </c>
      <c r="L647" s="22"/>
    </row>
    <row r="648" spans="1:22" ht="14.25" x14ac:dyDescent="0.2">
      <c r="A648" s="19"/>
      <c r="B648" s="19"/>
      <c r="C648" s="19"/>
      <c r="D648" s="19" t="s">
        <v>834</v>
      </c>
      <c r="E648" s="20"/>
      <c r="F648" s="9"/>
      <c r="G648" s="22">
        <f>Source!AL458</f>
        <v>19.14</v>
      </c>
      <c r="H648" s="21" t="str">
        <f>Source!DD458</f>
        <v>)*2</v>
      </c>
      <c r="I648" s="9">
        <f>Source!AW458</f>
        <v>1</v>
      </c>
      <c r="J648" s="9">
        <f>IF(Source!BC458&lt;&gt; 0, Source!BC458, 1)</f>
        <v>1</v>
      </c>
      <c r="K648" s="22">
        <f>Source!P458</f>
        <v>229.68</v>
      </c>
      <c r="L648" s="22"/>
    </row>
    <row r="649" spans="1:22" ht="14.25" x14ac:dyDescent="0.2">
      <c r="A649" s="19"/>
      <c r="B649" s="19"/>
      <c r="C649" s="19"/>
      <c r="D649" s="19" t="s">
        <v>828</v>
      </c>
      <c r="E649" s="20" t="s">
        <v>829</v>
      </c>
      <c r="F649" s="9">
        <f>Source!AT458</f>
        <v>70</v>
      </c>
      <c r="G649" s="22"/>
      <c r="H649" s="21"/>
      <c r="I649" s="9"/>
      <c r="J649" s="9"/>
      <c r="K649" s="22">
        <f>SUM(R645:R648)</f>
        <v>2861.38</v>
      </c>
      <c r="L649" s="22"/>
    </row>
    <row r="650" spans="1:22" ht="14.25" x14ac:dyDescent="0.2">
      <c r="A650" s="19"/>
      <c r="B650" s="19"/>
      <c r="C650" s="19"/>
      <c r="D650" s="19" t="s">
        <v>830</v>
      </c>
      <c r="E650" s="20" t="s">
        <v>829</v>
      </c>
      <c r="F650" s="9">
        <f>Source!AU458</f>
        <v>10</v>
      </c>
      <c r="G650" s="22"/>
      <c r="H650" s="21"/>
      <c r="I650" s="9"/>
      <c r="J650" s="9"/>
      <c r="K650" s="22">
        <f>SUM(T645:T649)</f>
        <v>408.77</v>
      </c>
      <c r="L650" s="22"/>
    </row>
    <row r="651" spans="1:22" ht="14.25" x14ac:dyDescent="0.2">
      <c r="A651" s="19"/>
      <c r="B651" s="19"/>
      <c r="C651" s="19"/>
      <c r="D651" s="19" t="s">
        <v>832</v>
      </c>
      <c r="E651" s="20" t="s">
        <v>833</v>
      </c>
      <c r="F651" s="9">
        <f>Source!AQ458</f>
        <v>0.48</v>
      </c>
      <c r="G651" s="22"/>
      <c r="H651" s="21" t="str">
        <f>Source!DI458</f>
        <v>)*2</v>
      </c>
      <c r="I651" s="9">
        <f>Source!AV458</f>
        <v>1</v>
      </c>
      <c r="J651" s="9"/>
      <c r="K651" s="22"/>
      <c r="L651" s="22">
        <f>Source!U458</f>
        <v>5.76</v>
      </c>
    </row>
    <row r="652" spans="1:22" ht="15" x14ac:dyDescent="0.25">
      <c r="A652" s="27"/>
      <c r="B652" s="27"/>
      <c r="C652" s="27"/>
      <c r="D652" s="27"/>
      <c r="E652" s="27"/>
      <c r="F652" s="27"/>
      <c r="G652" s="27"/>
      <c r="H652" s="27"/>
      <c r="I652" s="27"/>
      <c r="J652" s="60">
        <f>K647+K648+K649+K650</f>
        <v>7587.51</v>
      </c>
      <c r="K652" s="60"/>
      <c r="L652" s="28">
        <f>IF(Source!I458&lt;&gt;0, ROUND(J652/Source!I458, 2), 0)</f>
        <v>1264.5899999999999</v>
      </c>
      <c r="P652" s="25">
        <f>J652</f>
        <v>7587.51</v>
      </c>
    </row>
    <row r="653" spans="1:22" ht="57" x14ac:dyDescent="0.2">
      <c r="A653" s="19">
        <v>60</v>
      </c>
      <c r="B653" s="19">
        <v>60</v>
      </c>
      <c r="C653" s="19" t="str">
        <f>Source!F459</f>
        <v>1.23-2103-9-1/1</v>
      </c>
      <c r="D653" s="19" t="str">
        <f>Source!G459</f>
        <v>Техническое обслуживание приборов для измерения температуры, термометры манометрические, тип ТПП-СК</v>
      </c>
      <c r="E653" s="20" t="str">
        <f>Source!H459</f>
        <v>шт.</v>
      </c>
      <c r="F653" s="9">
        <f>Source!I459</f>
        <v>18</v>
      </c>
      <c r="G653" s="22"/>
      <c r="H653" s="21"/>
      <c r="I653" s="9"/>
      <c r="J653" s="9"/>
      <c r="K653" s="22"/>
      <c r="L653" s="22"/>
      <c r="Q653">
        <f>ROUND((Source!BZ459/100)*ROUND((Source!AF459*Source!AV459)*Source!I459, 2), 2)</f>
        <v>8480.56</v>
      </c>
      <c r="R653">
        <f>Source!X459</f>
        <v>8480.56</v>
      </c>
      <c r="S653">
        <f>ROUND((Source!CA459/100)*ROUND((Source!AF459*Source!AV459)*Source!I459, 2), 2)</f>
        <v>1211.51</v>
      </c>
      <c r="T653">
        <f>Source!Y459</f>
        <v>1211.51</v>
      </c>
      <c r="U653">
        <f>ROUND((175/100)*ROUND((Source!AE459*Source!AV459)*Source!I459, 2), 2)</f>
        <v>0</v>
      </c>
      <c r="V653">
        <f>ROUND((108/100)*ROUND(Source!CS459*Source!I459, 2), 2)</f>
        <v>0</v>
      </c>
    </row>
    <row r="654" spans="1:22" x14ac:dyDescent="0.2">
      <c r="D654" s="23" t="str">
        <f>"Объем: "&amp;Source!I459&amp;"=(3+"&amp;"3)*"&amp;"3"</f>
        <v>Объем: 18=(3+3)*3</v>
      </c>
    </row>
    <row r="655" spans="1:22" ht="14.25" x14ac:dyDescent="0.2">
      <c r="A655" s="19"/>
      <c r="B655" s="19"/>
      <c r="C655" s="19"/>
      <c r="D655" s="19" t="s">
        <v>825</v>
      </c>
      <c r="E655" s="20"/>
      <c r="F655" s="9"/>
      <c r="G655" s="22">
        <f>Source!AO459</f>
        <v>673.06</v>
      </c>
      <c r="H655" s="21" t="str">
        <f>Source!DG459</f>
        <v/>
      </c>
      <c r="I655" s="9">
        <f>Source!AV459</f>
        <v>1</v>
      </c>
      <c r="J655" s="9">
        <f>IF(Source!BA459&lt;&gt; 0, Source!BA459, 1)</f>
        <v>1</v>
      </c>
      <c r="K655" s="22">
        <f>Source!S459</f>
        <v>12115.08</v>
      </c>
      <c r="L655" s="22"/>
    </row>
    <row r="656" spans="1:22" ht="14.25" x14ac:dyDescent="0.2">
      <c r="A656" s="19"/>
      <c r="B656" s="19"/>
      <c r="C656" s="19"/>
      <c r="D656" s="19" t="s">
        <v>828</v>
      </c>
      <c r="E656" s="20" t="s">
        <v>829</v>
      </c>
      <c r="F656" s="9">
        <f>Source!AT459</f>
        <v>70</v>
      </c>
      <c r="G656" s="22"/>
      <c r="H656" s="21"/>
      <c r="I656" s="9"/>
      <c r="J656" s="9"/>
      <c r="K656" s="22">
        <f>SUM(R653:R655)</f>
        <v>8480.56</v>
      </c>
      <c r="L656" s="22"/>
    </row>
    <row r="657" spans="1:22" ht="14.25" x14ac:dyDescent="0.2">
      <c r="A657" s="19"/>
      <c r="B657" s="19"/>
      <c r="C657" s="19"/>
      <c r="D657" s="19" t="s">
        <v>830</v>
      </c>
      <c r="E657" s="20" t="s">
        <v>829</v>
      </c>
      <c r="F657" s="9">
        <f>Source!AU459</f>
        <v>10</v>
      </c>
      <c r="G657" s="22"/>
      <c r="H657" s="21"/>
      <c r="I657" s="9"/>
      <c r="J657" s="9"/>
      <c r="K657" s="22">
        <f>SUM(T653:T656)</f>
        <v>1211.51</v>
      </c>
      <c r="L657" s="22"/>
    </row>
    <row r="658" spans="1:22" ht="14.25" x14ac:dyDescent="0.2">
      <c r="A658" s="19"/>
      <c r="B658" s="19"/>
      <c r="C658" s="19"/>
      <c r="D658" s="19" t="s">
        <v>832</v>
      </c>
      <c r="E658" s="20" t="s">
        <v>833</v>
      </c>
      <c r="F658" s="9">
        <f>Source!AQ459</f>
        <v>1.0900000000000001</v>
      </c>
      <c r="G658" s="22"/>
      <c r="H658" s="21" t="str">
        <f>Source!DI459</f>
        <v/>
      </c>
      <c r="I658" s="9">
        <f>Source!AV459</f>
        <v>1</v>
      </c>
      <c r="J658" s="9"/>
      <c r="K658" s="22"/>
      <c r="L658" s="22">
        <f>Source!U459</f>
        <v>19.62</v>
      </c>
    </row>
    <row r="659" spans="1:22" ht="15" x14ac:dyDescent="0.25">
      <c r="A659" s="27"/>
      <c r="B659" s="27"/>
      <c r="C659" s="27"/>
      <c r="D659" s="27"/>
      <c r="E659" s="27"/>
      <c r="F659" s="27"/>
      <c r="G659" s="27"/>
      <c r="H659" s="27"/>
      <c r="I659" s="27"/>
      <c r="J659" s="60">
        <f>K655+K656+K657</f>
        <v>21807.149999999998</v>
      </c>
      <c r="K659" s="60"/>
      <c r="L659" s="28">
        <f>IF(Source!I459&lt;&gt;0, ROUND(J659/Source!I459, 2), 0)</f>
        <v>1211.51</v>
      </c>
      <c r="P659" s="25">
        <f>J659</f>
        <v>21807.149999999998</v>
      </c>
    </row>
    <row r="661" spans="1:22" ht="15" x14ac:dyDescent="0.25">
      <c r="C661" s="56" t="str">
        <f>Source!G463</f>
        <v>Корпуса 7.2.4</v>
      </c>
      <c r="D661" s="56"/>
      <c r="E661" s="56"/>
      <c r="F661" s="56"/>
      <c r="G661" s="56"/>
      <c r="H661" s="56"/>
      <c r="I661" s="56"/>
      <c r="J661" s="56"/>
      <c r="K661" s="56"/>
    </row>
    <row r="662" spans="1:22" ht="42.75" x14ac:dyDescent="0.2">
      <c r="A662" s="19">
        <v>61</v>
      </c>
      <c r="B662" s="19">
        <v>61</v>
      </c>
      <c r="C662" s="19" t="str">
        <f>Source!F466</f>
        <v>1.18-2403-21-4/1</v>
      </c>
      <c r="D662" s="19" t="str">
        <f>Source!G466</f>
        <v>Техническое обслуживание приточных установок производительностью до 5000 м3/ч - ежеквартальное</v>
      </c>
      <c r="E662" s="20" t="str">
        <f>Source!H466</f>
        <v>установка</v>
      </c>
      <c r="F662" s="9">
        <f>Source!I466</f>
        <v>3</v>
      </c>
      <c r="G662" s="22"/>
      <c r="H662" s="21"/>
      <c r="I662" s="9"/>
      <c r="J662" s="9"/>
      <c r="K662" s="22"/>
      <c r="L662" s="22"/>
      <c r="Q662">
        <f>ROUND((Source!BZ466/100)*ROUND((Source!AF466*Source!AV466)*Source!I466, 2), 2)</f>
        <v>8751.25</v>
      </c>
      <c r="R662">
        <f>Source!X466</f>
        <v>8751.25</v>
      </c>
      <c r="S662">
        <f>ROUND((Source!CA466/100)*ROUND((Source!AF466*Source!AV466)*Source!I466, 2), 2)</f>
        <v>1250.18</v>
      </c>
      <c r="T662">
        <f>Source!Y466</f>
        <v>1250.18</v>
      </c>
      <c r="U662">
        <f>ROUND((175/100)*ROUND((Source!AE466*Source!AV466)*Source!I466, 2), 2)</f>
        <v>0.21</v>
      </c>
      <c r="V662">
        <f>ROUND((108/100)*ROUND(Source!CS466*Source!I466, 2), 2)</f>
        <v>0.13</v>
      </c>
    </row>
    <row r="663" spans="1:22" ht="14.25" x14ac:dyDescent="0.2">
      <c r="A663" s="19"/>
      <c r="B663" s="19"/>
      <c r="C663" s="19"/>
      <c r="D663" s="19" t="s">
        <v>825</v>
      </c>
      <c r="E663" s="20"/>
      <c r="F663" s="9"/>
      <c r="G663" s="22">
        <f>Source!AO466</f>
        <v>2083.63</v>
      </c>
      <c r="H663" s="21" t="str">
        <f>Source!DG466</f>
        <v>)*2</v>
      </c>
      <c r="I663" s="9">
        <f>Source!AV466</f>
        <v>1</v>
      </c>
      <c r="J663" s="9">
        <f>IF(Source!BA466&lt;&gt; 0, Source!BA466, 1)</f>
        <v>1</v>
      </c>
      <c r="K663" s="22">
        <f>Source!S466</f>
        <v>12501.78</v>
      </c>
      <c r="L663" s="22"/>
    </row>
    <row r="664" spans="1:22" ht="14.25" x14ac:dyDescent="0.2">
      <c r="A664" s="19"/>
      <c r="B664" s="19"/>
      <c r="C664" s="19"/>
      <c r="D664" s="19" t="s">
        <v>826</v>
      </c>
      <c r="E664" s="20"/>
      <c r="F664" s="9"/>
      <c r="G664" s="22">
        <f>Source!AM466</f>
        <v>1.79</v>
      </c>
      <c r="H664" s="21" t="str">
        <f>Source!DE466</f>
        <v>)*2</v>
      </c>
      <c r="I664" s="9">
        <f>Source!AV466</f>
        <v>1</v>
      </c>
      <c r="J664" s="9">
        <f>IF(Source!BB466&lt;&gt; 0, Source!BB466, 1)</f>
        <v>1</v>
      </c>
      <c r="K664" s="22">
        <f>Source!Q466</f>
        <v>10.74</v>
      </c>
      <c r="L664" s="22"/>
    </row>
    <row r="665" spans="1:22" ht="14.25" x14ac:dyDescent="0.2">
      <c r="A665" s="19"/>
      <c r="B665" s="19"/>
      <c r="C665" s="19"/>
      <c r="D665" s="19" t="s">
        <v>827</v>
      </c>
      <c r="E665" s="20"/>
      <c r="F665" s="9"/>
      <c r="G665" s="22">
        <f>Source!AN466</f>
        <v>0.02</v>
      </c>
      <c r="H665" s="21" t="str">
        <f>Source!DF466</f>
        <v>)*2</v>
      </c>
      <c r="I665" s="9">
        <f>Source!AV466</f>
        <v>1</v>
      </c>
      <c r="J665" s="9">
        <f>IF(Source!BS466&lt;&gt; 0, Source!BS466, 1)</f>
        <v>1</v>
      </c>
      <c r="K665" s="24">
        <f>Source!R466</f>
        <v>0.12</v>
      </c>
      <c r="L665" s="22"/>
    </row>
    <row r="666" spans="1:22" ht="14.25" x14ac:dyDescent="0.2">
      <c r="A666" s="19"/>
      <c r="B666" s="19"/>
      <c r="C666" s="19"/>
      <c r="D666" s="19" t="s">
        <v>834</v>
      </c>
      <c r="E666" s="20"/>
      <c r="F666" s="9"/>
      <c r="G666" s="22">
        <f>Source!AL466</f>
        <v>10.08</v>
      </c>
      <c r="H666" s="21" t="str">
        <f>Source!DD466</f>
        <v>)*2</v>
      </c>
      <c r="I666" s="9">
        <f>Source!AW466</f>
        <v>1</v>
      </c>
      <c r="J666" s="9">
        <f>IF(Source!BC466&lt;&gt; 0, Source!BC466, 1)</f>
        <v>1</v>
      </c>
      <c r="K666" s="22">
        <f>Source!P466</f>
        <v>60.48</v>
      </c>
      <c r="L666" s="22"/>
    </row>
    <row r="667" spans="1:22" ht="14.25" x14ac:dyDescent="0.2">
      <c r="A667" s="19"/>
      <c r="B667" s="19"/>
      <c r="C667" s="19"/>
      <c r="D667" s="19" t="s">
        <v>828</v>
      </c>
      <c r="E667" s="20" t="s">
        <v>829</v>
      </c>
      <c r="F667" s="9">
        <f>Source!AT466</f>
        <v>70</v>
      </c>
      <c r="G667" s="22"/>
      <c r="H667" s="21"/>
      <c r="I667" s="9"/>
      <c r="J667" s="9"/>
      <c r="K667" s="22">
        <f>SUM(R662:R666)</f>
        <v>8751.25</v>
      </c>
      <c r="L667" s="22"/>
    </row>
    <row r="668" spans="1:22" ht="14.25" x14ac:dyDescent="0.2">
      <c r="A668" s="19"/>
      <c r="B668" s="19"/>
      <c r="C668" s="19"/>
      <c r="D668" s="19" t="s">
        <v>830</v>
      </c>
      <c r="E668" s="20" t="s">
        <v>829</v>
      </c>
      <c r="F668" s="9">
        <f>Source!AU466</f>
        <v>10</v>
      </c>
      <c r="G668" s="22"/>
      <c r="H668" s="21"/>
      <c r="I668" s="9"/>
      <c r="J668" s="9"/>
      <c r="K668" s="22">
        <f>SUM(T662:T667)</f>
        <v>1250.18</v>
      </c>
      <c r="L668" s="22"/>
    </row>
    <row r="669" spans="1:22" ht="14.25" x14ac:dyDescent="0.2">
      <c r="A669" s="19"/>
      <c r="B669" s="19"/>
      <c r="C669" s="19"/>
      <c r="D669" s="19" t="s">
        <v>831</v>
      </c>
      <c r="E669" s="20" t="s">
        <v>829</v>
      </c>
      <c r="F669" s="9">
        <f>108</f>
        <v>108</v>
      </c>
      <c r="G669" s="22"/>
      <c r="H669" s="21"/>
      <c r="I669" s="9"/>
      <c r="J669" s="9"/>
      <c r="K669" s="22">
        <f>SUM(V662:V668)</f>
        <v>0.13</v>
      </c>
      <c r="L669" s="22"/>
    </row>
    <row r="670" spans="1:22" ht="14.25" x14ac:dyDescent="0.2">
      <c r="A670" s="19"/>
      <c r="B670" s="19"/>
      <c r="C670" s="19"/>
      <c r="D670" s="19" t="s">
        <v>832</v>
      </c>
      <c r="E670" s="20" t="s">
        <v>833</v>
      </c>
      <c r="F670" s="9">
        <f>Source!AQ466</f>
        <v>3.14</v>
      </c>
      <c r="G670" s="22"/>
      <c r="H670" s="21" t="str">
        <f>Source!DI466</f>
        <v>)*2</v>
      </c>
      <c r="I670" s="9">
        <f>Source!AV466</f>
        <v>1</v>
      </c>
      <c r="J670" s="9"/>
      <c r="K670" s="22"/>
      <c r="L670" s="22">
        <f>Source!U466</f>
        <v>18.84</v>
      </c>
    </row>
    <row r="671" spans="1:22" ht="15" x14ac:dyDescent="0.25">
      <c r="A671" s="27"/>
      <c r="B671" s="27"/>
      <c r="C671" s="27"/>
      <c r="D671" s="27"/>
      <c r="E671" s="27"/>
      <c r="F671" s="27"/>
      <c r="G671" s="27"/>
      <c r="H671" s="27"/>
      <c r="I671" s="27"/>
      <c r="J671" s="60">
        <f>K663+K664+K666+K667+K668+K669</f>
        <v>22574.560000000001</v>
      </c>
      <c r="K671" s="60"/>
      <c r="L671" s="28">
        <f>IF(Source!I466&lt;&gt;0, ROUND(J671/Source!I466, 2), 0)</f>
        <v>7524.85</v>
      </c>
      <c r="P671" s="25">
        <f>J671</f>
        <v>22574.560000000001</v>
      </c>
    </row>
    <row r="672" spans="1:22" ht="57" x14ac:dyDescent="0.2">
      <c r="A672" s="19">
        <v>62</v>
      </c>
      <c r="B672" s="19">
        <v>62</v>
      </c>
      <c r="C672" s="19" t="str">
        <f>Source!F474</f>
        <v>1.18-2403-20-3/1</v>
      </c>
      <c r="D672" s="19" t="str">
        <f>Source!G474</f>
        <v>Техническое обслуживание вытяжных установок производительностью до 5000 м3/ч - ежеквартальное / применительно до 2000 м3/ч</v>
      </c>
      <c r="E672" s="20" t="str">
        <f>Source!H474</f>
        <v>установка</v>
      </c>
      <c r="F672" s="9">
        <f>Source!I474</f>
        <v>6</v>
      </c>
      <c r="G672" s="22"/>
      <c r="H672" s="21"/>
      <c r="I672" s="9"/>
      <c r="J672" s="9"/>
      <c r="K672" s="22"/>
      <c r="L672" s="22"/>
      <c r="Q672">
        <f>ROUND((Source!BZ474/100)*ROUND((Source!AF474*Source!AV474)*Source!I474, 2), 2)</f>
        <v>13266.2</v>
      </c>
      <c r="R672">
        <f>Source!X474</f>
        <v>13266.2</v>
      </c>
      <c r="S672">
        <f>ROUND((Source!CA474/100)*ROUND((Source!AF474*Source!AV474)*Source!I474, 2), 2)</f>
        <v>1895.17</v>
      </c>
      <c r="T672">
        <f>Source!Y474</f>
        <v>1895.17</v>
      </c>
      <c r="U672">
        <f>ROUND((175/100)*ROUND((Source!AE474*Source!AV474)*Source!I474, 2), 2)</f>
        <v>0</v>
      </c>
      <c r="V672">
        <f>ROUND((108/100)*ROUND(Source!CS474*Source!I474, 2), 2)</f>
        <v>0</v>
      </c>
    </row>
    <row r="673" spans="1:22" ht="14.25" x14ac:dyDescent="0.2">
      <c r="A673" s="19"/>
      <c r="B673" s="19"/>
      <c r="C673" s="19"/>
      <c r="D673" s="19" t="s">
        <v>825</v>
      </c>
      <c r="E673" s="20"/>
      <c r="F673" s="9"/>
      <c r="G673" s="22">
        <f>Source!AO474</f>
        <v>1579.31</v>
      </c>
      <c r="H673" s="21" t="str">
        <f>Source!DG474</f>
        <v>)*2</v>
      </c>
      <c r="I673" s="9">
        <f>Source!AV474</f>
        <v>1</v>
      </c>
      <c r="J673" s="9">
        <f>IF(Source!BA474&lt;&gt; 0, Source!BA474, 1)</f>
        <v>1</v>
      </c>
      <c r="K673" s="22">
        <f>Source!S474</f>
        <v>18951.72</v>
      </c>
      <c r="L673" s="22"/>
    </row>
    <row r="674" spans="1:22" ht="14.25" x14ac:dyDescent="0.2">
      <c r="A674" s="19"/>
      <c r="B674" s="19"/>
      <c r="C674" s="19"/>
      <c r="D674" s="19" t="s">
        <v>834</v>
      </c>
      <c r="E674" s="20"/>
      <c r="F674" s="9"/>
      <c r="G674" s="22">
        <f>Source!AL474</f>
        <v>0.03</v>
      </c>
      <c r="H674" s="21" t="str">
        <f>Source!DD474</f>
        <v>)*2</v>
      </c>
      <c r="I674" s="9">
        <f>Source!AW474</f>
        <v>1</v>
      </c>
      <c r="J674" s="9">
        <f>IF(Source!BC474&lt;&gt; 0, Source!BC474, 1)</f>
        <v>1</v>
      </c>
      <c r="K674" s="22">
        <f>Source!P474</f>
        <v>0.36</v>
      </c>
      <c r="L674" s="22"/>
    </row>
    <row r="675" spans="1:22" ht="14.25" x14ac:dyDescent="0.2">
      <c r="A675" s="19"/>
      <c r="B675" s="19"/>
      <c r="C675" s="19"/>
      <c r="D675" s="19" t="s">
        <v>828</v>
      </c>
      <c r="E675" s="20" t="s">
        <v>829</v>
      </c>
      <c r="F675" s="9">
        <f>Source!AT474</f>
        <v>70</v>
      </c>
      <c r="G675" s="22"/>
      <c r="H675" s="21"/>
      <c r="I675" s="9"/>
      <c r="J675" s="9"/>
      <c r="K675" s="22">
        <f>SUM(R672:R674)</f>
        <v>13266.2</v>
      </c>
      <c r="L675" s="22"/>
    </row>
    <row r="676" spans="1:22" ht="14.25" x14ac:dyDescent="0.2">
      <c r="A676" s="19"/>
      <c r="B676" s="19"/>
      <c r="C676" s="19"/>
      <c r="D676" s="19" t="s">
        <v>830</v>
      </c>
      <c r="E676" s="20" t="s">
        <v>829</v>
      </c>
      <c r="F676" s="9">
        <f>Source!AU474</f>
        <v>10</v>
      </c>
      <c r="G676" s="22"/>
      <c r="H676" s="21"/>
      <c r="I676" s="9"/>
      <c r="J676" s="9"/>
      <c r="K676" s="22">
        <f>SUM(T672:T675)</f>
        <v>1895.17</v>
      </c>
      <c r="L676" s="22"/>
    </row>
    <row r="677" spans="1:22" ht="14.25" x14ac:dyDescent="0.2">
      <c r="A677" s="19"/>
      <c r="B677" s="19"/>
      <c r="C677" s="19"/>
      <c r="D677" s="19" t="s">
        <v>832</v>
      </c>
      <c r="E677" s="20" t="s">
        <v>833</v>
      </c>
      <c r="F677" s="9">
        <f>Source!AQ474</f>
        <v>2.38</v>
      </c>
      <c r="G677" s="22"/>
      <c r="H677" s="21" t="str">
        <f>Source!DI474</f>
        <v>)*2</v>
      </c>
      <c r="I677" s="9">
        <f>Source!AV474</f>
        <v>1</v>
      </c>
      <c r="J677" s="9"/>
      <c r="K677" s="22"/>
      <c r="L677" s="22">
        <f>Source!U474</f>
        <v>28.56</v>
      </c>
    </row>
    <row r="678" spans="1:22" ht="15" x14ac:dyDescent="0.25">
      <c r="A678" s="27"/>
      <c r="B678" s="27"/>
      <c r="C678" s="27"/>
      <c r="D678" s="27"/>
      <c r="E678" s="27"/>
      <c r="F678" s="27"/>
      <c r="G678" s="27"/>
      <c r="H678" s="27"/>
      <c r="I678" s="27"/>
      <c r="J678" s="60">
        <f>K673+K674+K675+K676</f>
        <v>34113.450000000004</v>
      </c>
      <c r="K678" s="60"/>
      <c r="L678" s="28">
        <f>IF(Source!I474&lt;&gt;0, ROUND(J678/Source!I474, 2), 0)</f>
        <v>5685.58</v>
      </c>
      <c r="P678" s="25">
        <f>J678</f>
        <v>34113.450000000004</v>
      </c>
    </row>
    <row r="679" spans="1:22" ht="42.75" x14ac:dyDescent="0.2">
      <c r="A679" s="19">
        <v>63</v>
      </c>
      <c r="B679" s="19">
        <v>63</v>
      </c>
      <c r="C679" s="19" t="str">
        <f>Source!F478</f>
        <v>1.18-2403-21-4/1</v>
      </c>
      <c r="D679" s="19" t="str">
        <f>Source!G478</f>
        <v>Техническое обслуживание приточных установок производительностью до 5000 м3/ч - ежеквартальное</v>
      </c>
      <c r="E679" s="20" t="str">
        <f>Source!H478</f>
        <v>установка</v>
      </c>
      <c r="F679" s="9">
        <f>Source!I478</f>
        <v>2</v>
      </c>
      <c r="G679" s="22"/>
      <c r="H679" s="21"/>
      <c r="I679" s="9"/>
      <c r="J679" s="9"/>
      <c r="K679" s="22"/>
      <c r="L679" s="22"/>
      <c r="Q679">
        <f>ROUND((Source!BZ478/100)*ROUND((Source!AF478*Source!AV478)*Source!I478, 2), 2)</f>
        <v>5834.16</v>
      </c>
      <c r="R679">
        <f>Source!X478</f>
        <v>5834.16</v>
      </c>
      <c r="S679">
        <f>ROUND((Source!CA478/100)*ROUND((Source!AF478*Source!AV478)*Source!I478, 2), 2)</f>
        <v>833.45</v>
      </c>
      <c r="T679">
        <f>Source!Y478</f>
        <v>833.45</v>
      </c>
      <c r="U679">
        <f>ROUND((175/100)*ROUND((Source!AE478*Source!AV478)*Source!I478, 2), 2)</f>
        <v>0.14000000000000001</v>
      </c>
      <c r="V679">
        <f>ROUND((108/100)*ROUND(Source!CS478*Source!I478, 2), 2)</f>
        <v>0.09</v>
      </c>
    </row>
    <row r="680" spans="1:22" ht="14.25" x14ac:dyDescent="0.2">
      <c r="A680" s="19"/>
      <c r="B680" s="19"/>
      <c r="C680" s="19"/>
      <c r="D680" s="19" t="s">
        <v>825</v>
      </c>
      <c r="E680" s="20"/>
      <c r="F680" s="9"/>
      <c r="G680" s="22">
        <f>Source!AO478</f>
        <v>2083.63</v>
      </c>
      <c r="H680" s="21" t="str">
        <f>Source!DG478</f>
        <v>)*2</v>
      </c>
      <c r="I680" s="9">
        <f>Source!AV478</f>
        <v>1</v>
      </c>
      <c r="J680" s="9">
        <f>IF(Source!BA478&lt;&gt; 0, Source!BA478, 1)</f>
        <v>1</v>
      </c>
      <c r="K680" s="22">
        <f>Source!S478</f>
        <v>8334.52</v>
      </c>
      <c r="L680" s="22"/>
    </row>
    <row r="681" spans="1:22" ht="14.25" x14ac:dyDescent="0.2">
      <c r="A681" s="19"/>
      <c r="B681" s="19"/>
      <c r="C681" s="19"/>
      <c r="D681" s="19" t="s">
        <v>826</v>
      </c>
      <c r="E681" s="20"/>
      <c r="F681" s="9"/>
      <c r="G681" s="22">
        <f>Source!AM478</f>
        <v>1.79</v>
      </c>
      <c r="H681" s="21" t="str">
        <f>Source!DE478</f>
        <v>)*2</v>
      </c>
      <c r="I681" s="9">
        <f>Source!AV478</f>
        <v>1</v>
      </c>
      <c r="J681" s="9">
        <f>IF(Source!BB478&lt;&gt; 0, Source!BB478, 1)</f>
        <v>1</v>
      </c>
      <c r="K681" s="22">
        <f>Source!Q478</f>
        <v>7.16</v>
      </c>
      <c r="L681" s="22"/>
    </row>
    <row r="682" spans="1:22" ht="14.25" x14ac:dyDescent="0.2">
      <c r="A682" s="19"/>
      <c r="B682" s="19"/>
      <c r="C682" s="19"/>
      <c r="D682" s="19" t="s">
        <v>827</v>
      </c>
      <c r="E682" s="20"/>
      <c r="F682" s="9"/>
      <c r="G682" s="22">
        <f>Source!AN478</f>
        <v>0.02</v>
      </c>
      <c r="H682" s="21" t="str">
        <f>Source!DF478</f>
        <v>)*2</v>
      </c>
      <c r="I682" s="9">
        <f>Source!AV478</f>
        <v>1</v>
      </c>
      <c r="J682" s="9">
        <f>IF(Source!BS478&lt;&gt; 0, Source!BS478, 1)</f>
        <v>1</v>
      </c>
      <c r="K682" s="24">
        <f>Source!R478</f>
        <v>0.08</v>
      </c>
      <c r="L682" s="22"/>
    </row>
    <row r="683" spans="1:22" ht="14.25" x14ac:dyDescent="0.2">
      <c r="A683" s="19"/>
      <c r="B683" s="19"/>
      <c r="C683" s="19"/>
      <c r="D683" s="19" t="s">
        <v>834</v>
      </c>
      <c r="E683" s="20"/>
      <c r="F683" s="9"/>
      <c r="G683" s="22">
        <f>Source!AL478</f>
        <v>10.08</v>
      </c>
      <c r="H683" s="21" t="str">
        <f>Source!DD478</f>
        <v>)*2</v>
      </c>
      <c r="I683" s="9">
        <f>Source!AW478</f>
        <v>1</v>
      </c>
      <c r="J683" s="9">
        <f>IF(Source!BC478&lt;&gt; 0, Source!BC478, 1)</f>
        <v>1</v>
      </c>
      <c r="K683" s="22">
        <f>Source!P478</f>
        <v>40.32</v>
      </c>
      <c r="L683" s="22"/>
    </row>
    <row r="684" spans="1:22" ht="14.25" x14ac:dyDescent="0.2">
      <c r="A684" s="19"/>
      <c r="B684" s="19"/>
      <c r="C684" s="19"/>
      <c r="D684" s="19" t="s">
        <v>828</v>
      </c>
      <c r="E684" s="20" t="s">
        <v>829</v>
      </c>
      <c r="F684" s="9">
        <f>Source!AT478</f>
        <v>70</v>
      </c>
      <c r="G684" s="22"/>
      <c r="H684" s="21"/>
      <c r="I684" s="9"/>
      <c r="J684" s="9"/>
      <c r="K684" s="22">
        <f>SUM(R679:R683)</f>
        <v>5834.16</v>
      </c>
      <c r="L684" s="22"/>
    </row>
    <row r="685" spans="1:22" ht="14.25" x14ac:dyDescent="0.2">
      <c r="A685" s="19"/>
      <c r="B685" s="19"/>
      <c r="C685" s="19"/>
      <c r="D685" s="19" t="s">
        <v>830</v>
      </c>
      <c r="E685" s="20" t="s">
        <v>829</v>
      </c>
      <c r="F685" s="9">
        <f>Source!AU478</f>
        <v>10</v>
      </c>
      <c r="G685" s="22"/>
      <c r="H685" s="21"/>
      <c r="I685" s="9"/>
      <c r="J685" s="9"/>
      <c r="K685" s="22">
        <f>SUM(T679:T684)</f>
        <v>833.45</v>
      </c>
      <c r="L685" s="22"/>
    </row>
    <row r="686" spans="1:22" ht="14.25" x14ac:dyDescent="0.2">
      <c r="A686" s="19"/>
      <c r="B686" s="19"/>
      <c r="C686" s="19"/>
      <c r="D686" s="19" t="s">
        <v>831</v>
      </c>
      <c r="E686" s="20" t="s">
        <v>829</v>
      </c>
      <c r="F686" s="9">
        <f>108</f>
        <v>108</v>
      </c>
      <c r="G686" s="22"/>
      <c r="H686" s="21"/>
      <c r="I686" s="9"/>
      <c r="J686" s="9"/>
      <c r="K686" s="22">
        <f>SUM(V679:V685)</f>
        <v>0.09</v>
      </c>
      <c r="L686" s="22"/>
    </row>
    <row r="687" spans="1:22" ht="14.25" x14ac:dyDescent="0.2">
      <c r="A687" s="19"/>
      <c r="B687" s="19"/>
      <c r="C687" s="19"/>
      <c r="D687" s="19" t="s">
        <v>832</v>
      </c>
      <c r="E687" s="20" t="s">
        <v>833</v>
      </c>
      <c r="F687" s="9">
        <f>Source!AQ478</f>
        <v>3.14</v>
      </c>
      <c r="G687" s="22"/>
      <c r="H687" s="21" t="str">
        <f>Source!DI478</f>
        <v>)*2</v>
      </c>
      <c r="I687" s="9">
        <f>Source!AV478</f>
        <v>1</v>
      </c>
      <c r="J687" s="9"/>
      <c r="K687" s="22"/>
      <c r="L687" s="22">
        <f>Source!U478</f>
        <v>12.56</v>
      </c>
    </row>
    <row r="688" spans="1:22" ht="15" x14ac:dyDescent="0.25">
      <c r="A688" s="27"/>
      <c r="B688" s="27"/>
      <c r="C688" s="27"/>
      <c r="D688" s="27"/>
      <c r="E688" s="27"/>
      <c r="F688" s="27"/>
      <c r="G688" s="27"/>
      <c r="H688" s="27"/>
      <c r="I688" s="27"/>
      <c r="J688" s="60">
        <f>K680+K681+K683+K684+K685+K686</f>
        <v>15049.7</v>
      </c>
      <c r="K688" s="60"/>
      <c r="L688" s="28">
        <f>IF(Source!I478&lt;&gt;0, ROUND(J688/Source!I478, 2), 0)</f>
        <v>7524.85</v>
      </c>
      <c r="P688" s="25">
        <f>J688</f>
        <v>15049.7</v>
      </c>
    </row>
    <row r="690" spans="1:22" ht="15" x14ac:dyDescent="0.25">
      <c r="A690" s="59" t="str">
        <f>CONCATENATE("Итого по подразделу: ",IF(Source!G484&lt;&gt;"Новый подраздел", Source!G484, ""))</f>
        <v>Итого по подразделу: Вентиляция</v>
      </c>
      <c r="B690" s="59"/>
      <c r="C690" s="59"/>
      <c r="D690" s="59"/>
      <c r="E690" s="59"/>
      <c r="F690" s="59"/>
      <c r="G690" s="59"/>
      <c r="H690" s="59"/>
      <c r="I690" s="59"/>
      <c r="J690" s="57">
        <f>SUM(P615:P689)</f>
        <v>186449.48000000004</v>
      </c>
      <c r="K690" s="58"/>
      <c r="L690" s="18"/>
    </row>
    <row r="693" spans="1:22" ht="16.5" x14ac:dyDescent="0.25">
      <c r="A693" s="55" t="str">
        <f>CONCATENATE("Подраздел: ",IF(Source!G514&lt;&gt;"Новый подраздел", Source!G514, ""))</f>
        <v>Подраздел: Кондиционирование</v>
      </c>
      <c r="B693" s="55"/>
      <c r="C693" s="55"/>
      <c r="D693" s="55"/>
      <c r="E693" s="55"/>
      <c r="F693" s="55"/>
      <c r="G693" s="55"/>
      <c r="H693" s="55"/>
      <c r="I693" s="55"/>
      <c r="J693" s="55"/>
      <c r="K693" s="55"/>
      <c r="L693" s="55"/>
    </row>
    <row r="695" spans="1:22" ht="15" x14ac:dyDescent="0.25">
      <c r="C695" s="56" t="str">
        <f>Source!G518</f>
        <v>Корпуса 7.2.1 - 7.2.3</v>
      </c>
      <c r="D695" s="56"/>
      <c r="E695" s="56"/>
      <c r="F695" s="56"/>
      <c r="G695" s="56"/>
      <c r="H695" s="56"/>
      <c r="I695" s="56"/>
      <c r="J695" s="56"/>
      <c r="K695" s="56"/>
    </row>
    <row r="696" spans="1:22" ht="57" x14ac:dyDescent="0.2">
      <c r="A696" s="19">
        <v>64</v>
      </c>
      <c r="B696" s="19">
        <v>64</v>
      </c>
      <c r="C696" s="19" t="str">
        <f>Source!F520</f>
        <v>1.24-2103-45-4/1</v>
      </c>
      <c r="D696" s="19" t="str">
        <f>Source!G520</f>
        <v>Техническое обслуживание ежеквартальное холодильных установок мощностью 420 кВт / применительно до 50 кВт</v>
      </c>
      <c r="E696" s="20" t="str">
        <f>Source!H520</f>
        <v>установка</v>
      </c>
      <c r="F696" s="9">
        <f>Source!I520</f>
        <v>6</v>
      </c>
      <c r="G696" s="22"/>
      <c r="H696" s="21"/>
      <c r="I696" s="9"/>
      <c r="J696" s="9"/>
      <c r="K696" s="22"/>
      <c r="L696" s="22"/>
      <c r="Q696">
        <f>ROUND((Source!BZ520/100)*ROUND((Source!AF520*Source!AV520)*Source!I520, 2), 2)</f>
        <v>37949.86</v>
      </c>
      <c r="R696">
        <f>Source!X520</f>
        <v>37949.86</v>
      </c>
      <c r="S696">
        <f>ROUND((Source!CA520/100)*ROUND((Source!AF520*Source!AV520)*Source!I520, 2), 2)</f>
        <v>5421.41</v>
      </c>
      <c r="T696">
        <f>Source!Y520</f>
        <v>5421.41</v>
      </c>
      <c r="U696">
        <f>ROUND((175/100)*ROUND((Source!AE520*Source!AV520)*Source!I520, 2), 2)</f>
        <v>7287</v>
      </c>
      <c r="V696">
        <f>ROUND((108/100)*ROUND(Source!CS520*Source!I520, 2), 2)</f>
        <v>4497.12</v>
      </c>
    </row>
    <row r="697" spans="1:22" x14ac:dyDescent="0.2">
      <c r="D697" s="23" t="str">
        <f>"Объем: "&amp;Source!I520&amp;"=(1+"&amp;"1)*"&amp;"3"</f>
        <v>Объем: 6=(1+1)*3</v>
      </c>
    </row>
    <row r="698" spans="1:22" ht="14.25" x14ac:dyDescent="0.2">
      <c r="A698" s="19"/>
      <c r="B698" s="19"/>
      <c r="C698" s="19"/>
      <c r="D698" s="19" t="s">
        <v>825</v>
      </c>
      <c r="E698" s="20"/>
      <c r="F698" s="9"/>
      <c r="G698" s="22">
        <f>Source!AO520</f>
        <v>4517.84</v>
      </c>
      <c r="H698" s="21" t="str">
        <f>Source!DG520</f>
        <v>)*2</v>
      </c>
      <c r="I698" s="9">
        <f>Source!AV520</f>
        <v>1</v>
      </c>
      <c r="J698" s="9">
        <f>IF(Source!BA520&lt;&gt; 0, Source!BA520, 1)</f>
        <v>1</v>
      </c>
      <c r="K698" s="22">
        <f>Source!S520</f>
        <v>54214.080000000002</v>
      </c>
      <c r="L698" s="22"/>
    </row>
    <row r="699" spans="1:22" ht="14.25" x14ac:dyDescent="0.2">
      <c r="A699" s="19"/>
      <c r="B699" s="19"/>
      <c r="C699" s="19"/>
      <c r="D699" s="19" t="s">
        <v>826</v>
      </c>
      <c r="E699" s="20"/>
      <c r="F699" s="9"/>
      <c r="G699" s="22">
        <f>Source!AM520</f>
        <v>547.26</v>
      </c>
      <c r="H699" s="21" t="str">
        <f>Source!DE520</f>
        <v>)*2</v>
      </c>
      <c r="I699" s="9">
        <f>Source!AV520</f>
        <v>1</v>
      </c>
      <c r="J699" s="9">
        <f>IF(Source!BB520&lt;&gt; 0, Source!BB520, 1)</f>
        <v>1</v>
      </c>
      <c r="K699" s="22">
        <f>Source!Q520</f>
        <v>6567.12</v>
      </c>
      <c r="L699" s="22"/>
    </row>
    <row r="700" spans="1:22" ht="14.25" x14ac:dyDescent="0.2">
      <c r="A700" s="19"/>
      <c r="B700" s="19"/>
      <c r="C700" s="19"/>
      <c r="D700" s="19" t="s">
        <v>827</v>
      </c>
      <c r="E700" s="20"/>
      <c r="F700" s="9"/>
      <c r="G700" s="22">
        <f>Source!AN520</f>
        <v>347</v>
      </c>
      <c r="H700" s="21" t="str">
        <f>Source!DF520</f>
        <v>)*2</v>
      </c>
      <c r="I700" s="9">
        <f>Source!AV520</f>
        <v>1</v>
      </c>
      <c r="J700" s="9">
        <f>IF(Source!BS520&lt;&gt; 0, Source!BS520, 1)</f>
        <v>1</v>
      </c>
      <c r="K700" s="24">
        <f>Source!R520</f>
        <v>4164</v>
      </c>
      <c r="L700" s="22"/>
    </row>
    <row r="701" spans="1:22" ht="14.25" x14ac:dyDescent="0.2">
      <c r="A701" s="19"/>
      <c r="B701" s="19"/>
      <c r="C701" s="19"/>
      <c r="D701" s="19" t="s">
        <v>834</v>
      </c>
      <c r="E701" s="20"/>
      <c r="F701" s="9"/>
      <c r="G701" s="22">
        <f>Source!AL520</f>
        <v>355.16</v>
      </c>
      <c r="H701" s="21" t="str">
        <f>Source!DD520</f>
        <v>)*2</v>
      </c>
      <c r="I701" s="9">
        <f>Source!AW520</f>
        <v>1</v>
      </c>
      <c r="J701" s="9">
        <f>IF(Source!BC520&lt;&gt; 0, Source!BC520, 1)</f>
        <v>1</v>
      </c>
      <c r="K701" s="22">
        <f>Source!P520</f>
        <v>4261.92</v>
      </c>
      <c r="L701" s="22"/>
    </row>
    <row r="702" spans="1:22" ht="14.25" x14ac:dyDescent="0.2">
      <c r="A702" s="19"/>
      <c r="B702" s="19"/>
      <c r="C702" s="19"/>
      <c r="D702" s="19" t="s">
        <v>828</v>
      </c>
      <c r="E702" s="20" t="s">
        <v>829</v>
      </c>
      <c r="F702" s="9">
        <f>Source!AT520</f>
        <v>70</v>
      </c>
      <c r="G702" s="22"/>
      <c r="H702" s="21"/>
      <c r="I702" s="9"/>
      <c r="J702" s="9"/>
      <c r="K702" s="22">
        <f>SUM(R696:R701)</f>
        <v>37949.86</v>
      </c>
      <c r="L702" s="22"/>
    </row>
    <row r="703" spans="1:22" ht="14.25" x14ac:dyDescent="0.2">
      <c r="A703" s="19"/>
      <c r="B703" s="19"/>
      <c r="C703" s="19"/>
      <c r="D703" s="19" t="s">
        <v>830</v>
      </c>
      <c r="E703" s="20" t="s">
        <v>829</v>
      </c>
      <c r="F703" s="9">
        <f>Source!AU520</f>
        <v>10</v>
      </c>
      <c r="G703" s="22"/>
      <c r="H703" s="21"/>
      <c r="I703" s="9"/>
      <c r="J703" s="9"/>
      <c r="K703" s="22">
        <f>SUM(T696:T702)</f>
        <v>5421.41</v>
      </c>
      <c r="L703" s="22"/>
    </row>
    <row r="704" spans="1:22" ht="14.25" x14ac:dyDescent="0.2">
      <c r="A704" s="19"/>
      <c r="B704" s="19"/>
      <c r="C704" s="19"/>
      <c r="D704" s="19" t="s">
        <v>831</v>
      </c>
      <c r="E704" s="20" t="s">
        <v>829</v>
      </c>
      <c r="F704" s="9">
        <f>108</f>
        <v>108</v>
      </c>
      <c r="G704" s="22"/>
      <c r="H704" s="21"/>
      <c r="I704" s="9"/>
      <c r="J704" s="9"/>
      <c r="K704" s="22">
        <f>SUM(V696:V703)</f>
        <v>4497.12</v>
      </c>
      <c r="L704" s="22"/>
    </row>
    <row r="705" spans="1:22" ht="14.25" x14ac:dyDescent="0.2">
      <c r="A705" s="19"/>
      <c r="B705" s="19"/>
      <c r="C705" s="19"/>
      <c r="D705" s="19" t="s">
        <v>832</v>
      </c>
      <c r="E705" s="20" t="s">
        <v>833</v>
      </c>
      <c r="F705" s="9">
        <f>Source!AQ520</f>
        <v>6.8</v>
      </c>
      <c r="G705" s="22"/>
      <c r="H705" s="21" t="str">
        <f>Source!DI520</f>
        <v>)*2</v>
      </c>
      <c r="I705" s="9">
        <f>Source!AV520</f>
        <v>1</v>
      </c>
      <c r="J705" s="9"/>
      <c r="K705" s="22"/>
      <c r="L705" s="22">
        <f>Source!U520</f>
        <v>81.599999999999994</v>
      </c>
    </row>
    <row r="706" spans="1:22" ht="15" x14ac:dyDescent="0.25">
      <c r="A706" s="27"/>
      <c r="B706" s="27"/>
      <c r="C706" s="27"/>
      <c r="D706" s="27"/>
      <c r="E706" s="27"/>
      <c r="F706" s="27"/>
      <c r="G706" s="27"/>
      <c r="H706" s="27"/>
      <c r="I706" s="27"/>
      <c r="J706" s="60">
        <f>K698+K699+K701+K702+K703+K704</f>
        <v>112911.51000000001</v>
      </c>
      <c r="K706" s="60"/>
      <c r="L706" s="28">
        <f>IF(Source!I520&lt;&gt;0, ROUND(J706/Source!I520, 2), 0)</f>
        <v>18818.59</v>
      </c>
      <c r="P706" s="25">
        <f>J706</f>
        <v>112911.51000000001</v>
      </c>
    </row>
    <row r="707" spans="1:22" ht="42.75" x14ac:dyDescent="0.2">
      <c r="A707" s="19">
        <v>65</v>
      </c>
      <c r="B707" s="19">
        <v>65</v>
      </c>
      <c r="C707" s="19" t="str">
        <f>Source!F522</f>
        <v>1.18-2403-17-4/1</v>
      </c>
      <c r="D707" s="19" t="str">
        <f>Source!G522</f>
        <v>Техническое обслуживание внутренних кассетных блоков сплит систем мощностью свыше 5 кВт - полугодовое</v>
      </c>
      <c r="E707" s="20" t="str">
        <f>Source!H522</f>
        <v>1 блок</v>
      </c>
      <c r="F707" s="9">
        <f>Source!I522</f>
        <v>72</v>
      </c>
      <c r="G707" s="22"/>
      <c r="H707" s="21"/>
      <c r="I707" s="9"/>
      <c r="J707" s="9"/>
      <c r="K707" s="22"/>
      <c r="L707" s="22"/>
      <c r="Q707">
        <f>ROUND((Source!BZ522/100)*ROUND((Source!AF522*Source!AV522)*Source!I522, 2), 2)</f>
        <v>57524.04</v>
      </c>
      <c r="R707">
        <f>Source!X522</f>
        <v>57524.04</v>
      </c>
      <c r="S707">
        <f>ROUND((Source!CA522/100)*ROUND((Source!AF522*Source!AV522)*Source!I522, 2), 2)</f>
        <v>8217.7199999999993</v>
      </c>
      <c r="T707">
        <f>Source!Y522</f>
        <v>8217.7199999999993</v>
      </c>
      <c r="U707">
        <f>ROUND((175/100)*ROUND((Source!AE522*Source!AV522)*Source!I522, 2), 2)</f>
        <v>7.56</v>
      </c>
      <c r="V707">
        <f>ROUND((108/100)*ROUND(Source!CS522*Source!I522, 2), 2)</f>
        <v>4.67</v>
      </c>
    </row>
    <row r="708" spans="1:22" x14ac:dyDescent="0.2">
      <c r="D708" s="23" t="str">
        <f>"Объем: "&amp;Source!I522&amp;"=(23+"&amp;"1)*"&amp;"3"</f>
        <v>Объем: 72=(23+1)*3</v>
      </c>
    </row>
    <row r="709" spans="1:22" ht="14.25" x14ac:dyDescent="0.2">
      <c r="A709" s="19"/>
      <c r="B709" s="19"/>
      <c r="C709" s="19"/>
      <c r="D709" s="19" t="s">
        <v>825</v>
      </c>
      <c r="E709" s="20"/>
      <c r="F709" s="9"/>
      <c r="G709" s="22">
        <f>Source!AO522</f>
        <v>1141.3499999999999</v>
      </c>
      <c r="H709" s="21" t="str">
        <f>Source!DG522</f>
        <v/>
      </c>
      <c r="I709" s="9">
        <f>Source!AV522</f>
        <v>1</v>
      </c>
      <c r="J709" s="9">
        <f>IF(Source!BA522&lt;&gt; 0, Source!BA522, 1)</f>
        <v>1</v>
      </c>
      <c r="K709" s="22">
        <f>Source!S522</f>
        <v>82177.2</v>
      </c>
      <c r="L709" s="22"/>
    </row>
    <row r="710" spans="1:22" ht="14.25" x14ac:dyDescent="0.2">
      <c r="A710" s="19"/>
      <c r="B710" s="19"/>
      <c r="C710" s="19"/>
      <c r="D710" s="19" t="s">
        <v>826</v>
      </c>
      <c r="E710" s="20"/>
      <c r="F710" s="9"/>
      <c r="G710" s="22">
        <f>Source!AM522</f>
        <v>4.1100000000000003</v>
      </c>
      <c r="H710" s="21" t="str">
        <f>Source!DE522</f>
        <v/>
      </c>
      <c r="I710" s="9">
        <f>Source!AV522</f>
        <v>1</v>
      </c>
      <c r="J710" s="9">
        <f>IF(Source!BB522&lt;&gt; 0, Source!BB522, 1)</f>
        <v>1</v>
      </c>
      <c r="K710" s="22">
        <f>Source!Q522</f>
        <v>295.92</v>
      </c>
      <c r="L710" s="22"/>
    </row>
    <row r="711" spans="1:22" ht="14.25" x14ac:dyDescent="0.2">
      <c r="A711" s="19"/>
      <c r="B711" s="19"/>
      <c r="C711" s="19"/>
      <c r="D711" s="19" t="s">
        <v>827</v>
      </c>
      <c r="E711" s="20"/>
      <c r="F711" s="9"/>
      <c r="G711" s="22">
        <f>Source!AN522</f>
        <v>0.06</v>
      </c>
      <c r="H711" s="21" t="str">
        <f>Source!DF522</f>
        <v/>
      </c>
      <c r="I711" s="9">
        <f>Source!AV522</f>
        <v>1</v>
      </c>
      <c r="J711" s="9">
        <f>IF(Source!BS522&lt;&gt; 0, Source!BS522, 1)</f>
        <v>1</v>
      </c>
      <c r="K711" s="24">
        <f>Source!R522</f>
        <v>4.32</v>
      </c>
      <c r="L711" s="22"/>
    </row>
    <row r="712" spans="1:22" ht="14.25" x14ac:dyDescent="0.2">
      <c r="A712" s="19"/>
      <c r="B712" s="19"/>
      <c r="C712" s="19"/>
      <c r="D712" s="19" t="s">
        <v>834</v>
      </c>
      <c r="E712" s="20"/>
      <c r="F712" s="9"/>
      <c r="G712" s="22">
        <f>Source!AL522</f>
        <v>4.43</v>
      </c>
      <c r="H712" s="21" t="str">
        <f>Source!DD522</f>
        <v/>
      </c>
      <c r="I712" s="9">
        <f>Source!AW522</f>
        <v>1</v>
      </c>
      <c r="J712" s="9">
        <f>IF(Source!BC522&lt;&gt; 0, Source!BC522, 1)</f>
        <v>1</v>
      </c>
      <c r="K712" s="22">
        <f>Source!P522</f>
        <v>318.95999999999998</v>
      </c>
      <c r="L712" s="22"/>
    </row>
    <row r="713" spans="1:22" ht="14.25" x14ac:dyDescent="0.2">
      <c r="A713" s="19"/>
      <c r="B713" s="19"/>
      <c r="C713" s="19"/>
      <c r="D713" s="19" t="s">
        <v>828</v>
      </c>
      <c r="E713" s="20" t="s">
        <v>829</v>
      </c>
      <c r="F713" s="9">
        <f>Source!AT522</f>
        <v>70</v>
      </c>
      <c r="G713" s="22"/>
      <c r="H713" s="21"/>
      <c r="I713" s="9"/>
      <c r="J713" s="9"/>
      <c r="K713" s="22">
        <f>SUM(R707:R712)</f>
        <v>57524.04</v>
      </c>
      <c r="L713" s="22"/>
    </row>
    <row r="714" spans="1:22" ht="14.25" x14ac:dyDescent="0.2">
      <c r="A714" s="19"/>
      <c r="B714" s="19"/>
      <c r="C714" s="19"/>
      <c r="D714" s="19" t="s">
        <v>830</v>
      </c>
      <c r="E714" s="20" t="s">
        <v>829</v>
      </c>
      <c r="F714" s="9">
        <f>Source!AU522</f>
        <v>10</v>
      </c>
      <c r="G714" s="22"/>
      <c r="H714" s="21"/>
      <c r="I714" s="9"/>
      <c r="J714" s="9"/>
      <c r="K714" s="22">
        <f>SUM(T707:T713)</f>
        <v>8217.7199999999993</v>
      </c>
      <c r="L714" s="22"/>
    </row>
    <row r="715" spans="1:22" ht="14.25" x14ac:dyDescent="0.2">
      <c r="A715" s="19"/>
      <c r="B715" s="19"/>
      <c r="C715" s="19"/>
      <c r="D715" s="19" t="s">
        <v>831</v>
      </c>
      <c r="E715" s="20" t="s">
        <v>829</v>
      </c>
      <c r="F715" s="9">
        <f>108</f>
        <v>108</v>
      </c>
      <c r="G715" s="22"/>
      <c r="H715" s="21"/>
      <c r="I715" s="9"/>
      <c r="J715" s="9"/>
      <c r="K715" s="22">
        <f>SUM(V707:V714)</f>
        <v>4.67</v>
      </c>
      <c r="L715" s="22"/>
    </row>
    <row r="716" spans="1:22" ht="14.25" x14ac:dyDescent="0.2">
      <c r="A716" s="19"/>
      <c r="B716" s="19"/>
      <c r="C716" s="19"/>
      <c r="D716" s="19" t="s">
        <v>832</v>
      </c>
      <c r="E716" s="20" t="s">
        <v>833</v>
      </c>
      <c r="F716" s="9">
        <f>Source!AQ522</f>
        <v>1.72</v>
      </c>
      <c r="G716" s="22"/>
      <c r="H716" s="21" t="str">
        <f>Source!DI522</f>
        <v/>
      </c>
      <c r="I716" s="9">
        <f>Source!AV522</f>
        <v>1</v>
      </c>
      <c r="J716" s="9"/>
      <c r="K716" s="22"/>
      <c r="L716" s="22">
        <f>Source!U522</f>
        <v>123.84</v>
      </c>
    </row>
    <row r="717" spans="1:22" ht="15" x14ac:dyDescent="0.25">
      <c r="A717" s="27"/>
      <c r="B717" s="27"/>
      <c r="C717" s="27"/>
      <c r="D717" s="27"/>
      <c r="E717" s="27"/>
      <c r="F717" s="27"/>
      <c r="G717" s="27"/>
      <c r="H717" s="27"/>
      <c r="I717" s="27"/>
      <c r="J717" s="60">
        <f>K709+K710+K712+K713+K714+K715</f>
        <v>148538.51</v>
      </c>
      <c r="K717" s="60"/>
      <c r="L717" s="28">
        <f>IF(Source!I522&lt;&gt;0, ROUND(J717/Source!I522, 2), 0)</f>
        <v>2063.0300000000002</v>
      </c>
      <c r="P717" s="25">
        <f>J717</f>
        <v>148538.51</v>
      </c>
    </row>
    <row r="719" spans="1:22" ht="15" x14ac:dyDescent="0.25">
      <c r="C719" s="56" t="str">
        <f>Source!G524</f>
        <v>Корпус 7.2.4</v>
      </c>
      <c r="D719" s="56"/>
      <c r="E719" s="56"/>
      <c r="F719" s="56"/>
      <c r="G719" s="56"/>
      <c r="H719" s="56"/>
      <c r="I719" s="56"/>
      <c r="J719" s="56"/>
      <c r="K719" s="56"/>
    </row>
    <row r="720" spans="1:22" ht="57" x14ac:dyDescent="0.2">
      <c r="A720" s="19">
        <v>66</v>
      </c>
      <c r="B720" s="19">
        <v>66</v>
      </c>
      <c r="C720" s="19" t="str">
        <f>Source!F526</f>
        <v>1.24-2103-45-4/1</v>
      </c>
      <c r="D720" s="19" t="str">
        <f>Source!G526</f>
        <v>Техническое обслуживание ежеквартальное холодильных установок мощностью 420 кВт / применительно до 50 кВт</v>
      </c>
      <c r="E720" s="20" t="str">
        <f>Source!H526</f>
        <v>установка</v>
      </c>
      <c r="F720" s="9">
        <f>Source!I526</f>
        <v>1</v>
      </c>
      <c r="G720" s="22"/>
      <c r="H720" s="21"/>
      <c r="I720" s="9"/>
      <c r="J720" s="9"/>
      <c r="K720" s="22"/>
      <c r="L720" s="22"/>
      <c r="Q720">
        <f>ROUND((Source!BZ526/100)*ROUND((Source!AF526*Source!AV526)*Source!I526, 2), 2)</f>
        <v>6324.98</v>
      </c>
      <c r="R720">
        <f>Source!X526</f>
        <v>6324.98</v>
      </c>
      <c r="S720">
        <f>ROUND((Source!CA526/100)*ROUND((Source!AF526*Source!AV526)*Source!I526, 2), 2)</f>
        <v>903.57</v>
      </c>
      <c r="T720">
        <f>Source!Y526</f>
        <v>903.57</v>
      </c>
      <c r="U720">
        <f>ROUND((175/100)*ROUND((Source!AE526*Source!AV526)*Source!I526, 2), 2)</f>
        <v>1214.5</v>
      </c>
      <c r="V720">
        <f>ROUND((108/100)*ROUND(Source!CS526*Source!I526, 2), 2)</f>
        <v>749.52</v>
      </c>
    </row>
    <row r="721" spans="1:22" ht="14.25" x14ac:dyDescent="0.2">
      <c r="A721" s="19"/>
      <c r="B721" s="19"/>
      <c r="C721" s="19"/>
      <c r="D721" s="19" t="s">
        <v>825</v>
      </c>
      <c r="E721" s="20"/>
      <c r="F721" s="9"/>
      <c r="G721" s="22">
        <f>Source!AO526</f>
        <v>4517.84</v>
      </c>
      <c r="H721" s="21" t="str">
        <f>Source!DG526</f>
        <v>)*2</v>
      </c>
      <c r="I721" s="9">
        <f>Source!AV526</f>
        <v>1</v>
      </c>
      <c r="J721" s="9">
        <f>IF(Source!BA526&lt;&gt; 0, Source!BA526, 1)</f>
        <v>1</v>
      </c>
      <c r="K721" s="22">
        <f>Source!S526</f>
        <v>9035.68</v>
      </c>
      <c r="L721" s="22"/>
    </row>
    <row r="722" spans="1:22" ht="14.25" x14ac:dyDescent="0.2">
      <c r="A722" s="19"/>
      <c r="B722" s="19"/>
      <c r="C722" s="19"/>
      <c r="D722" s="19" t="s">
        <v>826</v>
      </c>
      <c r="E722" s="20"/>
      <c r="F722" s="9"/>
      <c r="G722" s="22">
        <f>Source!AM526</f>
        <v>547.26</v>
      </c>
      <c r="H722" s="21" t="str">
        <f>Source!DE526</f>
        <v>)*2</v>
      </c>
      <c r="I722" s="9">
        <f>Source!AV526</f>
        <v>1</v>
      </c>
      <c r="J722" s="9">
        <f>IF(Source!BB526&lt;&gt; 0, Source!BB526, 1)</f>
        <v>1</v>
      </c>
      <c r="K722" s="22">
        <f>Source!Q526</f>
        <v>1094.52</v>
      </c>
      <c r="L722" s="22"/>
    </row>
    <row r="723" spans="1:22" ht="14.25" x14ac:dyDescent="0.2">
      <c r="A723" s="19"/>
      <c r="B723" s="19"/>
      <c r="C723" s="19"/>
      <c r="D723" s="19" t="s">
        <v>827</v>
      </c>
      <c r="E723" s="20"/>
      <c r="F723" s="9"/>
      <c r="G723" s="22">
        <f>Source!AN526</f>
        <v>347</v>
      </c>
      <c r="H723" s="21" t="str">
        <f>Source!DF526</f>
        <v>)*2</v>
      </c>
      <c r="I723" s="9">
        <f>Source!AV526</f>
        <v>1</v>
      </c>
      <c r="J723" s="9">
        <f>IF(Source!BS526&lt;&gt; 0, Source!BS526, 1)</f>
        <v>1</v>
      </c>
      <c r="K723" s="24">
        <f>Source!R526</f>
        <v>694</v>
      </c>
      <c r="L723" s="22"/>
    </row>
    <row r="724" spans="1:22" ht="14.25" x14ac:dyDescent="0.2">
      <c r="A724" s="19"/>
      <c r="B724" s="19"/>
      <c r="C724" s="19"/>
      <c r="D724" s="19" t="s">
        <v>834</v>
      </c>
      <c r="E724" s="20"/>
      <c r="F724" s="9"/>
      <c r="G724" s="22">
        <f>Source!AL526</f>
        <v>355.16</v>
      </c>
      <c r="H724" s="21" t="str">
        <f>Source!DD526</f>
        <v>)*2</v>
      </c>
      <c r="I724" s="9">
        <f>Source!AW526</f>
        <v>1</v>
      </c>
      <c r="J724" s="9">
        <f>IF(Source!BC526&lt;&gt; 0, Source!BC526, 1)</f>
        <v>1</v>
      </c>
      <c r="K724" s="22">
        <f>Source!P526</f>
        <v>710.32</v>
      </c>
      <c r="L724" s="22"/>
    </row>
    <row r="725" spans="1:22" ht="14.25" x14ac:dyDescent="0.2">
      <c r="A725" s="19"/>
      <c r="B725" s="19"/>
      <c r="C725" s="19"/>
      <c r="D725" s="19" t="s">
        <v>828</v>
      </c>
      <c r="E725" s="20" t="s">
        <v>829</v>
      </c>
      <c r="F725" s="9">
        <f>Source!AT526</f>
        <v>70</v>
      </c>
      <c r="G725" s="22"/>
      <c r="H725" s="21"/>
      <c r="I725" s="9"/>
      <c r="J725" s="9"/>
      <c r="K725" s="22">
        <f>SUM(R720:R724)</f>
        <v>6324.98</v>
      </c>
      <c r="L725" s="22"/>
    </row>
    <row r="726" spans="1:22" ht="14.25" x14ac:dyDescent="0.2">
      <c r="A726" s="19"/>
      <c r="B726" s="19"/>
      <c r="C726" s="19"/>
      <c r="D726" s="19" t="s">
        <v>830</v>
      </c>
      <c r="E726" s="20" t="s">
        <v>829</v>
      </c>
      <c r="F726" s="9">
        <f>Source!AU526</f>
        <v>10</v>
      </c>
      <c r="G726" s="22"/>
      <c r="H726" s="21"/>
      <c r="I726" s="9"/>
      <c r="J726" s="9"/>
      <c r="K726" s="22">
        <f>SUM(T720:T725)</f>
        <v>903.57</v>
      </c>
      <c r="L726" s="22"/>
    </row>
    <row r="727" spans="1:22" ht="14.25" x14ac:dyDescent="0.2">
      <c r="A727" s="19"/>
      <c r="B727" s="19"/>
      <c r="C727" s="19"/>
      <c r="D727" s="19" t="s">
        <v>831</v>
      </c>
      <c r="E727" s="20" t="s">
        <v>829</v>
      </c>
      <c r="F727" s="9">
        <f>108</f>
        <v>108</v>
      </c>
      <c r="G727" s="22"/>
      <c r="H727" s="21"/>
      <c r="I727" s="9"/>
      <c r="J727" s="9"/>
      <c r="K727" s="22">
        <f>SUM(V720:V726)</f>
        <v>749.52</v>
      </c>
      <c r="L727" s="22"/>
    </row>
    <row r="728" spans="1:22" ht="14.25" x14ac:dyDescent="0.2">
      <c r="A728" s="19"/>
      <c r="B728" s="19"/>
      <c r="C728" s="19"/>
      <c r="D728" s="19" t="s">
        <v>832</v>
      </c>
      <c r="E728" s="20" t="s">
        <v>833</v>
      </c>
      <c r="F728" s="9">
        <f>Source!AQ526</f>
        <v>6.8</v>
      </c>
      <c r="G728" s="22"/>
      <c r="H728" s="21" t="str">
        <f>Source!DI526</f>
        <v>)*2</v>
      </c>
      <c r="I728" s="9">
        <f>Source!AV526</f>
        <v>1</v>
      </c>
      <c r="J728" s="9"/>
      <c r="K728" s="22"/>
      <c r="L728" s="22">
        <f>Source!U526</f>
        <v>13.6</v>
      </c>
    </row>
    <row r="729" spans="1:22" ht="15" x14ac:dyDescent="0.25">
      <c r="A729" s="27"/>
      <c r="B729" s="27"/>
      <c r="C729" s="27"/>
      <c r="D729" s="27"/>
      <c r="E729" s="27"/>
      <c r="F729" s="27"/>
      <c r="G729" s="27"/>
      <c r="H729" s="27"/>
      <c r="I729" s="27"/>
      <c r="J729" s="60">
        <f>K721+K722+K724+K725+K726+K727</f>
        <v>18818.59</v>
      </c>
      <c r="K729" s="60"/>
      <c r="L729" s="28">
        <f>IF(Source!I526&lt;&gt;0, ROUND(J729/Source!I526, 2), 0)</f>
        <v>18818.59</v>
      </c>
      <c r="P729" s="25">
        <f>J729</f>
        <v>18818.59</v>
      </c>
    </row>
    <row r="730" spans="1:22" ht="57" x14ac:dyDescent="0.2">
      <c r="A730" s="19">
        <v>67</v>
      </c>
      <c r="B730" s="19">
        <v>67</v>
      </c>
      <c r="C730" s="19" t="str">
        <f>Source!F529</f>
        <v>1.24-2103-45-4/1</v>
      </c>
      <c r="D730" s="19" t="str">
        <f>Source!G529</f>
        <v>Техническое обслуживание ежеквартальное холодильных установок мощностью 420 кВт / применительно до 175 кВт</v>
      </c>
      <c r="E730" s="20" t="str">
        <f>Source!H529</f>
        <v>установка</v>
      </c>
      <c r="F730" s="9">
        <f>Source!I529</f>
        <v>1</v>
      </c>
      <c r="G730" s="22"/>
      <c r="H730" s="21"/>
      <c r="I730" s="9"/>
      <c r="J730" s="9"/>
      <c r="K730" s="22"/>
      <c r="L730" s="22"/>
      <c r="Q730">
        <f>ROUND((Source!BZ529/100)*ROUND((Source!AF529*Source!AV529)*Source!I529, 2), 2)</f>
        <v>6324.98</v>
      </c>
      <c r="R730">
        <f>Source!X529</f>
        <v>6324.98</v>
      </c>
      <c r="S730">
        <f>ROUND((Source!CA529/100)*ROUND((Source!AF529*Source!AV529)*Source!I529, 2), 2)</f>
        <v>903.57</v>
      </c>
      <c r="T730">
        <f>Source!Y529</f>
        <v>903.57</v>
      </c>
      <c r="U730">
        <f>ROUND((175/100)*ROUND((Source!AE529*Source!AV529)*Source!I529, 2), 2)</f>
        <v>1214.5</v>
      </c>
      <c r="V730">
        <f>ROUND((108/100)*ROUND(Source!CS529*Source!I529, 2), 2)</f>
        <v>749.52</v>
      </c>
    </row>
    <row r="731" spans="1:22" ht="14.25" x14ac:dyDescent="0.2">
      <c r="A731" s="19"/>
      <c r="B731" s="19"/>
      <c r="C731" s="19"/>
      <c r="D731" s="19" t="s">
        <v>825</v>
      </c>
      <c r="E731" s="20"/>
      <c r="F731" s="9"/>
      <c r="G731" s="22">
        <f>Source!AO529</f>
        <v>4517.84</v>
      </c>
      <c r="H731" s="21" t="str">
        <f>Source!DG529</f>
        <v>)*2</v>
      </c>
      <c r="I731" s="9">
        <f>Source!AV529</f>
        <v>1</v>
      </c>
      <c r="J731" s="9">
        <f>IF(Source!BA529&lt;&gt; 0, Source!BA529, 1)</f>
        <v>1</v>
      </c>
      <c r="K731" s="22">
        <f>Source!S529</f>
        <v>9035.68</v>
      </c>
      <c r="L731" s="22"/>
    </row>
    <row r="732" spans="1:22" ht="14.25" x14ac:dyDescent="0.2">
      <c r="A732" s="19"/>
      <c r="B732" s="19"/>
      <c r="C732" s="19"/>
      <c r="D732" s="19" t="s">
        <v>826</v>
      </c>
      <c r="E732" s="20"/>
      <c r="F732" s="9"/>
      <c r="G732" s="22">
        <f>Source!AM529</f>
        <v>547.26</v>
      </c>
      <c r="H732" s="21" t="str">
        <f>Source!DE529</f>
        <v>)*2</v>
      </c>
      <c r="I732" s="9">
        <f>Source!AV529</f>
        <v>1</v>
      </c>
      <c r="J732" s="9">
        <f>IF(Source!BB529&lt;&gt; 0, Source!BB529, 1)</f>
        <v>1</v>
      </c>
      <c r="K732" s="22">
        <f>Source!Q529</f>
        <v>1094.52</v>
      </c>
      <c r="L732" s="22"/>
    </row>
    <row r="733" spans="1:22" ht="14.25" x14ac:dyDescent="0.2">
      <c r="A733" s="19"/>
      <c r="B733" s="19"/>
      <c r="C733" s="19"/>
      <c r="D733" s="19" t="s">
        <v>827</v>
      </c>
      <c r="E733" s="20"/>
      <c r="F733" s="9"/>
      <c r="G733" s="22">
        <f>Source!AN529</f>
        <v>347</v>
      </c>
      <c r="H733" s="21" t="str">
        <f>Source!DF529</f>
        <v>)*2</v>
      </c>
      <c r="I733" s="9">
        <f>Source!AV529</f>
        <v>1</v>
      </c>
      <c r="J733" s="9">
        <f>IF(Source!BS529&lt;&gt; 0, Source!BS529, 1)</f>
        <v>1</v>
      </c>
      <c r="K733" s="24">
        <f>Source!R529</f>
        <v>694</v>
      </c>
      <c r="L733" s="22"/>
    </row>
    <row r="734" spans="1:22" ht="14.25" x14ac:dyDescent="0.2">
      <c r="A734" s="19"/>
      <c r="B734" s="19"/>
      <c r="C734" s="19"/>
      <c r="D734" s="19" t="s">
        <v>834</v>
      </c>
      <c r="E734" s="20"/>
      <c r="F734" s="9"/>
      <c r="G734" s="22">
        <f>Source!AL529</f>
        <v>355.16</v>
      </c>
      <c r="H734" s="21" t="str">
        <f>Source!DD529</f>
        <v>)*2</v>
      </c>
      <c r="I734" s="9">
        <f>Source!AW529</f>
        <v>1</v>
      </c>
      <c r="J734" s="9">
        <f>IF(Source!BC529&lt;&gt; 0, Source!BC529, 1)</f>
        <v>1</v>
      </c>
      <c r="K734" s="22">
        <f>Source!P529</f>
        <v>710.32</v>
      </c>
      <c r="L734" s="22"/>
    </row>
    <row r="735" spans="1:22" ht="14.25" x14ac:dyDescent="0.2">
      <c r="A735" s="19"/>
      <c r="B735" s="19"/>
      <c r="C735" s="19"/>
      <c r="D735" s="19" t="s">
        <v>828</v>
      </c>
      <c r="E735" s="20" t="s">
        <v>829</v>
      </c>
      <c r="F735" s="9">
        <f>Source!AT529</f>
        <v>70</v>
      </c>
      <c r="G735" s="22"/>
      <c r="H735" s="21"/>
      <c r="I735" s="9"/>
      <c r="J735" s="9"/>
      <c r="K735" s="22">
        <f>SUM(R730:R734)</f>
        <v>6324.98</v>
      </c>
      <c r="L735" s="22"/>
    </row>
    <row r="736" spans="1:22" ht="14.25" x14ac:dyDescent="0.2">
      <c r="A736" s="19"/>
      <c r="B736" s="19"/>
      <c r="C736" s="19"/>
      <c r="D736" s="19" t="s">
        <v>830</v>
      </c>
      <c r="E736" s="20" t="s">
        <v>829</v>
      </c>
      <c r="F736" s="9">
        <f>Source!AU529</f>
        <v>10</v>
      </c>
      <c r="G736" s="22"/>
      <c r="H736" s="21"/>
      <c r="I736" s="9"/>
      <c r="J736" s="9"/>
      <c r="K736" s="22">
        <f>SUM(T730:T735)</f>
        <v>903.57</v>
      </c>
      <c r="L736" s="22"/>
    </row>
    <row r="737" spans="1:22" ht="14.25" x14ac:dyDescent="0.2">
      <c r="A737" s="19"/>
      <c r="B737" s="19"/>
      <c r="C737" s="19"/>
      <c r="D737" s="19" t="s">
        <v>831</v>
      </c>
      <c r="E737" s="20" t="s">
        <v>829</v>
      </c>
      <c r="F737" s="9">
        <f>108</f>
        <v>108</v>
      </c>
      <c r="G737" s="22"/>
      <c r="H737" s="21"/>
      <c r="I737" s="9"/>
      <c r="J737" s="9"/>
      <c r="K737" s="22">
        <f>SUM(V730:V736)</f>
        <v>749.52</v>
      </c>
      <c r="L737" s="22"/>
    </row>
    <row r="738" spans="1:22" ht="14.25" x14ac:dyDescent="0.2">
      <c r="A738" s="19"/>
      <c r="B738" s="19"/>
      <c r="C738" s="19"/>
      <c r="D738" s="19" t="s">
        <v>832</v>
      </c>
      <c r="E738" s="20" t="s">
        <v>833</v>
      </c>
      <c r="F738" s="9">
        <f>Source!AQ529</f>
        <v>6.8</v>
      </c>
      <c r="G738" s="22"/>
      <c r="H738" s="21" t="str">
        <f>Source!DI529</f>
        <v>)*2</v>
      </c>
      <c r="I738" s="9">
        <f>Source!AV529</f>
        <v>1</v>
      </c>
      <c r="J738" s="9"/>
      <c r="K738" s="22"/>
      <c r="L738" s="22">
        <f>Source!U529</f>
        <v>13.6</v>
      </c>
    </row>
    <row r="739" spans="1:22" ht="15" x14ac:dyDescent="0.25">
      <c r="A739" s="27"/>
      <c r="B739" s="27"/>
      <c r="C739" s="27"/>
      <c r="D739" s="27"/>
      <c r="E739" s="27"/>
      <c r="F739" s="27"/>
      <c r="G739" s="27"/>
      <c r="H739" s="27"/>
      <c r="I739" s="27"/>
      <c r="J739" s="60">
        <f>K731+K732+K734+K735+K736+K737</f>
        <v>18818.59</v>
      </c>
      <c r="K739" s="60"/>
      <c r="L739" s="28">
        <f>IF(Source!I529&lt;&gt;0, ROUND(J739/Source!I529, 2), 0)</f>
        <v>18818.59</v>
      </c>
      <c r="P739" s="25">
        <f>J739</f>
        <v>18818.59</v>
      </c>
    </row>
    <row r="740" spans="1:22" ht="42.75" x14ac:dyDescent="0.2">
      <c r="A740" s="19">
        <v>68</v>
      </c>
      <c r="B740" s="19">
        <v>68</v>
      </c>
      <c r="C740" s="19" t="str">
        <f>Source!F531</f>
        <v>1.18-2403-17-3/1</v>
      </c>
      <c r="D740" s="19" t="str">
        <f>Source!G531</f>
        <v>Техническое обслуживание внутренних кассетных блоков сплит систем мощностью до 5 кВт - полугодовое</v>
      </c>
      <c r="E740" s="20" t="str">
        <f>Source!H531</f>
        <v>1 блок</v>
      </c>
      <c r="F740" s="9">
        <f>Source!I531</f>
        <v>1</v>
      </c>
      <c r="G740" s="22"/>
      <c r="H740" s="21"/>
      <c r="I740" s="9"/>
      <c r="J740" s="9"/>
      <c r="K740" s="22"/>
      <c r="L740" s="22"/>
      <c r="Q740">
        <f>ROUND((Source!BZ531/100)*ROUND((Source!AF531*Source!AV531)*Source!I531, 2), 2)</f>
        <v>622.42999999999995</v>
      </c>
      <c r="R740">
        <f>Source!X531</f>
        <v>622.42999999999995</v>
      </c>
      <c r="S740">
        <f>ROUND((Source!CA531/100)*ROUND((Source!AF531*Source!AV531)*Source!I531, 2), 2)</f>
        <v>88.92</v>
      </c>
      <c r="T740">
        <f>Source!Y531</f>
        <v>88.92</v>
      </c>
      <c r="U740">
        <f>ROUND((175/100)*ROUND((Source!AE531*Source!AV531)*Source!I531, 2), 2)</f>
        <v>0.05</v>
      </c>
      <c r="V740">
        <f>ROUND((108/100)*ROUND(Source!CS531*Source!I531, 2), 2)</f>
        <v>0.03</v>
      </c>
    </row>
    <row r="741" spans="1:22" ht="14.25" x14ac:dyDescent="0.2">
      <c r="A741" s="19"/>
      <c r="B741" s="19"/>
      <c r="C741" s="19"/>
      <c r="D741" s="19" t="s">
        <v>825</v>
      </c>
      <c r="E741" s="20"/>
      <c r="F741" s="9"/>
      <c r="G741" s="22">
        <f>Source!AO531</f>
        <v>889.19</v>
      </c>
      <c r="H741" s="21" t="str">
        <f>Source!DG531</f>
        <v/>
      </c>
      <c r="I741" s="9">
        <f>Source!AV531</f>
        <v>1</v>
      </c>
      <c r="J741" s="9">
        <f>IF(Source!BA531&lt;&gt; 0, Source!BA531, 1)</f>
        <v>1</v>
      </c>
      <c r="K741" s="22">
        <f>Source!S531</f>
        <v>889.19</v>
      </c>
      <c r="L741" s="22"/>
    </row>
    <row r="742" spans="1:22" ht="14.25" x14ac:dyDescent="0.2">
      <c r="A742" s="19"/>
      <c r="B742" s="19"/>
      <c r="C742" s="19"/>
      <c r="D742" s="19" t="s">
        <v>826</v>
      </c>
      <c r="E742" s="20"/>
      <c r="F742" s="9"/>
      <c r="G742" s="22">
        <f>Source!AM531</f>
        <v>1.85</v>
      </c>
      <c r="H742" s="21" t="str">
        <f>Source!DE531</f>
        <v/>
      </c>
      <c r="I742" s="9">
        <f>Source!AV531</f>
        <v>1</v>
      </c>
      <c r="J742" s="9">
        <f>IF(Source!BB531&lt;&gt; 0, Source!BB531, 1)</f>
        <v>1</v>
      </c>
      <c r="K742" s="22">
        <f>Source!Q531</f>
        <v>1.85</v>
      </c>
      <c r="L742" s="22"/>
    </row>
    <row r="743" spans="1:22" ht="14.25" x14ac:dyDescent="0.2">
      <c r="A743" s="19"/>
      <c r="B743" s="19"/>
      <c r="C743" s="19"/>
      <c r="D743" s="19" t="s">
        <v>827</v>
      </c>
      <c r="E743" s="20"/>
      <c r="F743" s="9"/>
      <c r="G743" s="22">
        <f>Source!AN531</f>
        <v>0.03</v>
      </c>
      <c r="H743" s="21" t="str">
        <f>Source!DF531</f>
        <v/>
      </c>
      <c r="I743" s="9">
        <f>Source!AV531</f>
        <v>1</v>
      </c>
      <c r="J743" s="9">
        <f>IF(Source!BS531&lt;&gt; 0, Source!BS531, 1)</f>
        <v>1</v>
      </c>
      <c r="K743" s="24">
        <f>Source!R531</f>
        <v>0.03</v>
      </c>
      <c r="L743" s="22"/>
    </row>
    <row r="744" spans="1:22" ht="14.25" x14ac:dyDescent="0.2">
      <c r="A744" s="19"/>
      <c r="B744" s="19"/>
      <c r="C744" s="19"/>
      <c r="D744" s="19" t="s">
        <v>834</v>
      </c>
      <c r="E744" s="20"/>
      <c r="F744" s="9"/>
      <c r="G744" s="22">
        <f>Source!AL531</f>
        <v>2.2200000000000002</v>
      </c>
      <c r="H744" s="21" t="str">
        <f>Source!DD531</f>
        <v/>
      </c>
      <c r="I744" s="9">
        <f>Source!AW531</f>
        <v>1</v>
      </c>
      <c r="J744" s="9">
        <f>IF(Source!BC531&lt;&gt; 0, Source!BC531, 1)</f>
        <v>1</v>
      </c>
      <c r="K744" s="22">
        <f>Source!P531</f>
        <v>2.2200000000000002</v>
      </c>
      <c r="L744" s="22"/>
    </row>
    <row r="745" spans="1:22" ht="14.25" x14ac:dyDescent="0.2">
      <c r="A745" s="19"/>
      <c r="B745" s="19"/>
      <c r="C745" s="19"/>
      <c r="D745" s="19" t="s">
        <v>828</v>
      </c>
      <c r="E745" s="20" t="s">
        <v>829</v>
      </c>
      <c r="F745" s="9">
        <f>Source!AT531</f>
        <v>70</v>
      </c>
      <c r="G745" s="22"/>
      <c r="H745" s="21"/>
      <c r="I745" s="9"/>
      <c r="J745" s="9"/>
      <c r="K745" s="22">
        <f>SUM(R740:R744)</f>
        <v>622.42999999999995</v>
      </c>
      <c r="L745" s="22"/>
    </row>
    <row r="746" spans="1:22" ht="14.25" x14ac:dyDescent="0.2">
      <c r="A746" s="19"/>
      <c r="B746" s="19"/>
      <c r="C746" s="19"/>
      <c r="D746" s="19" t="s">
        <v>830</v>
      </c>
      <c r="E746" s="20" t="s">
        <v>829</v>
      </c>
      <c r="F746" s="9">
        <f>Source!AU531</f>
        <v>10</v>
      </c>
      <c r="G746" s="22"/>
      <c r="H746" s="21"/>
      <c r="I746" s="9"/>
      <c r="J746" s="9"/>
      <c r="K746" s="22">
        <f>SUM(T740:T745)</f>
        <v>88.92</v>
      </c>
      <c r="L746" s="22"/>
    </row>
    <row r="747" spans="1:22" ht="14.25" x14ac:dyDescent="0.2">
      <c r="A747" s="19"/>
      <c r="B747" s="19"/>
      <c r="C747" s="19"/>
      <c r="D747" s="19" t="s">
        <v>831</v>
      </c>
      <c r="E747" s="20" t="s">
        <v>829</v>
      </c>
      <c r="F747" s="9">
        <f>108</f>
        <v>108</v>
      </c>
      <c r="G747" s="22"/>
      <c r="H747" s="21"/>
      <c r="I747" s="9"/>
      <c r="J747" s="9"/>
      <c r="K747" s="22">
        <f>SUM(V740:V746)</f>
        <v>0.03</v>
      </c>
      <c r="L747" s="22"/>
    </row>
    <row r="748" spans="1:22" ht="14.25" x14ac:dyDescent="0.2">
      <c r="A748" s="19"/>
      <c r="B748" s="19"/>
      <c r="C748" s="19"/>
      <c r="D748" s="19" t="s">
        <v>832</v>
      </c>
      <c r="E748" s="20" t="s">
        <v>833</v>
      </c>
      <c r="F748" s="9">
        <f>Source!AQ531</f>
        <v>1.34</v>
      </c>
      <c r="G748" s="22"/>
      <c r="H748" s="21" t="str">
        <f>Source!DI531</f>
        <v/>
      </c>
      <c r="I748" s="9">
        <f>Source!AV531</f>
        <v>1</v>
      </c>
      <c r="J748" s="9"/>
      <c r="K748" s="22"/>
      <c r="L748" s="22">
        <f>Source!U531</f>
        <v>1.34</v>
      </c>
    </row>
    <row r="749" spans="1:22" ht="15" x14ac:dyDescent="0.25">
      <c r="A749" s="27"/>
      <c r="B749" s="27"/>
      <c r="C749" s="27"/>
      <c r="D749" s="27"/>
      <c r="E749" s="27"/>
      <c r="F749" s="27"/>
      <c r="G749" s="27"/>
      <c r="H749" s="27"/>
      <c r="I749" s="27"/>
      <c r="J749" s="60">
        <f>K741+K742+K744+K745+K746+K747</f>
        <v>1604.64</v>
      </c>
      <c r="K749" s="60"/>
      <c r="L749" s="28">
        <f>IF(Source!I531&lt;&gt;0, ROUND(J749/Source!I531, 2), 0)</f>
        <v>1604.64</v>
      </c>
      <c r="P749" s="25">
        <f>J749</f>
        <v>1604.64</v>
      </c>
    </row>
    <row r="750" spans="1:22" ht="42.75" x14ac:dyDescent="0.2">
      <c r="A750" s="19">
        <v>69</v>
      </c>
      <c r="B750" s="19">
        <v>69</v>
      </c>
      <c r="C750" s="19" t="str">
        <f>Source!F533</f>
        <v>1.18-2403-17-4/1</v>
      </c>
      <c r="D750" s="19" t="str">
        <f>Source!G533</f>
        <v>Техническое обслуживание внутренних кассетных блоков сплит систем мощностью свыше 5 кВт - полугодовое</v>
      </c>
      <c r="E750" s="20" t="str">
        <f>Source!H533</f>
        <v>1 блок</v>
      </c>
      <c r="F750" s="9">
        <f>Source!I533</f>
        <v>20</v>
      </c>
      <c r="G750" s="22"/>
      <c r="H750" s="21"/>
      <c r="I750" s="9"/>
      <c r="J750" s="9"/>
      <c r="K750" s="22"/>
      <c r="L750" s="22"/>
      <c r="Q750">
        <f>ROUND((Source!BZ533/100)*ROUND((Source!AF533*Source!AV533)*Source!I533, 2), 2)</f>
        <v>15978.9</v>
      </c>
      <c r="R750">
        <f>Source!X533</f>
        <v>15978.9</v>
      </c>
      <c r="S750">
        <f>ROUND((Source!CA533/100)*ROUND((Source!AF533*Source!AV533)*Source!I533, 2), 2)</f>
        <v>2282.6999999999998</v>
      </c>
      <c r="T750">
        <f>Source!Y533</f>
        <v>2282.6999999999998</v>
      </c>
      <c r="U750">
        <f>ROUND((175/100)*ROUND((Source!AE533*Source!AV533)*Source!I533, 2), 2)</f>
        <v>2.1</v>
      </c>
      <c r="V750">
        <f>ROUND((108/100)*ROUND(Source!CS533*Source!I533, 2), 2)</f>
        <v>1.3</v>
      </c>
    </row>
    <row r="751" spans="1:22" x14ac:dyDescent="0.2">
      <c r="D751" s="23" t="str">
        <f>"Объем: "&amp;Source!I533&amp;"=11+"&amp;"9"</f>
        <v>Объем: 20=11+9</v>
      </c>
    </row>
    <row r="752" spans="1:22" ht="14.25" x14ac:dyDescent="0.2">
      <c r="A752" s="19"/>
      <c r="B752" s="19"/>
      <c r="C752" s="19"/>
      <c r="D752" s="19" t="s">
        <v>825</v>
      </c>
      <c r="E752" s="20"/>
      <c r="F752" s="9"/>
      <c r="G752" s="22">
        <f>Source!AO533</f>
        <v>1141.3499999999999</v>
      </c>
      <c r="H752" s="21" t="str">
        <f>Source!DG533</f>
        <v/>
      </c>
      <c r="I752" s="9">
        <f>Source!AV533</f>
        <v>1</v>
      </c>
      <c r="J752" s="9">
        <f>IF(Source!BA533&lt;&gt; 0, Source!BA533, 1)</f>
        <v>1</v>
      </c>
      <c r="K752" s="22">
        <f>Source!S533</f>
        <v>22827</v>
      </c>
      <c r="L752" s="22"/>
    </row>
    <row r="753" spans="1:16" ht="14.25" x14ac:dyDescent="0.2">
      <c r="A753" s="19"/>
      <c r="B753" s="19"/>
      <c r="C753" s="19"/>
      <c r="D753" s="19" t="s">
        <v>826</v>
      </c>
      <c r="E753" s="20"/>
      <c r="F753" s="9"/>
      <c r="G753" s="22">
        <f>Source!AM533</f>
        <v>4.1100000000000003</v>
      </c>
      <c r="H753" s="21" t="str">
        <f>Source!DE533</f>
        <v/>
      </c>
      <c r="I753" s="9">
        <f>Source!AV533</f>
        <v>1</v>
      </c>
      <c r="J753" s="9">
        <f>IF(Source!BB533&lt;&gt; 0, Source!BB533, 1)</f>
        <v>1</v>
      </c>
      <c r="K753" s="22">
        <f>Source!Q533</f>
        <v>82.2</v>
      </c>
      <c r="L753" s="22"/>
    </row>
    <row r="754" spans="1:16" ht="14.25" x14ac:dyDescent="0.2">
      <c r="A754" s="19"/>
      <c r="B754" s="19"/>
      <c r="C754" s="19"/>
      <c r="D754" s="19" t="s">
        <v>827</v>
      </c>
      <c r="E754" s="20"/>
      <c r="F754" s="9"/>
      <c r="G754" s="22">
        <f>Source!AN533</f>
        <v>0.06</v>
      </c>
      <c r="H754" s="21" t="str">
        <f>Source!DF533</f>
        <v/>
      </c>
      <c r="I754" s="9">
        <f>Source!AV533</f>
        <v>1</v>
      </c>
      <c r="J754" s="9">
        <f>IF(Source!BS533&lt;&gt; 0, Source!BS533, 1)</f>
        <v>1</v>
      </c>
      <c r="K754" s="24">
        <f>Source!R533</f>
        <v>1.2</v>
      </c>
      <c r="L754" s="22"/>
    </row>
    <row r="755" spans="1:16" ht="14.25" x14ac:dyDescent="0.2">
      <c r="A755" s="19"/>
      <c r="B755" s="19"/>
      <c r="C755" s="19"/>
      <c r="D755" s="19" t="s">
        <v>834</v>
      </c>
      <c r="E755" s="20"/>
      <c r="F755" s="9"/>
      <c r="G755" s="22">
        <f>Source!AL533</f>
        <v>4.43</v>
      </c>
      <c r="H755" s="21" t="str">
        <f>Source!DD533</f>
        <v/>
      </c>
      <c r="I755" s="9">
        <f>Source!AW533</f>
        <v>1</v>
      </c>
      <c r="J755" s="9">
        <f>IF(Source!BC533&lt;&gt; 0, Source!BC533, 1)</f>
        <v>1</v>
      </c>
      <c r="K755" s="22">
        <f>Source!P533</f>
        <v>88.6</v>
      </c>
      <c r="L755" s="22"/>
    </row>
    <row r="756" spans="1:16" ht="14.25" x14ac:dyDescent="0.2">
      <c r="A756" s="19"/>
      <c r="B756" s="19"/>
      <c r="C756" s="19"/>
      <c r="D756" s="19" t="s">
        <v>828</v>
      </c>
      <c r="E756" s="20" t="s">
        <v>829</v>
      </c>
      <c r="F756" s="9">
        <f>Source!AT533</f>
        <v>70</v>
      </c>
      <c r="G756" s="22"/>
      <c r="H756" s="21"/>
      <c r="I756" s="9"/>
      <c r="J756" s="9"/>
      <c r="K756" s="22">
        <f>SUM(R750:R755)</f>
        <v>15978.9</v>
      </c>
      <c r="L756" s="22"/>
    </row>
    <row r="757" spans="1:16" ht="14.25" x14ac:dyDescent="0.2">
      <c r="A757" s="19"/>
      <c r="B757" s="19"/>
      <c r="C757" s="19"/>
      <c r="D757" s="19" t="s">
        <v>830</v>
      </c>
      <c r="E757" s="20" t="s">
        <v>829</v>
      </c>
      <c r="F757" s="9">
        <f>Source!AU533</f>
        <v>10</v>
      </c>
      <c r="G757" s="22"/>
      <c r="H757" s="21"/>
      <c r="I757" s="9"/>
      <c r="J757" s="9"/>
      <c r="K757" s="22">
        <f>SUM(T750:T756)</f>
        <v>2282.6999999999998</v>
      </c>
      <c r="L757" s="22"/>
    </row>
    <row r="758" spans="1:16" ht="14.25" x14ac:dyDescent="0.2">
      <c r="A758" s="19"/>
      <c r="B758" s="19"/>
      <c r="C758" s="19"/>
      <c r="D758" s="19" t="s">
        <v>831</v>
      </c>
      <c r="E758" s="20" t="s">
        <v>829</v>
      </c>
      <c r="F758" s="9">
        <f>108</f>
        <v>108</v>
      </c>
      <c r="G758" s="22"/>
      <c r="H758" s="21"/>
      <c r="I758" s="9"/>
      <c r="J758" s="9"/>
      <c r="K758" s="22">
        <f>SUM(V750:V757)</f>
        <v>1.3</v>
      </c>
      <c r="L758" s="22"/>
    </row>
    <row r="759" spans="1:16" ht="14.25" x14ac:dyDescent="0.2">
      <c r="A759" s="19"/>
      <c r="B759" s="19"/>
      <c r="C759" s="19"/>
      <c r="D759" s="19" t="s">
        <v>832</v>
      </c>
      <c r="E759" s="20" t="s">
        <v>833</v>
      </c>
      <c r="F759" s="9">
        <f>Source!AQ533</f>
        <v>1.72</v>
      </c>
      <c r="G759" s="22"/>
      <c r="H759" s="21" t="str">
        <f>Source!DI533</f>
        <v/>
      </c>
      <c r="I759" s="9">
        <f>Source!AV533</f>
        <v>1</v>
      </c>
      <c r="J759" s="9"/>
      <c r="K759" s="22"/>
      <c r="L759" s="22">
        <f>Source!U533</f>
        <v>34.4</v>
      </c>
    </row>
    <row r="760" spans="1:16" ht="15" x14ac:dyDescent="0.25">
      <c r="A760" s="27"/>
      <c r="B760" s="27"/>
      <c r="C760" s="27"/>
      <c r="D760" s="27"/>
      <c r="E760" s="27"/>
      <c r="F760" s="27"/>
      <c r="G760" s="27"/>
      <c r="H760" s="27"/>
      <c r="I760" s="27"/>
      <c r="J760" s="60">
        <f>K752+K753+K755+K756+K757+K758</f>
        <v>41260.699999999997</v>
      </c>
      <c r="K760" s="60"/>
      <c r="L760" s="28">
        <f>IF(Source!I533&lt;&gt;0, ROUND(J760/Source!I533, 2), 0)</f>
        <v>2063.04</v>
      </c>
      <c r="P760" s="25">
        <f>J760</f>
        <v>41260.699999999997</v>
      </c>
    </row>
    <row r="762" spans="1:16" ht="15" x14ac:dyDescent="0.25">
      <c r="A762" s="59" t="str">
        <f>CONCATENATE("Итого по подразделу: ",IF(Source!G536&lt;&gt;"Новый подраздел", Source!G536, ""))</f>
        <v>Итого по подразделу: Кондиционирование</v>
      </c>
      <c r="B762" s="59"/>
      <c r="C762" s="59"/>
      <c r="D762" s="59"/>
      <c r="E762" s="59"/>
      <c r="F762" s="59"/>
      <c r="G762" s="59"/>
      <c r="H762" s="59"/>
      <c r="I762" s="59"/>
      <c r="J762" s="57">
        <f>SUM(P693:P761)</f>
        <v>341952.5400000001</v>
      </c>
      <c r="K762" s="58"/>
      <c r="L762" s="18"/>
    </row>
    <row r="765" spans="1:16" ht="15" x14ac:dyDescent="0.25">
      <c r="A765" s="59" t="str">
        <f>CONCATENATE("Итого по разделу: ",IF(Source!G566&lt;&gt;"Новый раздел", Source!G566, ""))</f>
        <v>Итого по разделу: 3. Вентиляция и кондиционирование</v>
      </c>
      <c r="B765" s="59"/>
      <c r="C765" s="59"/>
      <c r="D765" s="59"/>
      <c r="E765" s="59"/>
      <c r="F765" s="59"/>
      <c r="G765" s="59"/>
      <c r="H765" s="59"/>
      <c r="I765" s="59"/>
      <c r="J765" s="57">
        <f>SUM(P613:P764)</f>
        <v>528402.02000000014</v>
      </c>
      <c r="K765" s="58"/>
      <c r="L765" s="18"/>
    </row>
    <row r="768" spans="1:16" ht="16.5" x14ac:dyDescent="0.25">
      <c r="A768" s="55" t="str">
        <f>CONCATENATE("Раздел: ",IF(Source!G596&lt;&gt;"Новый раздел", Source!G596, ""))</f>
        <v>Раздел: Раздел: 4. Системы электроснабжения</v>
      </c>
      <c r="B768" s="55"/>
      <c r="C768" s="55"/>
      <c r="D768" s="55"/>
      <c r="E768" s="55"/>
      <c r="F768" s="55"/>
      <c r="G768" s="55"/>
      <c r="H768" s="55"/>
      <c r="I768" s="55"/>
      <c r="J768" s="55"/>
      <c r="K768" s="55"/>
      <c r="L768" s="55"/>
    </row>
    <row r="770" spans="1:22" ht="16.5" x14ac:dyDescent="0.25">
      <c r="A770" s="55" t="str">
        <f>CONCATENATE("Подраздел: ",IF(Source!G600&lt;&gt;"Новый подраздел", Source!G600, ""))</f>
        <v>Подраздел: Силовое электрооборудование</v>
      </c>
      <c r="B770" s="55"/>
      <c r="C770" s="55"/>
      <c r="D770" s="55"/>
      <c r="E770" s="55"/>
      <c r="F770" s="55"/>
      <c r="G770" s="55"/>
      <c r="H770" s="55"/>
      <c r="I770" s="55"/>
      <c r="J770" s="55"/>
      <c r="K770" s="55"/>
      <c r="L770" s="55"/>
    </row>
    <row r="772" spans="1:22" ht="15" x14ac:dyDescent="0.25">
      <c r="C772" s="56" t="str">
        <f>Source!G604</f>
        <v>Электрооборудование. Корпус  7.2.1, 7.2.2,7.2.3</v>
      </c>
      <c r="D772" s="56"/>
      <c r="E772" s="56"/>
      <c r="F772" s="56"/>
      <c r="G772" s="56"/>
      <c r="H772" s="56"/>
      <c r="I772" s="56"/>
      <c r="J772" s="56"/>
      <c r="K772" s="56"/>
    </row>
    <row r="773" spans="1:22" ht="71.25" x14ac:dyDescent="0.2">
      <c r="A773" s="19">
        <v>70</v>
      </c>
      <c r="B773" s="19">
        <v>70</v>
      </c>
      <c r="C773" s="19" t="str">
        <f>Source!F605</f>
        <v>1.21-2203-2-5/1</v>
      </c>
      <c r="D773" s="19" t="str">
        <f>Source!G605</f>
        <v>Техническое обслуживание силового распределительного пункта с установочными автоматами, число групп 12/( Щит вводно-распределительный)</v>
      </c>
      <c r="E773" s="20" t="str">
        <f>Source!H605</f>
        <v>шт.</v>
      </c>
      <c r="F773" s="9">
        <f>Source!I605</f>
        <v>3</v>
      </c>
      <c r="G773" s="22"/>
      <c r="H773" s="21"/>
      <c r="I773" s="9"/>
      <c r="J773" s="9"/>
      <c r="K773" s="22"/>
      <c r="L773" s="22"/>
      <c r="Q773">
        <f>ROUND((Source!BZ605/100)*ROUND((Source!AF605*Source!AV605)*Source!I605, 2), 2)</f>
        <v>31121.5</v>
      </c>
      <c r="R773">
        <f>Source!X605</f>
        <v>31121.5</v>
      </c>
      <c r="S773">
        <f>ROUND((Source!CA605/100)*ROUND((Source!AF605*Source!AV605)*Source!I605, 2), 2)</f>
        <v>4445.93</v>
      </c>
      <c r="T773">
        <f>Source!Y605</f>
        <v>4445.93</v>
      </c>
      <c r="U773">
        <f>ROUND((175/100)*ROUND((Source!AE605*Source!AV605)*Source!I605, 2), 2)</f>
        <v>0</v>
      </c>
      <c r="V773">
        <f>ROUND((108/100)*ROUND(Source!CS605*Source!I605, 2), 2)</f>
        <v>0</v>
      </c>
    </row>
    <row r="774" spans="1:22" x14ac:dyDescent="0.2">
      <c r="D774" s="23" t="str">
        <f>"Объем: "&amp;Source!I605&amp;"=1+"&amp;"1+"&amp;"1"</f>
        <v>Объем: 3=1+1+1</v>
      </c>
    </row>
    <row r="775" spans="1:22" ht="14.25" x14ac:dyDescent="0.2">
      <c r="A775" s="19"/>
      <c r="B775" s="19"/>
      <c r="C775" s="19"/>
      <c r="D775" s="19" t="s">
        <v>825</v>
      </c>
      <c r="E775" s="20"/>
      <c r="F775" s="9"/>
      <c r="G775" s="22">
        <f>Source!AO605</f>
        <v>14819.76</v>
      </c>
      <c r="H775" s="21" t="str">
        <f>Source!DG605</f>
        <v/>
      </c>
      <c r="I775" s="9">
        <f>Source!AV605</f>
        <v>1</v>
      </c>
      <c r="J775" s="9">
        <f>IF(Source!BA605&lt;&gt; 0, Source!BA605, 1)</f>
        <v>1</v>
      </c>
      <c r="K775" s="22">
        <f>Source!S605</f>
        <v>44459.28</v>
      </c>
      <c r="L775" s="22"/>
    </row>
    <row r="776" spans="1:22" ht="14.25" x14ac:dyDescent="0.2">
      <c r="A776" s="19"/>
      <c r="B776" s="19"/>
      <c r="C776" s="19"/>
      <c r="D776" s="19" t="s">
        <v>834</v>
      </c>
      <c r="E776" s="20"/>
      <c r="F776" s="9"/>
      <c r="G776" s="22">
        <f>Source!AL605</f>
        <v>205.53</v>
      </c>
      <c r="H776" s="21" t="str">
        <f>Source!DD605</f>
        <v/>
      </c>
      <c r="I776" s="9">
        <f>Source!AW605</f>
        <v>1</v>
      </c>
      <c r="J776" s="9">
        <f>IF(Source!BC605&lt;&gt; 0, Source!BC605, 1)</f>
        <v>1</v>
      </c>
      <c r="K776" s="22">
        <f>Source!P605</f>
        <v>616.59</v>
      </c>
      <c r="L776" s="22"/>
    </row>
    <row r="777" spans="1:22" ht="14.25" x14ac:dyDescent="0.2">
      <c r="A777" s="19"/>
      <c r="B777" s="19"/>
      <c r="C777" s="19"/>
      <c r="D777" s="19" t="s">
        <v>828</v>
      </c>
      <c r="E777" s="20" t="s">
        <v>829</v>
      </c>
      <c r="F777" s="9">
        <f>Source!AT605</f>
        <v>70</v>
      </c>
      <c r="G777" s="22"/>
      <c r="H777" s="21"/>
      <c r="I777" s="9"/>
      <c r="J777" s="9"/>
      <c r="K777" s="22">
        <f>SUM(R773:R776)</f>
        <v>31121.5</v>
      </c>
      <c r="L777" s="22"/>
    </row>
    <row r="778" spans="1:22" ht="14.25" x14ac:dyDescent="0.2">
      <c r="A778" s="19"/>
      <c r="B778" s="19"/>
      <c r="C778" s="19"/>
      <c r="D778" s="19" t="s">
        <v>830</v>
      </c>
      <c r="E778" s="20" t="s">
        <v>829</v>
      </c>
      <c r="F778" s="9">
        <f>Source!AU605</f>
        <v>10</v>
      </c>
      <c r="G778" s="22"/>
      <c r="H778" s="21"/>
      <c r="I778" s="9"/>
      <c r="J778" s="9"/>
      <c r="K778" s="22">
        <f>SUM(T773:T777)</f>
        <v>4445.93</v>
      </c>
      <c r="L778" s="22"/>
    </row>
    <row r="779" spans="1:22" ht="14.25" x14ac:dyDescent="0.2">
      <c r="A779" s="19"/>
      <c r="B779" s="19"/>
      <c r="C779" s="19"/>
      <c r="D779" s="19" t="s">
        <v>832</v>
      </c>
      <c r="E779" s="20" t="s">
        <v>833</v>
      </c>
      <c r="F779" s="9">
        <f>Source!AQ605</f>
        <v>24</v>
      </c>
      <c r="G779" s="22"/>
      <c r="H779" s="21" t="str">
        <f>Source!DI605</f>
        <v/>
      </c>
      <c r="I779" s="9">
        <f>Source!AV605</f>
        <v>1</v>
      </c>
      <c r="J779" s="9"/>
      <c r="K779" s="22"/>
      <c r="L779" s="22">
        <f>Source!U605</f>
        <v>72</v>
      </c>
    </row>
    <row r="780" spans="1:22" ht="15" x14ac:dyDescent="0.25">
      <c r="A780" s="27"/>
      <c r="B780" s="27"/>
      <c r="C780" s="27"/>
      <c r="D780" s="27"/>
      <c r="E780" s="27"/>
      <c r="F780" s="27"/>
      <c r="G780" s="27"/>
      <c r="H780" s="27"/>
      <c r="I780" s="27"/>
      <c r="J780" s="60">
        <f>K775+K776+K777+K778</f>
        <v>80643.299999999988</v>
      </c>
      <c r="K780" s="60"/>
      <c r="L780" s="28">
        <f>IF(Source!I605&lt;&gt;0, ROUND(J780/Source!I605, 2), 0)</f>
        <v>26881.1</v>
      </c>
      <c r="P780" s="25">
        <f>J780</f>
        <v>80643.299999999988</v>
      </c>
    </row>
    <row r="781" spans="1:22" ht="71.25" x14ac:dyDescent="0.2">
      <c r="A781" s="19">
        <v>71</v>
      </c>
      <c r="B781" s="19">
        <v>71</v>
      </c>
      <c r="C781" s="19" t="str">
        <f>Source!F607</f>
        <v>1.21-2203-2-4/1</v>
      </c>
      <c r="D781" s="19" t="str">
        <f>Source!G607</f>
        <v>Техническое обслуживание силового распределительного пункта с установочными автоматами, число групп 10 (Панель пожарных устройств, Щит силовой обогрева кровли )</v>
      </c>
      <c r="E781" s="20" t="str">
        <f>Source!H607</f>
        <v>шт.</v>
      </c>
      <c r="F781" s="9">
        <f>Source!I607</f>
        <v>6</v>
      </c>
      <c r="G781" s="22"/>
      <c r="H781" s="21"/>
      <c r="I781" s="9"/>
      <c r="J781" s="9"/>
      <c r="K781" s="22"/>
      <c r="L781" s="22"/>
      <c r="Q781">
        <f>ROUND((Source!BZ607/100)*ROUND((Source!AF607*Source!AV607)*Source!I607, 2), 2)</f>
        <v>46682.239999999998</v>
      </c>
      <c r="R781">
        <f>Source!X607</f>
        <v>46682.239999999998</v>
      </c>
      <c r="S781">
        <f>ROUND((Source!CA607/100)*ROUND((Source!AF607*Source!AV607)*Source!I607, 2), 2)</f>
        <v>6668.89</v>
      </c>
      <c r="T781">
        <f>Source!Y607</f>
        <v>6668.89</v>
      </c>
      <c r="U781">
        <f>ROUND((175/100)*ROUND((Source!AE607*Source!AV607)*Source!I607, 2), 2)</f>
        <v>0</v>
      </c>
      <c r="V781">
        <f>ROUND((108/100)*ROUND(Source!CS607*Source!I607, 2), 2)</f>
        <v>0</v>
      </c>
    </row>
    <row r="782" spans="1:22" x14ac:dyDescent="0.2">
      <c r="D782" s="23" t="str">
        <f>"Объем: "&amp;Source!I607&amp;"=(1+"&amp;"1)+"&amp;"(1+"&amp;"1)+"&amp;"(1+"&amp;"1)"</f>
        <v>Объем: 6=(1+1)+(1+1)+(1+1)</v>
      </c>
    </row>
    <row r="783" spans="1:22" ht="14.25" x14ac:dyDescent="0.2">
      <c r="A783" s="19"/>
      <c r="B783" s="19"/>
      <c r="C783" s="19"/>
      <c r="D783" s="19" t="s">
        <v>825</v>
      </c>
      <c r="E783" s="20"/>
      <c r="F783" s="9"/>
      <c r="G783" s="22">
        <f>Source!AO607</f>
        <v>11114.82</v>
      </c>
      <c r="H783" s="21" t="str">
        <f>Source!DG607</f>
        <v/>
      </c>
      <c r="I783" s="9">
        <f>Source!AV607</f>
        <v>1</v>
      </c>
      <c r="J783" s="9">
        <f>IF(Source!BA607&lt;&gt; 0, Source!BA607, 1)</f>
        <v>1</v>
      </c>
      <c r="K783" s="22">
        <f>Source!S607</f>
        <v>66688.92</v>
      </c>
      <c r="L783" s="22"/>
    </row>
    <row r="784" spans="1:22" ht="14.25" x14ac:dyDescent="0.2">
      <c r="A784" s="19"/>
      <c r="B784" s="19"/>
      <c r="C784" s="19"/>
      <c r="D784" s="19" t="s">
        <v>834</v>
      </c>
      <c r="E784" s="20"/>
      <c r="F784" s="9"/>
      <c r="G784" s="22">
        <f>Source!AL607</f>
        <v>154.13999999999999</v>
      </c>
      <c r="H784" s="21" t="str">
        <f>Source!DD607</f>
        <v/>
      </c>
      <c r="I784" s="9">
        <f>Source!AW607</f>
        <v>1</v>
      </c>
      <c r="J784" s="9">
        <f>IF(Source!BC607&lt;&gt; 0, Source!BC607, 1)</f>
        <v>1</v>
      </c>
      <c r="K784" s="22">
        <f>Source!P607</f>
        <v>924.84</v>
      </c>
      <c r="L784" s="22"/>
    </row>
    <row r="785" spans="1:22" ht="14.25" x14ac:dyDescent="0.2">
      <c r="A785" s="19"/>
      <c r="B785" s="19"/>
      <c r="C785" s="19"/>
      <c r="D785" s="19" t="s">
        <v>828</v>
      </c>
      <c r="E785" s="20" t="s">
        <v>829</v>
      </c>
      <c r="F785" s="9">
        <f>Source!AT607</f>
        <v>70</v>
      </c>
      <c r="G785" s="22"/>
      <c r="H785" s="21"/>
      <c r="I785" s="9"/>
      <c r="J785" s="9"/>
      <c r="K785" s="22">
        <f>SUM(R781:R784)</f>
        <v>46682.239999999998</v>
      </c>
      <c r="L785" s="22"/>
    </row>
    <row r="786" spans="1:22" ht="14.25" x14ac:dyDescent="0.2">
      <c r="A786" s="19"/>
      <c r="B786" s="19"/>
      <c r="C786" s="19"/>
      <c r="D786" s="19" t="s">
        <v>830</v>
      </c>
      <c r="E786" s="20" t="s">
        <v>829</v>
      </c>
      <c r="F786" s="9">
        <f>Source!AU607</f>
        <v>10</v>
      </c>
      <c r="G786" s="22"/>
      <c r="H786" s="21"/>
      <c r="I786" s="9"/>
      <c r="J786" s="9"/>
      <c r="K786" s="22">
        <f>SUM(T781:T785)</f>
        <v>6668.89</v>
      </c>
      <c r="L786" s="22"/>
    </row>
    <row r="787" spans="1:22" ht="14.25" x14ac:dyDescent="0.2">
      <c r="A787" s="19"/>
      <c r="B787" s="19"/>
      <c r="C787" s="19"/>
      <c r="D787" s="19" t="s">
        <v>832</v>
      </c>
      <c r="E787" s="20" t="s">
        <v>833</v>
      </c>
      <c r="F787" s="9">
        <f>Source!AQ607</f>
        <v>18</v>
      </c>
      <c r="G787" s="22"/>
      <c r="H787" s="21" t="str">
        <f>Source!DI607</f>
        <v/>
      </c>
      <c r="I787" s="9">
        <f>Source!AV607</f>
        <v>1</v>
      </c>
      <c r="J787" s="9"/>
      <c r="K787" s="22"/>
      <c r="L787" s="22">
        <f>Source!U607</f>
        <v>108</v>
      </c>
    </row>
    <row r="788" spans="1:22" ht="15" x14ac:dyDescent="0.25">
      <c r="A788" s="27"/>
      <c r="B788" s="27"/>
      <c r="C788" s="27"/>
      <c r="D788" s="27"/>
      <c r="E788" s="27"/>
      <c r="F788" s="27"/>
      <c r="G788" s="27"/>
      <c r="H788" s="27"/>
      <c r="I788" s="27"/>
      <c r="J788" s="60">
        <f>K783+K784+K785+K786</f>
        <v>120964.89</v>
      </c>
      <c r="K788" s="60"/>
      <c r="L788" s="28">
        <f>IF(Source!I607&lt;&gt;0, ROUND(J788/Source!I607, 2), 0)</f>
        <v>20160.82</v>
      </c>
      <c r="P788" s="25">
        <f>J788</f>
        <v>120964.89</v>
      </c>
    </row>
    <row r="789" spans="1:22" ht="85.5" x14ac:dyDescent="0.2">
      <c r="A789" s="19">
        <v>72</v>
      </c>
      <c r="B789" s="19">
        <v>72</v>
      </c>
      <c r="C789" s="19" t="str">
        <f>Source!F609</f>
        <v>1.21-2203-37-1/1</v>
      </c>
      <c r="D789" s="19" t="str">
        <f>Source!G609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E789" s="20" t="str">
        <f>Source!H609</f>
        <v>шт.</v>
      </c>
      <c r="F789" s="9">
        <f>Source!I609</f>
        <v>6</v>
      </c>
      <c r="G789" s="22"/>
      <c r="H789" s="21"/>
      <c r="I789" s="9"/>
      <c r="J789" s="9"/>
      <c r="K789" s="22"/>
      <c r="L789" s="22"/>
      <c r="Q789">
        <f>ROUND((Source!BZ609/100)*ROUND((Source!AF609*Source!AV609)*Source!I609, 2), 2)</f>
        <v>1416.7</v>
      </c>
      <c r="R789">
        <f>Source!X609</f>
        <v>1416.7</v>
      </c>
      <c r="S789">
        <f>ROUND((Source!CA609/100)*ROUND((Source!AF609*Source!AV609)*Source!I609, 2), 2)</f>
        <v>202.39</v>
      </c>
      <c r="T789">
        <f>Source!Y609</f>
        <v>202.39</v>
      </c>
      <c r="U789">
        <f>ROUND((175/100)*ROUND((Source!AE609*Source!AV609)*Source!I609, 2), 2)</f>
        <v>0</v>
      </c>
      <c r="V789">
        <f>ROUND((108/100)*ROUND(Source!CS609*Source!I609, 2), 2)</f>
        <v>0</v>
      </c>
    </row>
    <row r="790" spans="1:22" x14ac:dyDescent="0.2">
      <c r="D790" s="23" t="str">
        <f>"Объем: "&amp;Source!I609&amp;"=2+"&amp;"2+"&amp;"2"</f>
        <v>Объем: 6=2+2+2</v>
      </c>
    </row>
    <row r="791" spans="1:22" ht="14.25" x14ac:dyDescent="0.2">
      <c r="A791" s="19"/>
      <c r="B791" s="19"/>
      <c r="C791" s="19"/>
      <c r="D791" s="19" t="s">
        <v>825</v>
      </c>
      <c r="E791" s="20"/>
      <c r="F791" s="9"/>
      <c r="G791" s="22">
        <f>Source!AO609</f>
        <v>337.31</v>
      </c>
      <c r="H791" s="21" t="str">
        <f>Source!DG609</f>
        <v/>
      </c>
      <c r="I791" s="9">
        <f>Source!AV609</f>
        <v>1</v>
      </c>
      <c r="J791" s="9">
        <f>IF(Source!BA609&lt;&gt; 0, Source!BA609, 1)</f>
        <v>1</v>
      </c>
      <c r="K791" s="22">
        <f>Source!S609</f>
        <v>2023.86</v>
      </c>
      <c r="L791" s="22"/>
    </row>
    <row r="792" spans="1:22" ht="14.25" x14ac:dyDescent="0.2">
      <c r="A792" s="19"/>
      <c r="B792" s="19"/>
      <c r="C792" s="19"/>
      <c r="D792" s="19" t="s">
        <v>834</v>
      </c>
      <c r="E792" s="20"/>
      <c r="F792" s="9"/>
      <c r="G792" s="22">
        <f>Source!AL609</f>
        <v>1.57</v>
      </c>
      <c r="H792" s="21" t="str">
        <f>Source!DD609</f>
        <v/>
      </c>
      <c r="I792" s="9">
        <f>Source!AW609</f>
        <v>1</v>
      </c>
      <c r="J792" s="9">
        <f>IF(Source!BC609&lt;&gt; 0, Source!BC609, 1)</f>
        <v>1</v>
      </c>
      <c r="K792" s="22">
        <f>Source!P609</f>
        <v>9.42</v>
      </c>
      <c r="L792" s="22"/>
    </row>
    <row r="793" spans="1:22" ht="14.25" x14ac:dyDescent="0.2">
      <c r="A793" s="19"/>
      <c r="B793" s="19"/>
      <c r="C793" s="19"/>
      <c r="D793" s="19" t="s">
        <v>828</v>
      </c>
      <c r="E793" s="20" t="s">
        <v>829</v>
      </c>
      <c r="F793" s="9">
        <f>Source!AT609</f>
        <v>70</v>
      </c>
      <c r="G793" s="22"/>
      <c r="H793" s="21"/>
      <c r="I793" s="9"/>
      <c r="J793" s="9"/>
      <c r="K793" s="22">
        <f>SUM(R789:R792)</f>
        <v>1416.7</v>
      </c>
      <c r="L793" s="22"/>
    </row>
    <row r="794" spans="1:22" ht="14.25" x14ac:dyDescent="0.2">
      <c r="A794" s="19"/>
      <c r="B794" s="19"/>
      <c r="C794" s="19"/>
      <c r="D794" s="19" t="s">
        <v>830</v>
      </c>
      <c r="E794" s="20" t="s">
        <v>829</v>
      </c>
      <c r="F794" s="9">
        <f>Source!AU609</f>
        <v>10</v>
      </c>
      <c r="G794" s="22"/>
      <c r="H794" s="21"/>
      <c r="I794" s="9"/>
      <c r="J794" s="9"/>
      <c r="K794" s="22">
        <f>SUM(T789:T793)</f>
        <v>202.39</v>
      </c>
      <c r="L794" s="22"/>
    </row>
    <row r="795" spans="1:22" ht="14.25" x14ac:dyDescent="0.2">
      <c r="A795" s="19"/>
      <c r="B795" s="19"/>
      <c r="C795" s="19"/>
      <c r="D795" s="19" t="s">
        <v>832</v>
      </c>
      <c r="E795" s="20" t="s">
        <v>833</v>
      </c>
      <c r="F795" s="9">
        <f>Source!AQ609</f>
        <v>0.6</v>
      </c>
      <c r="G795" s="22"/>
      <c r="H795" s="21" t="str">
        <f>Source!DI609</f>
        <v/>
      </c>
      <c r="I795" s="9">
        <f>Source!AV609</f>
        <v>1</v>
      </c>
      <c r="J795" s="9"/>
      <c r="K795" s="22"/>
      <c r="L795" s="22">
        <f>Source!U609</f>
        <v>3.5999999999999996</v>
      </c>
    </row>
    <row r="796" spans="1:22" ht="15" x14ac:dyDescent="0.25">
      <c r="A796" s="27"/>
      <c r="B796" s="27"/>
      <c r="C796" s="27"/>
      <c r="D796" s="27"/>
      <c r="E796" s="27"/>
      <c r="F796" s="27"/>
      <c r="G796" s="27"/>
      <c r="H796" s="27"/>
      <c r="I796" s="27"/>
      <c r="J796" s="60">
        <f>K791+K792+K793+K794</f>
        <v>3652.37</v>
      </c>
      <c r="K796" s="60"/>
      <c r="L796" s="28">
        <f>IF(Source!I609&lt;&gt;0, ROUND(J796/Source!I609, 2), 0)</f>
        <v>608.73</v>
      </c>
      <c r="P796" s="25">
        <f>J796</f>
        <v>3652.37</v>
      </c>
    </row>
    <row r="798" spans="1:22" ht="15" x14ac:dyDescent="0.25">
      <c r="C798" s="56" t="str">
        <f>Source!G612</f>
        <v>Электрооборудование. Корпус  7.2.4</v>
      </c>
      <c r="D798" s="56"/>
      <c r="E798" s="56"/>
      <c r="F798" s="56"/>
      <c r="G798" s="56"/>
      <c r="H798" s="56"/>
      <c r="I798" s="56"/>
      <c r="J798" s="56"/>
      <c r="K798" s="56"/>
    </row>
    <row r="799" spans="1:22" ht="71.25" x14ac:dyDescent="0.2">
      <c r="A799" s="19">
        <v>73</v>
      </c>
      <c r="B799" s="19">
        <v>73</v>
      </c>
      <c r="C799" s="19" t="str">
        <f>Source!F613</f>
        <v>1.21-2203-2-5/1</v>
      </c>
      <c r="D799" s="19" t="str">
        <f>Source!G613</f>
        <v>Техническое обслуживание силового распределительного пункта с установочными автоматами, число групп 12 /( Главный распределительный щит )</v>
      </c>
      <c r="E799" s="20" t="str">
        <f>Source!H613</f>
        <v>шт.</v>
      </c>
      <c r="F799" s="9">
        <f>Source!I613</f>
        <v>1</v>
      </c>
      <c r="G799" s="22"/>
      <c r="H799" s="21"/>
      <c r="I799" s="9"/>
      <c r="J799" s="9"/>
      <c r="K799" s="22"/>
      <c r="L799" s="22"/>
      <c r="Q799">
        <f>ROUND((Source!BZ613/100)*ROUND((Source!AF613*Source!AV613)*Source!I613, 2), 2)</f>
        <v>10373.83</v>
      </c>
      <c r="R799">
        <f>Source!X613</f>
        <v>10373.83</v>
      </c>
      <c r="S799">
        <f>ROUND((Source!CA613/100)*ROUND((Source!AF613*Source!AV613)*Source!I613, 2), 2)</f>
        <v>1481.98</v>
      </c>
      <c r="T799">
        <f>Source!Y613</f>
        <v>1481.98</v>
      </c>
      <c r="U799">
        <f>ROUND((175/100)*ROUND((Source!AE613*Source!AV613)*Source!I613, 2), 2)</f>
        <v>0</v>
      </c>
      <c r="V799">
        <f>ROUND((108/100)*ROUND(Source!CS613*Source!I613, 2), 2)</f>
        <v>0</v>
      </c>
    </row>
    <row r="800" spans="1:22" ht="14.25" x14ac:dyDescent="0.2">
      <c r="A800" s="19"/>
      <c r="B800" s="19"/>
      <c r="C800" s="19"/>
      <c r="D800" s="19" t="s">
        <v>825</v>
      </c>
      <c r="E800" s="20"/>
      <c r="F800" s="9"/>
      <c r="G800" s="22">
        <f>Source!AO613</f>
        <v>14819.76</v>
      </c>
      <c r="H800" s="21" t="str">
        <f>Source!DG613</f>
        <v/>
      </c>
      <c r="I800" s="9">
        <f>Source!AV613</f>
        <v>1</v>
      </c>
      <c r="J800" s="9">
        <f>IF(Source!BA613&lt;&gt; 0, Source!BA613, 1)</f>
        <v>1</v>
      </c>
      <c r="K800" s="22">
        <f>Source!S613</f>
        <v>14819.76</v>
      </c>
      <c r="L800" s="22"/>
    </row>
    <row r="801" spans="1:22" ht="14.25" x14ac:dyDescent="0.2">
      <c r="A801" s="19"/>
      <c r="B801" s="19"/>
      <c r="C801" s="19"/>
      <c r="D801" s="19" t="s">
        <v>834</v>
      </c>
      <c r="E801" s="20"/>
      <c r="F801" s="9"/>
      <c r="G801" s="22">
        <f>Source!AL613</f>
        <v>205.53</v>
      </c>
      <c r="H801" s="21" t="str">
        <f>Source!DD613</f>
        <v/>
      </c>
      <c r="I801" s="9">
        <f>Source!AW613</f>
        <v>1</v>
      </c>
      <c r="J801" s="9">
        <f>IF(Source!BC613&lt;&gt; 0, Source!BC613, 1)</f>
        <v>1</v>
      </c>
      <c r="K801" s="22">
        <f>Source!P613</f>
        <v>205.53</v>
      </c>
      <c r="L801" s="22"/>
    </row>
    <row r="802" spans="1:22" ht="14.25" x14ac:dyDescent="0.2">
      <c r="A802" s="19"/>
      <c r="B802" s="19"/>
      <c r="C802" s="19"/>
      <c r="D802" s="19" t="s">
        <v>828</v>
      </c>
      <c r="E802" s="20" t="s">
        <v>829</v>
      </c>
      <c r="F802" s="9">
        <f>Source!AT613</f>
        <v>70</v>
      </c>
      <c r="G802" s="22"/>
      <c r="H802" s="21"/>
      <c r="I802" s="9"/>
      <c r="J802" s="9"/>
      <c r="K802" s="22">
        <f>SUM(R799:R801)</f>
        <v>10373.83</v>
      </c>
      <c r="L802" s="22"/>
    </row>
    <row r="803" spans="1:22" ht="14.25" x14ac:dyDescent="0.2">
      <c r="A803" s="19"/>
      <c r="B803" s="19"/>
      <c r="C803" s="19"/>
      <c r="D803" s="19" t="s">
        <v>830</v>
      </c>
      <c r="E803" s="20" t="s">
        <v>829</v>
      </c>
      <c r="F803" s="9">
        <f>Source!AU613</f>
        <v>10</v>
      </c>
      <c r="G803" s="22"/>
      <c r="H803" s="21"/>
      <c r="I803" s="9"/>
      <c r="J803" s="9"/>
      <c r="K803" s="22">
        <f>SUM(T799:T802)</f>
        <v>1481.98</v>
      </c>
      <c r="L803" s="22"/>
    </row>
    <row r="804" spans="1:22" ht="14.25" x14ac:dyDescent="0.2">
      <c r="A804" s="19"/>
      <c r="B804" s="19"/>
      <c r="C804" s="19"/>
      <c r="D804" s="19" t="s">
        <v>832</v>
      </c>
      <c r="E804" s="20" t="s">
        <v>833</v>
      </c>
      <c r="F804" s="9">
        <f>Source!AQ613</f>
        <v>24</v>
      </c>
      <c r="G804" s="22"/>
      <c r="H804" s="21" t="str">
        <f>Source!DI613</f>
        <v/>
      </c>
      <c r="I804" s="9">
        <f>Source!AV613</f>
        <v>1</v>
      </c>
      <c r="J804" s="9"/>
      <c r="K804" s="22"/>
      <c r="L804" s="22">
        <f>Source!U613</f>
        <v>24</v>
      </c>
    </row>
    <row r="805" spans="1:22" ht="15" x14ac:dyDescent="0.25">
      <c r="A805" s="27"/>
      <c r="B805" s="27"/>
      <c r="C805" s="27"/>
      <c r="D805" s="27"/>
      <c r="E805" s="27"/>
      <c r="F805" s="27"/>
      <c r="G805" s="27"/>
      <c r="H805" s="27"/>
      <c r="I805" s="27"/>
      <c r="J805" s="60">
        <f>K800+K801+K802+K803</f>
        <v>26881.100000000002</v>
      </c>
      <c r="K805" s="60"/>
      <c r="L805" s="28">
        <f>IF(Source!I613&lt;&gt;0, ROUND(J805/Source!I613, 2), 0)</f>
        <v>26881.1</v>
      </c>
      <c r="P805" s="25">
        <f>J805</f>
        <v>26881.100000000002</v>
      </c>
    </row>
    <row r="806" spans="1:22" ht="71.25" x14ac:dyDescent="0.2">
      <c r="A806" s="19">
        <v>74</v>
      </c>
      <c r="B806" s="19">
        <v>74</v>
      </c>
      <c r="C806" s="19" t="str">
        <f>Source!F615</f>
        <v>1.21-2203-2-4/1</v>
      </c>
      <c r="D806" s="19" t="str">
        <f>Source!G615</f>
        <v>Техническое обслуживание силового распределительного пункта с установочными автоматами, число групп 10 /Вводно-распределительное устройство</v>
      </c>
      <c r="E806" s="20" t="str">
        <f>Source!H615</f>
        <v>шт.</v>
      </c>
      <c r="F806" s="9">
        <f>Source!I615</f>
        <v>1</v>
      </c>
      <c r="G806" s="22"/>
      <c r="H806" s="21"/>
      <c r="I806" s="9"/>
      <c r="J806" s="9"/>
      <c r="K806" s="22"/>
      <c r="L806" s="22"/>
      <c r="Q806">
        <f>ROUND((Source!BZ615/100)*ROUND((Source!AF615*Source!AV615)*Source!I615, 2), 2)</f>
        <v>7780.37</v>
      </c>
      <c r="R806">
        <f>Source!X615</f>
        <v>7780.37</v>
      </c>
      <c r="S806">
        <f>ROUND((Source!CA615/100)*ROUND((Source!AF615*Source!AV615)*Source!I615, 2), 2)</f>
        <v>1111.48</v>
      </c>
      <c r="T806">
        <f>Source!Y615</f>
        <v>1111.48</v>
      </c>
      <c r="U806">
        <f>ROUND((175/100)*ROUND((Source!AE615*Source!AV615)*Source!I615, 2), 2)</f>
        <v>0</v>
      </c>
      <c r="V806">
        <f>ROUND((108/100)*ROUND(Source!CS615*Source!I615, 2), 2)</f>
        <v>0</v>
      </c>
    </row>
    <row r="807" spans="1:22" ht="14.25" x14ac:dyDescent="0.2">
      <c r="A807" s="19"/>
      <c r="B807" s="19"/>
      <c r="C807" s="19"/>
      <c r="D807" s="19" t="s">
        <v>825</v>
      </c>
      <c r="E807" s="20"/>
      <c r="F807" s="9"/>
      <c r="G807" s="22">
        <f>Source!AO615</f>
        <v>11114.82</v>
      </c>
      <c r="H807" s="21" t="str">
        <f>Source!DG615</f>
        <v/>
      </c>
      <c r="I807" s="9">
        <f>Source!AV615</f>
        <v>1</v>
      </c>
      <c r="J807" s="9">
        <f>IF(Source!BA615&lt;&gt; 0, Source!BA615, 1)</f>
        <v>1</v>
      </c>
      <c r="K807" s="22">
        <f>Source!S615</f>
        <v>11114.82</v>
      </c>
      <c r="L807" s="22"/>
    </row>
    <row r="808" spans="1:22" ht="14.25" x14ac:dyDescent="0.2">
      <c r="A808" s="19"/>
      <c r="B808" s="19"/>
      <c r="C808" s="19"/>
      <c r="D808" s="19" t="s">
        <v>834</v>
      </c>
      <c r="E808" s="20"/>
      <c r="F808" s="9"/>
      <c r="G808" s="22">
        <f>Source!AL615</f>
        <v>154.13999999999999</v>
      </c>
      <c r="H808" s="21" t="str">
        <f>Source!DD615</f>
        <v/>
      </c>
      <c r="I808" s="9">
        <f>Source!AW615</f>
        <v>1</v>
      </c>
      <c r="J808" s="9">
        <f>IF(Source!BC615&lt;&gt; 0, Source!BC615, 1)</f>
        <v>1</v>
      </c>
      <c r="K808" s="22">
        <f>Source!P615</f>
        <v>154.13999999999999</v>
      </c>
      <c r="L808" s="22"/>
    </row>
    <row r="809" spans="1:22" ht="14.25" x14ac:dyDescent="0.2">
      <c r="A809" s="19"/>
      <c r="B809" s="19"/>
      <c r="C809" s="19"/>
      <c r="D809" s="19" t="s">
        <v>828</v>
      </c>
      <c r="E809" s="20" t="s">
        <v>829</v>
      </c>
      <c r="F809" s="9">
        <f>Source!AT615</f>
        <v>70</v>
      </c>
      <c r="G809" s="22"/>
      <c r="H809" s="21"/>
      <c r="I809" s="9"/>
      <c r="J809" s="9"/>
      <c r="K809" s="22">
        <f>SUM(R806:R808)</f>
        <v>7780.37</v>
      </c>
      <c r="L809" s="22"/>
    </row>
    <row r="810" spans="1:22" ht="14.25" x14ac:dyDescent="0.2">
      <c r="A810" s="19"/>
      <c r="B810" s="19"/>
      <c r="C810" s="19"/>
      <c r="D810" s="19" t="s">
        <v>830</v>
      </c>
      <c r="E810" s="20" t="s">
        <v>829</v>
      </c>
      <c r="F810" s="9">
        <f>Source!AU615</f>
        <v>10</v>
      </c>
      <c r="G810" s="22"/>
      <c r="H810" s="21"/>
      <c r="I810" s="9"/>
      <c r="J810" s="9"/>
      <c r="K810" s="22">
        <f>SUM(T806:T809)</f>
        <v>1111.48</v>
      </c>
      <c r="L810" s="22"/>
    </row>
    <row r="811" spans="1:22" ht="14.25" x14ac:dyDescent="0.2">
      <c r="A811" s="19"/>
      <c r="B811" s="19"/>
      <c r="C811" s="19"/>
      <c r="D811" s="19" t="s">
        <v>832</v>
      </c>
      <c r="E811" s="20" t="s">
        <v>833</v>
      </c>
      <c r="F811" s="9">
        <f>Source!AQ615</f>
        <v>18</v>
      </c>
      <c r="G811" s="22"/>
      <c r="H811" s="21" t="str">
        <f>Source!DI615</f>
        <v/>
      </c>
      <c r="I811" s="9">
        <f>Source!AV615</f>
        <v>1</v>
      </c>
      <c r="J811" s="9"/>
      <c r="K811" s="22"/>
      <c r="L811" s="22">
        <f>Source!U615</f>
        <v>18</v>
      </c>
    </row>
    <row r="812" spans="1:22" ht="15" x14ac:dyDescent="0.25">
      <c r="A812" s="27"/>
      <c r="B812" s="27"/>
      <c r="C812" s="27"/>
      <c r="D812" s="27"/>
      <c r="E812" s="27"/>
      <c r="F812" s="27"/>
      <c r="G812" s="27"/>
      <c r="H812" s="27"/>
      <c r="I812" s="27"/>
      <c r="J812" s="60">
        <f>K807+K808+K809+K810</f>
        <v>20160.809999999998</v>
      </c>
      <c r="K812" s="60"/>
      <c r="L812" s="28">
        <f>IF(Source!I615&lt;&gt;0, ROUND(J812/Source!I615, 2), 0)</f>
        <v>20160.810000000001</v>
      </c>
      <c r="P812" s="25">
        <f>J812</f>
        <v>20160.809999999998</v>
      </c>
    </row>
    <row r="813" spans="1:22" ht="71.25" x14ac:dyDescent="0.2">
      <c r="A813" s="19">
        <v>75</v>
      </c>
      <c r="B813" s="19">
        <v>75</v>
      </c>
      <c r="C813" s="19" t="str">
        <f>Source!F617</f>
        <v>1.21-2203-2-4/1</v>
      </c>
      <c r="D813" s="19" t="str">
        <f>Source!G617</f>
        <v>Техническое обслуживание силового распределительного пункта с установочными автоматами, число групп 10 (Панель пожарных устройств, Щит силовой обогрева кровли )</v>
      </c>
      <c r="E813" s="20" t="str">
        <f>Source!H617</f>
        <v>шт.</v>
      </c>
      <c r="F813" s="9">
        <f>Source!I617</f>
        <v>1</v>
      </c>
      <c r="G813" s="22"/>
      <c r="H813" s="21"/>
      <c r="I813" s="9"/>
      <c r="J813" s="9"/>
      <c r="K813" s="22"/>
      <c r="L813" s="22"/>
      <c r="Q813">
        <f>ROUND((Source!BZ617/100)*ROUND((Source!AF617*Source!AV617)*Source!I617, 2), 2)</f>
        <v>7780.37</v>
      </c>
      <c r="R813">
        <f>Source!X617</f>
        <v>7780.37</v>
      </c>
      <c r="S813">
        <f>ROUND((Source!CA617/100)*ROUND((Source!AF617*Source!AV617)*Source!I617, 2), 2)</f>
        <v>1111.48</v>
      </c>
      <c r="T813">
        <f>Source!Y617</f>
        <v>1111.48</v>
      </c>
      <c r="U813">
        <f>ROUND((175/100)*ROUND((Source!AE617*Source!AV617)*Source!I617, 2), 2)</f>
        <v>0</v>
      </c>
      <c r="V813">
        <f>ROUND((108/100)*ROUND(Source!CS617*Source!I617, 2), 2)</f>
        <v>0</v>
      </c>
    </row>
    <row r="814" spans="1:22" ht="14.25" x14ac:dyDescent="0.2">
      <c r="A814" s="19"/>
      <c r="B814" s="19"/>
      <c r="C814" s="19"/>
      <c r="D814" s="19" t="s">
        <v>825</v>
      </c>
      <c r="E814" s="20"/>
      <c r="F814" s="9"/>
      <c r="G814" s="22">
        <f>Source!AO617</f>
        <v>11114.82</v>
      </c>
      <c r="H814" s="21" t="str">
        <f>Source!DG617</f>
        <v/>
      </c>
      <c r="I814" s="9">
        <f>Source!AV617</f>
        <v>1</v>
      </c>
      <c r="J814" s="9">
        <f>IF(Source!BA617&lt;&gt; 0, Source!BA617, 1)</f>
        <v>1</v>
      </c>
      <c r="K814" s="22">
        <f>Source!S617</f>
        <v>11114.82</v>
      </c>
      <c r="L814" s="22"/>
    </row>
    <row r="815" spans="1:22" ht="14.25" x14ac:dyDescent="0.2">
      <c r="A815" s="19"/>
      <c r="B815" s="19"/>
      <c r="C815" s="19"/>
      <c r="D815" s="19" t="s">
        <v>834</v>
      </c>
      <c r="E815" s="20"/>
      <c r="F815" s="9"/>
      <c r="G815" s="22">
        <f>Source!AL617</f>
        <v>154.13999999999999</v>
      </c>
      <c r="H815" s="21" t="str">
        <f>Source!DD617</f>
        <v/>
      </c>
      <c r="I815" s="9">
        <f>Source!AW617</f>
        <v>1</v>
      </c>
      <c r="J815" s="9">
        <f>IF(Source!BC617&lt;&gt; 0, Source!BC617, 1)</f>
        <v>1</v>
      </c>
      <c r="K815" s="22">
        <f>Source!P617</f>
        <v>154.13999999999999</v>
      </c>
      <c r="L815" s="22"/>
    </row>
    <row r="816" spans="1:22" ht="14.25" x14ac:dyDescent="0.2">
      <c r="A816" s="19"/>
      <c r="B816" s="19"/>
      <c r="C816" s="19"/>
      <c r="D816" s="19" t="s">
        <v>828</v>
      </c>
      <c r="E816" s="20" t="s">
        <v>829</v>
      </c>
      <c r="F816" s="9">
        <f>Source!AT617</f>
        <v>70</v>
      </c>
      <c r="G816" s="22"/>
      <c r="H816" s="21"/>
      <c r="I816" s="9"/>
      <c r="J816" s="9"/>
      <c r="K816" s="22">
        <f>SUM(R813:R815)</f>
        <v>7780.37</v>
      </c>
      <c r="L816" s="22"/>
    </row>
    <row r="817" spans="1:22" ht="14.25" x14ac:dyDescent="0.2">
      <c r="A817" s="19"/>
      <c r="B817" s="19"/>
      <c r="C817" s="19"/>
      <c r="D817" s="19" t="s">
        <v>830</v>
      </c>
      <c r="E817" s="20" t="s">
        <v>829</v>
      </c>
      <c r="F817" s="9">
        <f>Source!AU617</f>
        <v>10</v>
      </c>
      <c r="G817" s="22"/>
      <c r="H817" s="21"/>
      <c r="I817" s="9"/>
      <c r="J817" s="9"/>
      <c r="K817" s="22">
        <f>SUM(T813:T816)</f>
        <v>1111.48</v>
      </c>
      <c r="L817" s="22"/>
    </row>
    <row r="818" spans="1:22" ht="14.25" x14ac:dyDescent="0.2">
      <c r="A818" s="19"/>
      <c r="B818" s="19"/>
      <c r="C818" s="19"/>
      <c r="D818" s="19" t="s">
        <v>832</v>
      </c>
      <c r="E818" s="20" t="s">
        <v>833</v>
      </c>
      <c r="F818" s="9">
        <f>Source!AQ617</f>
        <v>18</v>
      </c>
      <c r="G818" s="22"/>
      <c r="H818" s="21" t="str">
        <f>Source!DI617</f>
        <v/>
      </c>
      <c r="I818" s="9">
        <f>Source!AV617</f>
        <v>1</v>
      </c>
      <c r="J818" s="9"/>
      <c r="K818" s="22"/>
      <c r="L818" s="22">
        <f>Source!U617</f>
        <v>18</v>
      </c>
    </row>
    <row r="819" spans="1:22" ht="15" x14ac:dyDescent="0.25">
      <c r="A819" s="27"/>
      <c r="B819" s="27"/>
      <c r="C819" s="27"/>
      <c r="D819" s="27"/>
      <c r="E819" s="27"/>
      <c r="F819" s="27"/>
      <c r="G819" s="27"/>
      <c r="H819" s="27"/>
      <c r="I819" s="27"/>
      <c r="J819" s="60">
        <f>K814+K815+K816+K817</f>
        <v>20160.809999999998</v>
      </c>
      <c r="K819" s="60"/>
      <c r="L819" s="28">
        <f>IF(Source!I617&lt;&gt;0, ROUND(J819/Source!I617, 2), 0)</f>
        <v>20160.810000000001</v>
      </c>
      <c r="P819" s="25">
        <f>J819</f>
        <v>20160.809999999998</v>
      </c>
    </row>
    <row r="820" spans="1:22" ht="85.5" x14ac:dyDescent="0.2">
      <c r="A820" s="19">
        <v>76</v>
      </c>
      <c r="B820" s="19">
        <v>76</v>
      </c>
      <c r="C820" s="19" t="str">
        <f>Source!F619</f>
        <v>1.21-2203-37-1/1</v>
      </c>
      <c r="D820" s="19" t="str">
        <f>Source!G619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E820" s="20" t="str">
        <f>Source!H619</f>
        <v>шт.</v>
      </c>
      <c r="F820" s="9">
        <f>Source!I619</f>
        <v>6</v>
      </c>
      <c r="G820" s="22"/>
      <c r="H820" s="21"/>
      <c r="I820" s="9"/>
      <c r="J820" s="9"/>
      <c r="K820" s="22"/>
      <c r="L820" s="22"/>
      <c r="Q820">
        <f>ROUND((Source!BZ619/100)*ROUND((Source!AF619*Source!AV619)*Source!I619, 2), 2)</f>
        <v>1416.7</v>
      </c>
      <c r="R820">
        <f>Source!X619</f>
        <v>1416.7</v>
      </c>
      <c r="S820">
        <f>ROUND((Source!CA619/100)*ROUND((Source!AF619*Source!AV619)*Source!I619, 2), 2)</f>
        <v>202.39</v>
      </c>
      <c r="T820">
        <f>Source!Y619</f>
        <v>202.39</v>
      </c>
      <c r="U820">
        <f>ROUND((175/100)*ROUND((Source!AE619*Source!AV619)*Source!I619, 2), 2)</f>
        <v>0</v>
      </c>
      <c r="V820">
        <f>ROUND((108/100)*ROUND(Source!CS619*Source!I619, 2), 2)</f>
        <v>0</v>
      </c>
    </row>
    <row r="821" spans="1:22" x14ac:dyDescent="0.2">
      <c r="D821" s="23" t="str">
        <f>"Объем: "&amp;Source!I619&amp;"=2+"&amp;"2+"&amp;"2"</f>
        <v>Объем: 6=2+2+2</v>
      </c>
    </row>
    <row r="822" spans="1:22" ht="14.25" x14ac:dyDescent="0.2">
      <c r="A822" s="19"/>
      <c r="B822" s="19"/>
      <c r="C822" s="19"/>
      <c r="D822" s="19" t="s">
        <v>825</v>
      </c>
      <c r="E822" s="20"/>
      <c r="F822" s="9"/>
      <c r="G822" s="22">
        <f>Source!AO619</f>
        <v>337.31</v>
      </c>
      <c r="H822" s="21" t="str">
        <f>Source!DG619</f>
        <v/>
      </c>
      <c r="I822" s="9">
        <f>Source!AV619</f>
        <v>1</v>
      </c>
      <c r="J822" s="9">
        <f>IF(Source!BA619&lt;&gt; 0, Source!BA619, 1)</f>
        <v>1</v>
      </c>
      <c r="K822" s="22">
        <f>Source!S619</f>
        <v>2023.86</v>
      </c>
      <c r="L822" s="22"/>
    </row>
    <row r="823" spans="1:22" ht="14.25" x14ac:dyDescent="0.2">
      <c r="A823" s="19"/>
      <c r="B823" s="19"/>
      <c r="C823" s="19"/>
      <c r="D823" s="19" t="s">
        <v>834</v>
      </c>
      <c r="E823" s="20"/>
      <c r="F823" s="9"/>
      <c r="G823" s="22">
        <f>Source!AL619</f>
        <v>1.57</v>
      </c>
      <c r="H823" s="21" t="str">
        <f>Source!DD619</f>
        <v/>
      </c>
      <c r="I823" s="9">
        <f>Source!AW619</f>
        <v>1</v>
      </c>
      <c r="J823" s="9">
        <f>IF(Source!BC619&lt;&gt; 0, Source!BC619, 1)</f>
        <v>1</v>
      </c>
      <c r="K823" s="22">
        <f>Source!P619</f>
        <v>9.42</v>
      </c>
      <c r="L823" s="22"/>
    </row>
    <row r="824" spans="1:22" ht="14.25" x14ac:dyDescent="0.2">
      <c r="A824" s="19"/>
      <c r="B824" s="19"/>
      <c r="C824" s="19"/>
      <c r="D824" s="19" t="s">
        <v>828</v>
      </c>
      <c r="E824" s="20" t="s">
        <v>829</v>
      </c>
      <c r="F824" s="9">
        <f>Source!AT619</f>
        <v>70</v>
      </c>
      <c r="G824" s="22"/>
      <c r="H824" s="21"/>
      <c r="I824" s="9"/>
      <c r="J824" s="9"/>
      <c r="K824" s="22">
        <f>SUM(R820:R823)</f>
        <v>1416.7</v>
      </c>
      <c r="L824" s="22"/>
    </row>
    <row r="825" spans="1:22" ht="14.25" x14ac:dyDescent="0.2">
      <c r="A825" s="19"/>
      <c r="B825" s="19"/>
      <c r="C825" s="19"/>
      <c r="D825" s="19" t="s">
        <v>830</v>
      </c>
      <c r="E825" s="20" t="s">
        <v>829</v>
      </c>
      <c r="F825" s="9">
        <f>Source!AU619</f>
        <v>10</v>
      </c>
      <c r="G825" s="22"/>
      <c r="H825" s="21"/>
      <c r="I825" s="9"/>
      <c r="J825" s="9"/>
      <c r="K825" s="22">
        <f>SUM(T820:T824)</f>
        <v>202.39</v>
      </c>
      <c r="L825" s="22"/>
    </row>
    <row r="826" spans="1:22" ht="14.25" x14ac:dyDescent="0.2">
      <c r="A826" s="19"/>
      <c r="B826" s="19"/>
      <c r="C826" s="19"/>
      <c r="D826" s="19" t="s">
        <v>832</v>
      </c>
      <c r="E826" s="20" t="s">
        <v>833</v>
      </c>
      <c r="F826" s="9">
        <f>Source!AQ619</f>
        <v>0.6</v>
      </c>
      <c r="G826" s="22"/>
      <c r="H826" s="21" t="str">
        <f>Source!DI619</f>
        <v/>
      </c>
      <c r="I826" s="9">
        <f>Source!AV619</f>
        <v>1</v>
      </c>
      <c r="J826" s="9"/>
      <c r="K826" s="22"/>
      <c r="L826" s="22">
        <f>Source!U619</f>
        <v>3.5999999999999996</v>
      </c>
    </row>
    <row r="827" spans="1:22" ht="15" x14ac:dyDescent="0.25">
      <c r="A827" s="27"/>
      <c r="B827" s="27"/>
      <c r="C827" s="27"/>
      <c r="D827" s="27"/>
      <c r="E827" s="27"/>
      <c r="F827" s="27"/>
      <c r="G827" s="27"/>
      <c r="H827" s="27"/>
      <c r="I827" s="27"/>
      <c r="J827" s="60">
        <f>K822+K823+K824+K825</f>
        <v>3652.37</v>
      </c>
      <c r="K827" s="60"/>
      <c r="L827" s="28">
        <f>IF(Source!I619&lt;&gt;0, ROUND(J827/Source!I619, 2), 0)</f>
        <v>608.73</v>
      </c>
      <c r="P827" s="25">
        <f>J827</f>
        <v>3652.37</v>
      </c>
    </row>
    <row r="829" spans="1:22" ht="15" x14ac:dyDescent="0.25">
      <c r="C829" s="56" t="str">
        <f>Source!G622</f>
        <v>Электроустановочные изделия. Корпус  Корпус  7.2.1, 7.2.2, 7.2.3, 7.2.4</v>
      </c>
      <c r="D829" s="56"/>
      <c r="E829" s="56"/>
      <c r="F829" s="56"/>
      <c r="G829" s="56"/>
      <c r="H829" s="56"/>
      <c r="I829" s="56"/>
      <c r="J829" s="56"/>
      <c r="K829" s="56"/>
    </row>
    <row r="830" spans="1:22" ht="71.25" x14ac:dyDescent="0.2">
      <c r="A830" s="19">
        <v>77</v>
      </c>
      <c r="B830" s="19">
        <v>77</v>
      </c>
      <c r="C830" s="19" t="str">
        <f>Source!F624</f>
        <v>1.21-2303-37-1/1</v>
      </c>
      <c r="D830" s="19" t="str">
        <f>Source!G624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E830" s="20" t="str">
        <f>Source!H624</f>
        <v>10 шт.</v>
      </c>
      <c r="F830" s="9">
        <f>Source!I624</f>
        <v>137.4</v>
      </c>
      <c r="G830" s="22"/>
      <c r="H830" s="21"/>
      <c r="I830" s="9"/>
      <c r="J830" s="9"/>
      <c r="K830" s="22"/>
      <c r="L830" s="22"/>
      <c r="Q830">
        <f>ROUND((Source!BZ624/100)*ROUND((Source!AF624*Source!AV624)*Source!I624, 2), 2)</f>
        <v>10690.41</v>
      </c>
      <c r="R830">
        <f>Source!X624</f>
        <v>10690.41</v>
      </c>
      <c r="S830">
        <f>ROUND((Source!CA624/100)*ROUND((Source!AF624*Source!AV624)*Source!I624, 2), 2)</f>
        <v>1527.2</v>
      </c>
      <c r="T830">
        <f>Source!Y624</f>
        <v>1527.2</v>
      </c>
      <c r="U830">
        <f>ROUND((175/100)*ROUND((Source!AE624*Source!AV624)*Source!I624, 2), 2)</f>
        <v>0</v>
      </c>
      <c r="V830">
        <f>ROUND((108/100)*ROUND(Source!CS624*Source!I624, 2), 2)</f>
        <v>0</v>
      </c>
    </row>
    <row r="831" spans="1:22" x14ac:dyDescent="0.2">
      <c r="D831" s="23" t="str">
        <f>"Объем: "&amp;Source!I624&amp;"=(9+"&amp;"360+"&amp;"53+"&amp;"5+"&amp;"7+"&amp;"23+"&amp;"1)*"&amp;"3/"&amp;"10"</f>
        <v>Объем: 137,4=(9+360+53+5+7+23+1)*3/10</v>
      </c>
    </row>
    <row r="832" spans="1:22" ht="14.25" x14ac:dyDescent="0.2">
      <c r="A832" s="19"/>
      <c r="B832" s="19"/>
      <c r="C832" s="19"/>
      <c r="D832" s="19" t="s">
        <v>825</v>
      </c>
      <c r="E832" s="20"/>
      <c r="F832" s="9"/>
      <c r="G832" s="22">
        <f>Source!AO624</f>
        <v>111.15</v>
      </c>
      <c r="H832" s="21" t="str">
        <f>Source!DG624</f>
        <v/>
      </c>
      <c r="I832" s="9">
        <f>Source!AV624</f>
        <v>1</v>
      </c>
      <c r="J832" s="9">
        <f>IF(Source!BA624&lt;&gt; 0, Source!BA624, 1)</f>
        <v>1</v>
      </c>
      <c r="K832" s="22">
        <f>Source!S624</f>
        <v>15272.01</v>
      </c>
      <c r="L832" s="22"/>
    </row>
    <row r="833" spans="1:22" ht="14.25" x14ac:dyDescent="0.2">
      <c r="A833" s="19"/>
      <c r="B833" s="19"/>
      <c r="C833" s="19"/>
      <c r="D833" s="19" t="s">
        <v>834</v>
      </c>
      <c r="E833" s="20"/>
      <c r="F833" s="9"/>
      <c r="G833" s="22">
        <f>Source!AL624</f>
        <v>6.3</v>
      </c>
      <c r="H833" s="21" t="str">
        <f>Source!DD624</f>
        <v/>
      </c>
      <c r="I833" s="9">
        <f>Source!AW624</f>
        <v>1</v>
      </c>
      <c r="J833" s="9">
        <f>IF(Source!BC624&lt;&gt; 0, Source!BC624, 1)</f>
        <v>1</v>
      </c>
      <c r="K833" s="22">
        <f>Source!P624</f>
        <v>865.62</v>
      </c>
      <c r="L833" s="22"/>
    </row>
    <row r="834" spans="1:22" ht="14.25" x14ac:dyDescent="0.2">
      <c r="A834" s="19"/>
      <c r="B834" s="19"/>
      <c r="C834" s="19"/>
      <c r="D834" s="19" t="s">
        <v>828</v>
      </c>
      <c r="E834" s="20" t="s">
        <v>829</v>
      </c>
      <c r="F834" s="9">
        <f>Source!AT624</f>
        <v>70</v>
      </c>
      <c r="G834" s="22"/>
      <c r="H834" s="21"/>
      <c r="I834" s="9"/>
      <c r="J834" s="9"/>
      <c r="K834" s="22">
        <f>SUM(R830:R833)</f>
        <v>10690.41</v>
      </c>
      <c r="L834" s="22"/>
    </row>
    <row r="835" spans="1:22" ht="14.25" x14ac:dyDescent="0.2">
      <c r="A835" s="19"/>
      <c r="B835" s="19"/>
      <c r="C835" s="19"/>
      <c r="D835" s="19" t="s">
        <v>830</v>
      </c>
      <c r="E835" s="20" t="s">
        <v>829</v>
      </c>
      <c r="F835" s="9">
        <f>Source!AU624</f>
        <v>10</v>
      </c>
      <c r="G835" s="22"/>
      <c r="H835" s="21"/>
      <c r="I835" s="9"/>
      <c r="J835" s="9"/>
      <c r="K835" s="22">
        <f>SUM(T830:T834)</f>
        <v>1527.2</v>
      </c>
      <c r="L835" s="22"/>
    </row>
    <row r="836" spans="1:22" ht="14.25" x14ac:dyDescent="0.2">
      <c r="A836" s="19"/>
      <c r="B836" s="19"/>
      <c r="C836" s="19"/>
      <c r="D836" s="19" t="s">
        <v>832</v>
      </c>
      <c r="E836" s="20" t="s">
        <v>833</v>
      </c>
      <c r="F836" s="9">
        <f>Source!AQ624</f>
        <v>0.18</v>
      </c>
      <c r="G836" s="22"/>
      <c r="H836" s="21" t="str">
        <f>Source!DI624</f>
        <v/>
      </c>
      <c r="I836" s="9">
        <f>Source!AV624</f>
        <v>1</v>
      </c>
      <c r="J836" s="9"/>
      <c r="K836" s="22"/>
      <c r="L836" s="22">
        <f>Source!U624</f>
        <v>24.731999999999999</v>
      </c>
    </row>
    <row r="837" spans="1:22" ht="15" x14ac:dyDescent="0.25">
      <c r="A837" s="27"/>
      <c r="B837" s="27"/>
      <c r="C837" s="27"/>
      <c r="D837" s="27"/>
      <c r="E837" s="27"/>
      <c r="F837" s="27"/>
      <c r="G837" s="27"/>
      <c r="H837" s="27"/>
      <c r="I837" s="27"/>
      <c r="J837" s="60">
        <f>K832+K833+K834+K835</f>
        <v>28355.24</v>
      </c>
      <c r="K837" s="60"/>
      <c r="L837" s="28">
        <f>IF(Source!I624&lt;&gt;0, ROUND(J837/Source!I624, 2), 0)</f>
        <v>206.37</v>
      </c>
      <c r="P837" s="25">
        <f>J837</f>
        <v>28355.24</v>
      </c>
    </row>
    <row r="838" spans="1:22" ht="28.5" x14ac:dyDescent="0.2">
      <c r="A838" s="19">
        <v>78</v>
      </c>
      <c r="B838" s="19">
        <v>78</v>
      </c>
      <c r="C838" s="19" t="str">
        <f>Source!F626</f>
        <v>1.23-2303-15-1/1</v>
      </c>
      <c r="D838" s="19" t="str">
        <f>Source!G626</f>
        <v>Техническое обслуживание микропроцессорного терморегулятора</v>
      </c>
      <c r="E838" s="20" t="str">
        <f>Source!H626</f>
        <v>шт.</v>
      </c>
      <c r="F838" s="9">
        <f>Source!I626</f>
        <v>72</v>
      </c>
      <c r="G838" s="22"/>
      <c r="H838" s="21"/>
      <c r="I838" s="9"/>
      <c r="J838" s="9"/>
      <c r="K838" s="22"/>
      <c r="L838" s="22"/>
      <c r="Q838">
        <f>ROUND((Source!BZ626/100)*ROUND((Source!AF626*Source!AV626)*Source!I626, 2), 2)</f>
        <v>33978.67</v>
      </c>
      <c r="R838">
        <f>Source!X626</f>
        <v>33978.67</v>
      </c>
      <c r="S838">
        <f>ROUND((Source!CA626/100)*ROUND((Source!AF626*Source!AV626)*Source!I626, 2), 2)</f>
        <v>4854.1000000000004</v>
      </c>
      <c r="T838">
        <f>Source!Y626</f>
        <v>4854.1000000000004</v>
      </c>
      <c r="U838">
        <f>ROUND((175/100)*ROUND((Source!AE626*Source!AV626)*Source!I626, 2), 2)</f>
        <v>0</v>
      </c>
      <c r="V838">
        <f>ROUND((108/100)*ROUND(Source!CS626*Source!I626, 2), 2)</f>
        <v>0</v>
      </c>
    </row>
    <row r="839" spans="1:22" x14ac:dyDescent="0.2">
      <c r="D839" s="23" t="str">
        <f>"Объем: "&amp;Source!I626&amp;"=24+"&amp;"24+"&amp;"24"</f>
        <v>Объем: 72=24+24+24</v>
      </c>
    </row>
    <row r="840" spans="1:22" ht="14.25" x14ac:dyDescent="0.2">
      <c r="A840" s="19"/>
      <c r="B840" s="19"/>
      <c r="C840" s="19"/>
      <c r="D840" s="19" t="s">
        <v>825</v>
      </c>
      <c r="E840" s="20"/>
      <c r="F840" s="9"/>
      <c r="G840" s="22">
        <f>Source!AO626</f>
        <v>674.18</v>
      </c>
      <c r="H840" s="21" t="str">
        <f>Source!DG626</f>
        <v/>
      </c>
      <c r="I840" s="9">
        <f>Source!AV626</f>
        <v>1</v>
      </c>
      <c r="J840" s="9">
        <f>IF(Source!BA626&lt;&gt; 0, Source!BA626, 1)</f>
        <v>1</v>
      </c>
      <c r="K840" s="22">
        <f>Source!S626</f>
        <v>48540.959999999999</v>
      </c>
      <c r="L840" s="22"/>
    </row>
    <row r="841" spans="1:22" ht="14.25" x14ac:dyDescent="0.2">
      <c r="A841" s="19"/>
      <c r="B841" s="19"/>
      <c r="C841" s="19"/>
      <c r="D841" s="19" t="s">
        <v>834</v>
      </c>
      <c r="E841" s="20"/>
      <c r="F841" s="9"/>
      <c r="G841" s="22">
        <f>Source!AL626</f>
        <v>2.44</v>
      </c>
      <c r="H841" s="21" t="str">
        <f>Source!DD626</f>
        <v/>
      </c>
      <c r="I841" s="9">
        <f>Source!AW626</f>
        <v>1</v>
      </c>
      <c r="J841" s="9">
        <f>IF(Source!BC626&lt;&gt; 0, Source!BC626, 1)</f>
        <v>1</v>
      </c>
      <c r="K841" s="22">
        <f>Source!P626</f>
        <v>175.68</v>
      </c>
      <c r="L841" s="22"/>
    </row>
    <row r="842" spans="1:22" ht="14.25" x14ac:dyDescent="0.2">
      <c r="A842" s="19"/>
      <c r="B842" s="19"/>
      <c r="C842" s="19"/>
      <c r="D842" s="19" t="s">
        <v>828</v>
      </c>
      <c r="E842" s="20" t="s">
        <v>829</v>
      </c>
      <c r="F842" s="9">
        <f>Source!AT626</f>
        <v>70</v>
      </c>
      <c r="G842" s="22"/>
      <c r="H842" s="21"/>
      <c r="I842" s="9"/>
      <c r="J842" s="9"/>
      <c r="K842" s="22">
        <f>SUM(R838:R841)</f>
        <v>33978.67</v>
      </c>
      <c r="L842" s="22"/>
    </row>
    <row r="843" spans="1:22" ht="14.25" x14ac:dyDescent="0.2">
      <c r="A843" s="19"/>
      <c r="B843" s="19"/>
      <c r="C843" s="19"/>
      <c r="D843" s="19" t="s">
        <v>830</v>
      </c>
      <c r="E843" s="20" t="s">
        <v>829</v>
      </c>
      <c r="F843" s="9">
        <f>Source!AU626</f>
        <v>10</v>
      </c>
      <c r="G843" s="22"/>
      <c r="H843" s="21"/>
      <c r="I843" s="9"/>
      <c r="J843" s="9"/>
      <c r="K843" s="22">
        <f>SUM(T838:T842)</f>
        <v>4854.1000000000004</v>
      </c>
      <c r="L843" s="22"/>
    </row>
    <row r="844" spans="1:22" ht="14.25" x14ac:dyDescent="0.2">
      <c r="A844" s="19"/>
      <c r="B844" s="19"/>
      <c r="C844" s="19"/>
      <c r="D844" s="19" t="s">
        <v>832</v>
      </c>
      <c r="E844" s="20" t="s">
        <v>833</v>
      </c>
      <c r="F844" s="9">
        <f>Source!AQ626</f>
        <v>0.95</v>
      </c>
      <c r="G844" s="22"/>
      <c r="H844" s="21" t="str">
        <f>Source!DI626</f>
        <v/>
      </c>
      <c r="I844" s="9">
        <f>Source!AV626</f>
        <v>1</v>
      </c>
      <c r="J844" s="9"/>
      <c r="K844" s="22"/>
      <c r="L844" s="22">
        <f>Source!U626</f>
        <v>68.399999999999991</v>
      </c>
    </row>
    <row r="845" spans="1:22" ht="15" x14ac:dyDescent="0.25">
      <c r="A845" s="27"/>
      <c r="B845" s="27"/>
      <c r="C845" s="27"/>
      <c r="D845" s="27"/>
      <c r="E845" s="27"/>
      <c r="F845" s="27"/>
      <c r="G845" s="27"/>
      <c r="H845" s="27"/>
      <c r="I845" s="27"/>
      <c r="J845" s="60">
        <f>K840+K841+K842+K843</f>
        <v>87549.41</v>
      </c>
      <c r="K845" s="60"/>
      <c r="L845" s="28">
        <f>IF(Source!I626&lt;&gt;0, ROUND(J845/Source!I626, 2), 0)</f>
        <v>1215.96</v>
      </c>
      <c r="P845" s="25">
        <f>J845</f>
        <v>87549.41</v>
      </c>
    </row>
    <row r="847" spans="1:22" ht="15" x14ac:dyDescent="0.25">
      <c r="C847" s="56" t="str">
        <f>Source!G627</f>
        <v>Кабельные изделия Корпус  7.2.1, Корпус 7.2.2, Корпус 7.2.3,  Корпус 7.2.4</v>
      </c>
      <c r="D847" s="56"/>
      <c r="E847" s="56"/>
      <c r="F847" s="56"/>
      <c r="G847" s="56"/>
      <c r="H847" s="56"/>
      <c r="I847" s="56"/>
      <c r="J847" s="56"/>
      <c r="K847" s="56"/>
    </row>
    <row r="848" spans="1:22" ht="57" x14ac:dyDescent="0.2">
      <c r="A848" s="19">
        <v>79</v>
      </c>
      <c r="B848" s="19">
        <v>79</v>
      </c>
      <c r="C848" s="19" t="str">
        <f>Source!F628</f>
        <v>1.21-2103-9-2/1</v>
      </c>
      <c r="D848" s="19" t="str">
        <f>Source!G628</f>
        <v>Техническое обслуживание силовых сетей, проложенных по кирпичным и бетонным основаниям, провод сечением 3х1,5-6 мм2</v>
      </c>
      <c r="E848" s="20" t="str">
        <f>Source!H628</f>
        <v>100 м</v>
      </c>
      <c r="F848" s="9">
        <f>Source!I628</f>
        <v>3.5579999999999998</v>
      </c>
      <c r="G848" s="22"/>
      <c r="H848" s="21"/>
      <c r="I848" s="9"/>
      <c r="J848" s="9"/>
      <c r="K848" s="22"/>
      <c r="L848" s="22"/>
      <c r="Q848">
        <f>ROUND((Source!BZ628/100)*ROUND((Source!AF628*Source!AV628)*Source!I628, 2), 2)</f>
        <v>13332.56</v>
      </c>
      <c r="R848">
        <f>Source!X628</f>
        <v>13332.56</v>
      </c>
      <c r="S848">
        <f>ROUND((Source!CA628/100)*ROUND((Source!AF628*Source!AV628)*Source!I628, 2), 2)</f>
        <v>1904.65</v>
      </c>
      <c r="T848">
        <f>Source!Y628</f>
        <v>1904.65</v>
      </c>
      <c r="U848">
        <f>ROUND((175/100)*ROUND((Source!AE628*Source!AV628)*Source!I628, 2), 2)</f>
        <v>0</v>
      </c>
      <c r="V848">
        <f>ROUND((108/100)*ROUND(Source!CS628*Source!I628, 2), 2)</f>
        <v>0</v>
      </c>
    </row>
    <row r="849" spans="1:22" ht="38.25" x14ac:dyDescent="0.2">
      <c r="D849" s="23" t="str">
        <f>"Объем: "&amp;Source!I628&amp;"=(120+"&amp;"2740+"&amp;"1350+"&amp;"120+"&amp;"2740+"&amp;"1350+"&amp;"120+"&amp;"2740+"&amp;"1350+"&amp;"200+"&amp;"3240+"&amp;"1720)*"&amp;"0,2*"&amp;"0,1/"&amp;"100"</f>
        <v>Объем: 3,558=(120+2740+1350+120+2740+1350+120+2740+1350+200+3240+1720)*0,2*0,1/100</v>
      </c>
    </row>
    <row r="850" spans="1:22" ht="14.25" x14ac:dyDescent="0.2">
      <c r="A850" s="19"/>
      <c r="B850" s="19"/>
      <c r="C850" s="19"/>
      <c r="D850" s="19" t="s">
        <v>825</v>
      </c>
      <c r="E850" s="20"/>
      <c r="F850" s="9"/>
      <c r="G850" s="22">
        <f>Source!AO628</f>
        <v>5353.15</v>
      </c>
      <c r="H850" s="21" t="str">
        <f>Source!DG628</f>
        <v/>
      </c>
      <c r="I850" s="9">
        <f>Source!AV628</f>
        <v>1</v>
      </c>
      <c r="J850" s="9">
        <f>IF(Source!BA628&lt;&gt; 0, Source!BA628, 1)</f>
        <v>1</v>
      </c>
      <c r="K850" s="22">
        <f>Source!S628</f>
        <v>19046.509999999998</v>
      </c>
      <c r="L850" s="22"/>
    </row>
    <row r="851" spans="1:22" ht="14.25" x14ac:dyDescent="0.2">
      <c r="A851" s="19"/>
      <c r="B851" s="19"/>
      <c r="C851" s="19"/>
      <c r="D851" s="19" t="s">
        <v>834</v>
      </c>
      <c r="E851" s="20"/>
      <c r="F851" s="9"/>
      <c r="G851" s="22">
        <f>Source!AL628</f>
        <v>22.51</v>
      </c>
      <c r="H851" s="21" t="str">
        <f>Source!DD628</f>
        <v/>
      </c>
      <c r="I851" s="9">
        <f>Source!AW628</f>
        <v>1</v>
      </c>
      <c r="J851" s="9">
        <f>IF(Source!BC628&lt;&gt; 0, Source!BC628, 1)</f>
        <v>1</v>
      </c>
      <c r="K851" s="22">
        <f>Source!P628</f>
        <v>80.09</v>
      </c>
      <c r="L851" s="22"/>
    </row>
    <row r="852" spans="1:22" ht="14.25" x14ac:dyDescent="0.2">
      <c r="A852" s="19"/>
      <c r="B852" s="19"/>
      <c r="C852" s="19"/>
      <c r="D852" s="19" t="s">
        <v>828</v>
      </c>
      <c r="E852" s="20" t="s">
        <v>829</v>
      </c>
      <c r="F852" s="9">
        <f>Source!AT628</f>
        <v>70</v>
      </c>
      <c r="G852" s="22"/>
      <c r="H852" s="21"/>
      <c r="I852" s="9"/>
      <c r="J852" s="9"/>
      <c r="K852" s="22">
        <f>SUM(R848:R851)</f>
        <v>13332.56</v>
      </c>
      <c r="L852" s="22"/>
    </row>
    <row r="853" spans="1:22" ht="14.25" x14ac:dyDescent="0.2">
      <c r="A853" s="19"/>
      <c r="B853" s="19"/>
      <c r="C853" s="19"/>
      <c r="D853" s="19" t="s">
        <v>830</v>
      </c>
      <c r="E853" s="20" t="s">
        <v>829</v>
      </c>
      <c r="F853" s="9">
        <f>Source!AU628</f>
        <v>10</v>
      </c>
      <c r="G853" s="22"/>
      <c r="H853" s="21"/>
      <c r="I853" s="9"/>
      <c r="J853" s="9"/>
      <c r="K853" s="22">
        <f>SUM(T848:T852)</f>
        <v>1904.65</v>
      </c>
      <c r="L853" s="22"/>
    </row>
    <row r="854" spans="1:22" ht="14.25" x14ac:dyDescent="0.2">
      <c r="A854" s="19"/>
      <c r="B854" s="19"/>
      <c r="C854" s="19"/>
      <c r="D854" s="19" t="s">
        <v>832</v>
      </c>
      <c r="E854" s="20" t="s">
        <v>833</v>
      </c>
      <c r="F854" s="9">
        <f>Source!AQ628</f>
        <v>10</v>
      </c>
      <c r="G854" s="22"/>
      <c r="H854" s="21" t="str">
        <f>Source!DI628</f>
        <v/>
      </c>
      <c r="I854" s="9">
        <f>Source!AV628</f>
        <v>1</v>
      </c>
      <c r="J854" s="9"/>
      <c r="K854" s="22"/>
      <c r="L854" s="22">
        <f>Source!U628</f>
        <v>35.58</v>
      </c>
    </row>
    <row r="855" spans="1:22" ht="15" x14ac:dyDescent="0.25">
      <c r="A855" s="27"/>
      <c r="B855" s="27"/>
      <c r="C855" s="27"/>
      <c r="D855" s="27"/>
      <c r="E855" s="27"/>
      <c r="F855" s="27"/>
      <c r="G855" s="27"/>
      <c r="H855" s="27"/>
      <c r="I855" s="27"/>
      <c r="J855" s="60">
        <f>K850+K851+K852+K853</f>
        <v>34363.81</v>
      </c>
      <c r="K855" s="60"/>
      <c r="L855" s="28">
        <f>IF(Source!I628&lt;&gt;0, ROUND(J855/Source!I628, 2), 0)</f>
        <v>9658.18</v>
      </c>
      <c r="P855" s="25">
        <f>J855</f>
        <v>34363.81</v>
      </c>
    </row>
    <row r="856" spans="1:22" ht="71.25" x14ac:dyDescent="0.2">
      <c r="A856" s="19">
        <v>80</v>
      </c>
      <c r="B856" s="19">
        <v>80</v>
      </c>
      <c r="C856" s="19" t="str">
        <f>Source!F630</f>
        <v>1.21-2103-9-7/1</v>
      </c>
      <c r="D856" s="19" t="str">
        <f>Source!G630</f>
        <v>Техническое обслуживание силовых сетей, проложенных по кирпичным и бетонным основаниям, провод сечением 3х25-35 мм2  / (4х185),  (5х50, 5х70)</v>
      </c>
      <c r="E856" s="20" t="str">
        <f>Source!H630</f>
        <v>100 м</v>
      </c>
      <c r="F856" s="9">
        <f>Source!I630</f>
        <v>1.5456000000000001</v>
      </c>
      <c r="G856" s="22"/>
      <c r="H856" s="21"/>
      <c r="I856" s="9"/>
      <c r="J856" s="9"/>
      <c r="K856" s="22"/>
      <c r="L856" s="22"/>
      <c r="Q856">
        <f>ROUND((Source!BZ630/100)*ROUND((Source!AF630*Source!AV630)*Source!I630, 2), 2)</f>
        <v>8444.27</v>
      </c>
      <c r="R856">
        <f>Source!X630</f>
        <v>8444.27</v>
      </c>
      <c r="S856">
        <f>ROUND((Source!CA630/100)*ROUND((Source!AF630*Source!AV630)*Source!I630, 2), 2)</f>
        <v>1206.32</v>
      </c>
      <c r="T856">
        <f>Source!Y630</f>
        <v>1206.32</v>
      </c>
      <c r="U856">
        <f>ROUND((175/100)*ROUND((Source!AE630*Source!AV630)*Source!I630, 2), 2)</f>
        <v>0</v>
      </c>
      <c r="V856">
        <f>ROUND((108/100)*ROUND(Source!CS630*Source!I630, 2), 2)</f>
        <v>0</v>
      </c>
    </row>
    <row r="857" spans="1:22" ht="38.25" x14ac:dyDescent="0.2">
      <c r="D857" s="23" t="str">
        <f>"Объем: "&amp;Source!I630&amp;"=((1588+"&amp;"1748+"&amp;"2056+"&amp;"2216)+"&amp;"(20+"&amp;"20+"&amp;"20+"&amp;"40+"&amp;"20))*"&amp;"0,2*"&amp;"0,1/"&amp;"100"</f>
        <v>Объем: 1,5456=((1588+1748+2056+2216)+(20+20+20+40+20))*0,2*0,1/100</v>
      </c>
    </row>
    <row r="858" spans="1:22" ht="14.25" x14ac:dyDescent="0.2">
      <c r="A858" s="19"/>
      <c r="B858" s="19"/>
      <c r="C858" s="19"/>
      <c r="D858" s="19" t="s">
        <v>825</v>
      </c>
      <c r="E858" s="20"/>
      <c r="F858" s="9"/>
      <c r="G858" s="22">
        <f>Source!AO630</f>
        <v>7804.89</v>
      </c>
      <c r="H858" s="21" t="str">
        <f>Source!DG630</f>
        <v/>
      </c>
      <c r="I858" s="9">
        <f>Source!AV630</f>
        <v>1</v>
      </c>
      <c r="J858" s="9">
        <f>IF(Source!BA630&lt;&gt; 0, Source!BA630, 1)</f>
        <v>1</v>
      </c>
      <c r="K858" s="22">
        <f>Source!S630</f>
        <v>12063.24</v>
      </c>
      <c r="L858" s="22"/>
    </row>
    <row r="859" spans="1:22" ht="14.25" x14ac:dyDescent="0.2">
      <c r="A859" s="19"/>
      <c r="B859" s="19"/>
      <c r="C859" s="19"/>
      <c r="D859" s="19" t="s">
        <v>834</v>
      </c>
      <c r="E859" s="20"/>
      <c r="F859" s="9"/>
      <c r="G859" s="22">
        <f>Source!AL630</f>
        <v>19.13</v>
      </c>
      <c r="H859" s="21" t="str">
        <f>Source!DD630</f>
        <v/>
      </c>
      <c r="I859" s="9">
        <f>Source!AW630</f>
        <v>1</v>
      </c>
      <c r="J859" s="9">
        <f>IF(Source!BC630&lt;&gt; 0, Source!BC630, 1)</f>
        <v>1</v>
      </c>
      <c r="K859" s="22">
        <f>Source!P630</f>
        <v>29.57</v>
      </c>
      <c r="L859" s="22"/>
    </row>
    <row r="860" spans="1:22" ht="14.25" x14ac:dyDescent="0.2">
      <c r="A860" s="19"/>
      <c r="B860" s="19"/>
      <c r="C860" s="19"/>
      <c r="D860" s="19" t="s">
        <v>828</v>
      </c>
      <c r="E860" s="20" t="s">
        <v>829</v>
      </c>
      <c r="F860" s="9">
        <f>Source!AT630</f>
        <v>70</v>
      </c>
      <c r="G860" s="22"/>
      <c r="H860" s="21"/>
      <c r="I860" s="9"/>
      <c r="J860" s="9"/>
      <c r="K860" s="22">
        <f>SUM(R856:R859)</f>
        <v>8444.27</v>
      </c>
      <c r="L860" s="22"/>
    </row>
    <row r="861" spans="1:22" ht="14.25" x14ac:dyDescent="0.2">
      <c r="A861" s="19"/>
      <c r="B861" s="19"/>
      <c r="C861" s="19"/>
      <c r="D861" s="19" t="s">
        <v>830</v>
      </c>
      <c r="E861" s="20" t="s">
        <v>829</v>
      </c>
      <c r="F861" s="9">
        <f>Source!AU630</f>
        <v>10</v>
      </c>
      <c r="G861" s="22"/>
      <c r="H861" s="21"/>
      <c r="I861" s="9"/>
      <c r="J861" s="9"/>
      <c r="K861" s="22">
        <f>SUM(T856:T860)</f>
        <v>1206.32</v>
      </c>
      <c r="L861" s="22"/>
    </row>
    <row r="862" spans="1:22" ht="14.25" x14ac:dyDescent="0.2">
      <c r="A862" s="19"/>
      <c r="B862" s="19"/>
      <c r="C862" s="19"/>
      <c r="D862" s="19" t="s">
        <v>832</v>
      </c>
      <c r="E862" s="20" t="s">
        <v>833</v>
      </c>
      <c r="F862" s="9">
        <f>Source!AQ630</f>
        <v>14.58</v>
      </c>
      <c r="G862" s="22"/>
      <c r="H862" s="21" t="str">
        <f>Source!DI630</f>
        <v/>
      </c>
      <c r="I862" s="9">
        <f>Source!AV630</f>
        <v>1</v>
      </c>
      <c r="J862" s="9"/>
      <c r="K862" s="22"/>
      <c r="L862" s="22">
        <f>Source!U630</f>
        <v>22.534848</v>
      </c>
    </row>
    <row r="863" spans="1:22" ht="15" x14ac:dyDescent="0.25">
      <c r="A863" s="27"/>
      <c r="B863" s="27"/>
      <c r="C863" s="27"/>
      <c r="D863" s="27"/>
      <c r="E863" s="27"/>
      <c r="F863" s="27"/>
      <c r="G863" s="27"/>
      <c r="H863" s="27"/>
      <c r="I863" s="27"/>
      <c r="J863" s="60">
        <f>K858+K859+K860+K861</f>
        <v>21743.4</v>
      </c>
      <c r="K863" s="60"/>
      <c r="L863" s="28">
        <f>IF(Source!I630&lt;&gt;0, ROUND(J863/Source!I630, 2), 0)</f>
        <v>14067.93</v>
      </c>
      <c r="P863" s="25">
        <f>J863</f>
        <v>21743.4</v>
      </c>
    </row>
    <row r="864" spans="1:22" ht="71.25" x14ac:dyDescent="0.2">
      <c r="A864" s="19">
        <v>81</v>
      </c>
      <c r="B864" s="19">
        <v>81</v>
      </c>
      <c r="C864" s="19" t="str">
        <f>Source!F631</f>
        <v>1.21-2103-9-8/1</v>
      </c>
      <c r="D864" s="19" t="str">
        <f>Source!G631</f>
        <v>Техническое обслуживание силовых сетей, проложенных по кирпичным и бетонным основаниям, добавлять на каждый следующий провод к поз. 21-2103-9-7 / ( (4х185)</v>
      </c>
      <c r="E864" s="20" t="str">
        <f>Source!H631</f>
        <v>100 м</v>
      </c>
      <c r="F864" s="9">
        <f>Source!I631</f>
        <v>1.5216000000000001</v>
      </c>
      <c r="G864" s="22"/>
      <c r="H864" s="21"/>
      <c r="I864" s="9"/>
      <c r="J864" s="9"/>
      <c r="K864" s="22"/>
      <c r="L864" s="22"/>
      <c r="Q864">
        <f>ROUND((Source!BZ631/100)*ROUND((Source!AF631*Source!AV631)*Source!I631, 2), 2)</f>
        <v>1847.36</v>
      </c>
      <c r="R864">
        <f>Source!X631</f>
        <v>1847.36</v>
      </c>
      <c r="S864">
        <f>ROUND((Source!CA631/100)*ROUND((Source!AF631*Source!AV631)*Source!I631, 2), 2)</f>
        <v>263.91000000000003</v>
      </c>
      <c r="T864">
        <f>Source!Y631</f>
        <v>263.91000000000003</v>
      </c>
      <c r="U864">
        <f>ROUND((175/100)*ROUND((Source!AE631*Source!AV631)*Source!I631, 2), 2)</f>
        <v>0</v>
      </c>
      <c r="V864">
        <f>ROUND((108/100)*ROUND(Source!CS631*Source!I631, 2), 2)</f>
        <v>0</v>
      </c>
    </row>
    <row r="865" spans="1:22" ht="25.5" x14ac:dyDescent="0.2">
      <c r="D865" s="23" t="str">
        <f>"Объем: "&amp;Source!I631&amp;"=(1588+"&amp;"1748+"&amp;"2056+"&amp;"2216)*"&amp;"0,2*"&amp;"0,1/"&amp;"100"</f>
        <v>Объем: 1,5216=(1588+1748+2056+2216)*0,2*0,1/100</v>
      </c>
    </row>
    <row r="866" spans="1:22" ht="14.25" x14ac:dyDescent="0.2">
      <c r="A866" s="19"/>
      <c r="B866" s="19"/>
      <c r="C866" s="19"/>
      <c r="D866" s="19" t="s">
        <v>825</v>
      </c>
      <c r="E866" s="20"/>
      <c r="F866" s="9"/>
      <c r="G866" s="22">
        <f>Source!AO631</f>
        <v>1734.42</v>
      </c>
      <c r="H866" s="21" t="str">
        <f>Source!DG631</f>
        <v/>
      </c>
      <c r="I866" s="9">
        <f>Source!AV631</f>
        <v>1</v>
      </c>
      <c r="J866" s="9">
        <f>IF(Source!BA631&lt;&gt; 0, Source!BA631, 1)</f>
        <v>1</v>
      </c>
      <c r="K866" s="22">
        <f>Source!S631</f>
        <v>2639.09</v>
      </c>
      <c r="L866" s="22"/>
    </row>
    <row r="867" spans="1:22" ht="14.25" x14ac:dyDescent="0.2">
      <c r="A867" s="19"/>
      <c r="B867" s="19"/>
      <c r="C867" s="19"/>
      <c r="D867" s="19" t="s">
        <v>834</v>
      </c>
      <c r="E867" s="20"/>
      <c r="F867" s="9"/>
      <c r="G867" s="22">
        <f>Source!AL631</f>
        <v>4.13</v>
      </c>
      <c r="H867" s="21" t="str">
        <f>Source!DD631</f>
        <v/>
      </c>
      <c r="I867" s="9">
        <f>Source!AW631</f>
        <v>1</v>
      </c>
      <c r="J867" s="9">
        <f>IF(Source!BC631&lt;&gt; 0, Source!BC631, 1)</f>
        <v>1</v>
      </c>
      <c r="K867" s="22">
        <f>Source!P631</f>
        <v>6.28</v>
      </c>
      <c r="L867" s="22"/>
    </row>
    <row r="868" spans="1:22" ht="14.25" x14ac:dyDescent="0.2">
      <c r="A868" s="19"/>
      <c r="B868" s="19"/>
      <c r="C868" s="19"/>
      <c r="D868" s="19" t="s">
        <v>828</v>
      </c>
      <c r="E868" s="20" t="s">
        <v>829</v>
      </c>
      <c r="F868" s="9">
        <f>Source!AT631</f>
        <v>70</v>
      </c>
      <c r="G868" s="22"/>
      <c r="H868" s="21"/>
      <c r="I868" s="9"/>
      <c r="J868" s="9"/>
      <c r="K868" s="22">
        <f>SUM(R864:R867)</f>
        <v>1847.36</v>
      </c>
      <c r="L868" s="22"/>
    </row>
    <row r="869" spans="1:22" ht="14.25" x14ac:dyDescent="0.2">
      <c r="A869" s="19"/>
      <c r="B869" s="19"/>
      <c r="C869" s="19"/>
      <c r="D869" s="19" t="s">
        <v>830</v>
      </c>
      <c r="E869" s="20" t="s">
        <v>829</v>
      </c>
      <c r="F869" s="9">
        <f>Source!AU631</f>
        <v>10</v>
      </c>
      <c r="G869" s="22"/>
      <c r="H869" s="21"/>
      <c r="I869" s="9"/>
      <c r="J869" s="9"/>
      <c r="K869" s="22">
        <f>SUM(T864:T868)</f>
        <v>263.91000000000003</v>
      </c>
      <c r="L869" s="22"/>
    </row>
    <row r="870" spans="1:22" ht="14.25" x14ac:dyDescent="0.2">
      <c r="A870" s="19"/>
      <c r="B870" s="19"/>
      <c r="C870" s="19"/>
      <c r="D870" s="19" t="s">
        <v>832</v>
      </c>
      <c r="E870" s="20" t="s">
        <v>833</v>
      </c>
      <c r="F870" s="9">
        <f>Source!AQ631</f>
        <v>3.24</v>
      </c>
      <c r="G870" s="22"/>
      <c r="H870" s="21" t="str">
        <f>Source!DI631</f>
        <v/>
      </c>
      <c r="I870" s="9">
        <f>Source!AV631</f>
        <v>1</v>
      </c>
      <c r="J870" s="9"/>
      <c r="K870" s="22"/>
      <c r="L870" s="22">
        <f>Source!U631</f>
        <v>4.9299840000000001</v>
      </c>
    </row>
    <row r="871" spans="1:22" ht="15" x14ac:dyDescent="0.25">
      <c r="A871" s="27"/>
      <c r="B871" s="27"/>
      <c r="C871" s="27"/>
      <c r="D871" s="27"/>
      <c r="E871" s="27"/>
      <c r="F871" s="27"/>
      <c r="G871" s="27"/>
      <c r="H871" s="27"/>
      <c r="I871" s="27"/>
      <c r="J871" s="60">
        <f>K866+K867+K868+K869</f>
        <v>4756.6400000000003</v>
      </c>
      <c r="K871" s="60"/>
      <c r="L871" s="28">
        <f>IF(Source!I631&lt;&gt;0, ROUND(J871/Source!I631, 2), 0)</f>
        <v>3126.08</v>
      </c>
      <c r="P871" s="25">
        <f>J871</f>
        <v>4756.6400000000003</v>
      </c>
    </row>
    <row r="872" spans="1:22" ht="71.25" x14ac:dyDescent="0.2">
      <c r="A872" s="19">
        <v>82</v>
      </c>
      <c r="B872" s="19">
        <v>82</v>
      </c>
      <c r="C872" s="19" t="str">
        <f>Source!F632</f>
        <v>1.21-2103-9-8/1</v>
      </c>
      <c r="D872" s="19" t="str">
        <f>Source!G632</f>
        <v>Техническое обслуживание силовых сетей, проложенных по кирпичным и бетонным основаниям, добавлять на каждый следующий провод к поз. 21-2103-9-7</v>
      </c>
      <c r="E872" s="20" t="str">
        <f>Source!H632</f>
        <v>100 м</v>
      </c>
      <c r="F872" s="9">
        <f>Source!I632</f>
        <v>2.4E-2</v>
      </c>
      <c r="G872" s="22"/>
      <c r="H872" s="21"/>
      <c r="I872" s="9"/>
      <c r="J872" s="9"/>
      <c r="K872" s="22"/>
      <c r="L872" s="22"/>
      <c r="Q872">
        <f>ROUND((Source!BZ632/100)*ROUND((Source!AF632*Source!AV632)*Source!I632, 2), 2)</f>
        <v>29.14</v>
      </c>
      <c r="R872">
        <f>Source!X632</f>
        <v>29.14</v>
      </c>
      <c r="S872">
        <f>ROUND((Source!CA632/100)*ROUND((Source!AF632*Source!AV632)*Source!I632, 2), 2)</f>
        <v>4.16</v>
      </c>
      <c r="T872">
        <f>Source!Y632</f>
        <v>4.16</v>
      </c>
      <c r="U872">
        <f>ROUND((175/100)*ROUND((Source!AE632*Source!AV632)*Source!I632, 2), 2)</f>
        <v>0</v>
      </c>
      <c r="V872">
        <f>ROUND((108/100)*ROUND(Source!CS632*Source!I632, 2), 2)</f>
        <v>0</v>
      </c>
    </row>
    <row r="873" spans="1:22" x14ac:dyDescent="0.2">
      <c r="D873" s="23" t="str">
        <f>"Объем: "&amp;Source!I632&amp;"=(20+"&amp;"20+"&amp;"20+"&amp;"40+"&amp;"20)*"&amp;"0,2*"&amp;"0,1/"&amp;"100"</f>
        <v>Объем: 0,024=(20+20+20+40+20)*0,2*0,1/100</v>
      </c>
    </row>
    <row r="874" spans="1:22" ht="14.25" x14ac:dyDescent="0.2">
      <c r="A874" s="19"/>
      <c r="B874" s="19"/>
      <c r="C874" s="19"/>
      <c r="D874" s="19" t="s">
        <v>825</v>
      </c>
      <c r="E874" s="20"/>
      <c r="F874" s="9"/>
      <c r="G874" s="22">
        <f>Source!AO632</f>
        <v>1734.42</v>
      </c>
      <c r="H874" s="21" t="str">
        <f>Source!DG632</f>
        <v/>
      </c>
      <c r="I874" s="9">
        <f>Source!AV632</f>
        <v>1</v>
      </c>
      <c r="J874" s="9">
        <f>IF(Source!BA632&lt;&gt; 0, Source!BA632, 1)</f>
        <v>1</v>
      </c>
      <c r="K874" s="22">
        <f>Source!S632</f>
        <v>41.63</v>
      </c>
      <c r="L874" s="22"/>
    </row>
    <row r="875" spans="1:22" ht="14.25" x14ac:dyDescent="0.2">
      <c r="A875" s="19"/>
      <c r="B875" s="19"/>
      <c r="C875" s="19"/>
      <c r="D875" s="19" t="s">
        <v>834</v>
      </c>
      <c r="E875" s="20"/>
      <c r="F875" s="9"/>
      <c r="G875" s="22">
        <f>Source!AL632</f>
        <v>4.13</v>
      </c>
      <c r="H875" s="21" t="str">
        <f>Source!DD632</f>
        <v/>
      </c>
      <c r="I875" s="9">
        <f>Source!AW632</f>
        <v>1</v>
      </c>
      <c r="J875" s="9">
        <f>IF(Source!BC632&lt;&gt; 0, Source!BC632, 1)</f>
        <v>1</v>
      </c>
      <c r="K875" s="22">
        <f>Source!P632</f>
        <v>0.1</v>
      </c>
      <c r="L875" s="22"/>
    </row>
    <row r="876" spans="1:22" ht="14.25" x14ac:dyDescent="0.2">
      <c r="A876" s="19"/>
      <c r="B876" s="19"/>
      <c r="C876" s="19"/>
      <c r="D876" s="19" t="s">
        <v>828</v>
      </c>
      <c r="E876" s="20" t="s">
        <v>829</v>
      </c>
      <c r="F876" s="9">
        <f>Source!AT632</f>
        <v>70</v>
      </c>
      <c r="G876" s="22"/>
      <c r="H876" s="21"/>
      <c r="I876" s="9"/>
      <c r="J876" s="9"/>
      <c r="K876" s="22">
        <f>SUM(R872:R875)</f>
        <v>29.14</v>
      </c>
      <c r="L876" s="22"/>
    </row>
    <row r="877" spans="1:22" ht="14.25" x14ac:dyDescent="0.2">
      <c r="A877" s="19"/>
      <c r="B877" s="19"/>
      <c r="C877" s="19"/>
      <c r="D877" s="19" t="s">
        <v>830</v>
      </c>
      <c r="E877" s="20" t="s">
        <v>829</v>
      </c>
      <c r="F877" s="9">
        <f>Source!AU632</f>
        <v>10</v>
      </c>
      <c r="G877" s="22"/>
      <c r="H877" s="21"/>
      <c r="I877" s="9"/>
      <c r="J877" s="9"/>
      <c r="K877" s="22">
        <f>SUM(T872:T876)</f>
        <v>4.16</v>
      </c>
      <c r="L877" s="22"/>
    </row>
    <row r="878" spans="1:22" ht="14.25" x14ac:dyDescent="0.2">
      <c r="A878" s="19"/>
      <c r="B878" s="19"/>
      <c r="C878" s="19"/>
      <c r="D878" s="19" t="s">
        <v>832</v>
      </c>
      <c r="E878" s="20" t="s">
        <v>833</v>
      </c>
      <c r="F878" s="9">
        <f>Source!AQ632</f>
        <v>3.24</v>
      </c>
      <c r="G878" s="22"/>
      <c r="H878" s="21" t="str">
        <f>Source!DI632</f>
        <v/>
      </c>
      <c r="I878" s="9">
        <f>Source!AV632</f>
        <v>1</v>
      </c>
      <c r="J878" s="9"/>
      <c r="K878" s="22"/>
      <c r="L878" s="22">
        <f>Source!U632</f>
        <v>7.776000000000001E-2</v>
      </c>
    </row>
    <row r="879" spans="1:22" ht="15" x14ac:dyDescent="0.25">
      <c r="A879" s="27"/>
      <c r="B879" s="27"/>
      <c r="C879" s="27"/>
      <c r="D879" s="27"/>
      <c r="E879" s="27"/>
      <c r="F879" s="27"/>
      <c r="G879" s="27"/>
      <c r="H879" s="27"/>
      <c r="I879" s="27"/>
      <c r="J879" s="60">
        <f>K874+K875+K876+K877</f>
        <v>75.03</v>
      </c>
      <c r="K879" s="60"/>
      <c r="L879" s="28">
        <f>IF(Source!I632&lt;&gt;0, ROUND(J879/Source!I632, 2), 0)</f>
        <v>3126.25</v>
      </c>
      <c r="P879" s="25">
        <f>J879</f>
        <v>75.03</v>
      </c>
    </row>
    <row r="880" spans="1:22" ht="57" x14ac:dyDescent="0.2">
      <c r="A880" s="19">
        <v>83</v>
      </c>
      <c r="B880" s="19">
        <v>83</v>
      </c>
      <c r="C880" s="19" t="str">
        <f>Source!F634</f>
        <v>1.21-2103-9-5/1</v>
      </c>
      <c r="D880" s="19" t="str">
        <f>Source!G634</f>
        <v>Техническое обслуживание силовых сетей, проложенных по кирпичным и бетонным основаниям, провод сечением 3х10-16 мм2  / (5х16,  5х10)</v>
      </c>
      <c r="E880" s="20" t="str">
        <f>Source!H634</f>
        <v>100 м</v>
      </c>
      <c r="F880" s="9">
        <f>Source!I634</f>
        <v>4.8000000000000001E-2</v>
      </c>
      <c r="G880" s="22"/>
      <c r="H880" s="21"/>
      <c r="I880" s="9"/>
      <c r="J880" s="9"/>
      <c r="K880" s="22"/>
      <c r="L880" s="22"/>
      <c r="Q880">
        <f>ROUND((Source!BZ634/100)*ROUND((Source!AF634*Source!AV634)*Source!I634, 2), 2)</f>
        <v>213.68</v>
      </c>
      <c r="R880">
        <f>Source!X634</f>
        <v>213.68</v>
      </c>
      <c r="S880">
        <f>ROUND((Source!CA634/100)*ROUND((Source!AF634*Source!AV634)*Source!I634, 2), 2)</f>
        <v>30.53</v>
      </c>
      <c r="T880">
        <f>Source!Y634</f>
        <v>30.53</v>
      </c>
      <c r="U880">
        <f>ROUND((175/100)*ROUND((Source!AE634*Source!AV634)*Source!I634, 2), 2)</f>
        <v>0</v>
      </c>
      <c r="V880">
        <f>ROUND((108/100)*ROUND(Source!CS634*Source!I634, 2), 2)</f>
        <v>0</v>
      </c>
    </row>
    <row r="881" spans="1:22" x14ac:dyDescent="0.2">
      <c r="D881" s="23" t="str">
        <f>"Объем: "&amp;Source!I634&amp;"=(60+"&amp;"60+"&amp;"60+"&amp;"30+"&amp;"30)*"&amp;"0,2*"&amp;"0,1/"&amp;"100"</f>
        <v>Объем: 0,048=(60+60+60+30+30)*0,2*0,1/100</v>
      </c>
    </row>
    <row r="882" spans="1:22" ht="14.25" x14ac:dyDescent="0.2">
      <c r="A882" s="19"/>
      <c r="B882" s="19"/>
      <c r="C882" s="19"/>
      <c r="D882" s="19" t="s">
        <v>825</v>
      </c>
      <c r="E882" s="20"/>
      <c r="F882" s="9"/>
      <c r="G882" s="22">
        <f>Source!AO634</f>
        <v>6359.54</v>
      </c>
      <c r="H882" s="21" t="str">
        <f>Source!DG634</f>
        <v/>
      </c>
      <c r="I882" s="9">
        <f>Source!AV634</f>
        <v>1</v>
      </c>
      <c r="J882" s="9">
        <f>IF(Source!BA634&lt;&gt; 0, Source!BA634, 1)</f>
        <v>1</v>
      </c>
      <c r="K882" s="22">
        <f>Source!S634</f>
        <v>305.26</v>
      </c>
      <c r="L882" s="22"/>
    </row>
    <row r="883" spans="1:22" ht="14.25" x14ac:dyDescent="0.2">
      <c r="A883" s="19"/>
      <c r="B883" s="19"/>
      <c r="C883" s="19"/>
      <c r="D883" s="19" t="s">
        <v>834</v>
      </c>
      <c r="E883" s="20"/>
      <c r="F883" s="9"/>
      <c r="G883" s="22">
        <f>Source!AL634</f>
        <v>15.76</v>
      </c>
      <c r="H883" s="21" t="str">
        <f>Source!DD634</f>
        <v/>
      </c>
      <c r="I883" s="9">
        <f>Source!AW634</f>
        <v>1</v>
      </c>
      <c r="J883" s="9">
        <f>IF(Source!BC634&lt;&gt; 0, Source!BC634, 1)</f>
        <v>1</v>
      </c>
      <c r="K883" s="22">
        <f>Source!P634</f>
        <v>0.76</v>
      </c>
      <c r="L883" s="22"/>
    </row>
    <row r="884" spans="1:22" ht="14.25" x14ac:dyDescent="0.2">
      <c r="A884" s="19"/>
      <c r="B884" s="19"/>
      <c r="C884" s="19"/>
      <c r="D884" s="19" t="s">
        <v>828</v>
      </c>
      <c r="E884" s="20" t="s">
        <v>829</v>
      </c>
      <c r="F884" s="9">
        <f>Source!AT634</f>
        <v>70</v>
      </c>
      <c r="G884" s="22"/>
      <c r="H884" s="21"/>
      <c r="I884" s="9"/>
      <c r="J884" s="9"/>
      <c r="K884" s="22">
        <f>SUM(R880:R883)</f>
        <v>213.68</v>
      </c>
      <c r="L884" s="22"/>
    </row>
    <row r="885" spans="1:22" ht="14.25" x14ac:dyDescent="0.2">
      <c r="A885" s="19"/>
      <c r="B885" s="19"/>
      <c r="C885" s="19"/>
      <c r="D885" s="19" t="s">
        <v>830</v>
      </c>
      <c r="E885" s="20" t="s">
        <v>829</v>
      </c>
      <c r="F885" s="9">
        <f>Source!AU634</f>
        <v>10</v>
      </c>
      <c r="G885" s="22"/>
      <c r="H885" s="21"/>
      <c r="I885" s="9"/>
      <c r="J885" s="9"/>
      <c r="K885" s="22">
        <f>SUM(T880:T884)</f>
        <v>30.53</v>
      </c>
      <c r="L885" s="22"/>
    </row>
    <row r="886" spans="1:22" ht="14.25" x14ac:dyDescent="0.2">
      <c r="A886" s="19"/>
      <c r="B886" s="19"/>
      <c r="C886" s="19"/>
      <c r="D886" s="19" t="s">
        <v>832</v>
      </c>
      <c r="E886" s="20" t="s">
        <v>833</v>
      </c>
      <c r="F886" s="9">
        <f>Source!AQ634</f>
        <v>11.88</v>
      </c>
      <c r="G886" s="22"/>
      <c r="H886" s="21" t="str">
        <f>Source!DI634</f>
        <v/>
      </c>
      <c r="I886" s="9">
        <f>Source!AV634</f>
        <v>1</v>
      </c>
      <c r="J886" s="9"/>
      <c r="K886" s="22"/>
      <c r="L886" s="22">
        <f>Source!U634</f>
        <v>0.57024000000000008</v>
      </c>
    </row>
    <row r="887" spans="1:22" ht="15" x14ac:dyDescent="0.25">
      <c r="A887" s="27"/>
      <c r="B887" s="27"/>
      <c r="C887" s="27"/>
      <c r="D887" s="27"/>
      <c r="E887" s="27"/>
      <c r="F887" s="27"/>
      <c r="G887" s="27"/>
      <c r="H887" s="27"/>
      <c r="I887" s="27"/>
      <c r="J887" s="60">
        <f>K882+K883+K884+K885</f>
        <v>550.23</v>
      </c>
      <c r="K887" s="60"/>
      <c r="L887" s="28">
        <f>IF(Source!I634&lt;&gt;0, ROUND(J887/Source!I634, 2), 0)</f>
        <v>11463.13</v>
      </c>
      <c r="P887" s="25">
        <f>J887</f>
        <v>550.23</v>
      </c>
    </row>
    <row r="888" spans="1:22" ht="71.25" x14ac:dyDescent="0.2">
      <c r="A888" s="19">
        <v>84</v>
      </c>
      <c r="B888" s="19">
        <v>84</v>
      </c>
      <c r="C888" s="19" t="str">
        <f>Source!F635</f>
        <v>1.21-2103-9-6/1</v>
      </c>
      <c r="D888" s="19" t="str">
        <f>Source!G635</f>
        <v>Техническое обслуживание силовых сетей, проложенных по кирпичным и бетонным основаниям, добавлять на каждый последующий провод к поз. 21-2103-9-5  / (5х16,  5х10)</v>
      </c>
      <c r="E888" s="20" t="str">
        <f>Source!H635</f>
        <v>100 м</v>
      </c>
      <c r="F888" s="9">
        <f>Source!I635</f>
        <v>4.8000000000000001E-2</v>
      </c>
      <c r="G888" s="22"/>
      <c r="H888" s="21"/>
      <c r="I888" s="9"/>
      <c r="J888" s="9"/>
      <c r="K888" s="22"/>
      <c r="L888" s="22"/>
      <c r="Q888">
        <f>ROUND((Source!BZ635/100)*ROUND((Source!AF635*Source!AV635)*Source!I635, 2), 2)</f>
        <v>47.49</v>
      </c>
      <c r="R888">
        <f>Source!X635</f>
        <v>47.49</v>
      </c>
      <c r="S888">
        <f>ROUND((Source!CA635/100)*ROUND((Source!AF635*Source!AV635)*Source!I635, 2), 2)</f>
        <v>6.78</v>
      </c>
      <c r="T888">
        <f>Source!Y635</f>
        <v>6.78</v>
      </c>
      <c r="U888">
        <f>ROUND((175/100)*ROUND((Source!AE635*Source!AV635)*Source!I635, 2), 2)</f>
        <v>0</v>
      </c>
      <c r="V888">
        <f>ROUND((108/100)*ROUND(Source!CS635*Source!I635, 2), 2)</f>
        <v>0</v>
      </c>
    </row>
    <row r="889" spans="1:22" x14ac:dyDescent="0.2">
      <c r="D889" s="23" t="str">
        <f>"Объем: "&amp;Source!I635&amp;"=(60+"&amp;"60+"&amp;"60+"&amp;"30+"&amp;"30)*"&amp;"0,2*"&amp;"0,1/"&amp;"100"</f>
        <v>Объем: 0,048=(60+60+60+30+30)*0,2*0,1/100</v>
      </c>
    </row>
    <row r="890" spans="1:22" ht="14.25" x14ac:dyDescent="0.2">
      <c r="A890" s="19"/>
      <c r="B890" s="19"/>
      <c r="C890" s="19"/>
      <c r="D890" s="19" t="s">
        <v>825</v>
      </c>
      <c r="E890" s="20"/>
      <c r="F890" s="9"/>
      <c r="G890" s="22">
        <f>Source!AO635</f>
        <v>1413.23</v>
      </c>
      <c r="H890" s="21" t="str">
        <f>Source!DG635</f>
        <v/>
      </c>
      <c r="I890" s="9">
        <f>Source!AV635</f>
        <v>1</v>
      </c>
      <c r="J890" s="9">
        <f>IF(Source!BA635&lt;&gt; 0, Source!BA635, 1)</f>
        <v>1</v>
      </c>
      <c r="K890" s="22">
        <f>Source!S635</f>
        <v>67.84</v>
      </c>
      <c r="L890" s="22"/>
    </row>
    <row r="891" spans="1:22" ht="14.25" x14ac:dyDescent="0.2">
      <c r="A891" s="19"/>
      <c r="B891" s="19"/>
      <c r="C891" s="19"/>
      <c r="D891" s="19" t="s">
        <v>834</v>
      </c>
      <c r="E891" s="20"/>
      <c r="F891" s="9"/>
      <c r="G891" s="22">
        <f>Source!AL635</f>
        <v>3.38</v>
      </c>
      <c r="H891" s="21" t="str">
        <f>Source!DD635</f>
        <v/>
      </c>
      <c r="I891" s="9">
        <f>Source!AW635</f>
        <v>1</v>
      </c>
      <c r="J891" s="9">
        <f>IF(Source!BC635&lt;&gt; 0, Source!BC635, 1)</f>
        <v>1</v>
      </c>
      <c r="K891" s="22">
        <f>Source!P635</f>
        <v>0.16</v>
      </c>
      <c r="L891" s="22"/>
    </row>
    <row r="892" spans="1:22" ht="14.25" x14ac:dyDescent="0.2">
      <c r="A892" s="19"/>
      <c r="B892" s="19"/>
      <c r="C892" s="19"/>
      <c r="D892" s="19" t="s">
        <v>828</v>
      </c>
      <c r="E892" s="20" t="s">
        <v>829</v>
      </c>
      <c r="F892" s="9">
        <f>Source!AT635</f>
        <v>70</v>
      </c>
      <c r="G892" s="22"/>
      <c r="H892" s="21"/>
      <c r="I892" s="9"/>
      <c r="J892" s="9"/>
      <c r="K892" s="22">
        <f>SUM(R888:R891)</f>
        <v>47.49</v>
      </c>
      <c r="L892" s="22"/>
    </row>
    <row r="893" spans="1:22" ht="14.25" x14ac:dyDescent="0.2">
      <c r="A893" s="19"/>
      <c r="B893" s="19"/>
      <c r="C893" s="19"/>
      <c r="D893" s="19" t="s">
        <v>830</v>
      </c>
      <c r="E893" s="20" t="s">
        <v>829</v>
      </c>
      <c r="F893" s="9">
        <f>Source!AU635</f>
        <v>10</v>
      </c>
      <c r="G893" s="22"/>
      <c r="H893" s="21"/>
      <c r="I893" s="9"/>
      <c r="J893" s="9"/>
      <c r="K893" s="22">
        <f>SUM(T888:T892)</f>
        <v>6.78</v>
      </c>
      <c r="L893" s="22"/>
    </row>
    <row r="894" spans="1:22" ht="14.25" x14ac:dyDescent="0.2">
      <c r="A894" s="19"/>
      <c r="B894" s="19"/>
      <c r="C894" s="19"/>
      <c r="D894" s="19" t="s">
        <v>832</v>
      </c>
      <c r="E894" s="20" t="s">
        <v>833</v>
      </c>
      <c r="F894" s="9">
        <f>Source!AQ635</f>
        <v>2.64</v>
      </c>
      <c r="G894" s="22"/>
      <c r="H894" s="21" t="str">
        <f>Source!DI635</f>
        <v/>
      </c>
      <c r="I894" s="9">
        <f>Source!AV635</f>
        <v>1</v>
      </c>
      <c r="J894" s="9"/>
      <c r="K894" s="22"/>
      <c r="L894" s="22">
        <f>Source!U635</f>
        <v>0.12672</v>
      </c>
    </row>
    <row r="895" spans="1:22" ht="15" x14ac:dyDescent="0.25">
      <c r="A895" s="27"/>
      <c r="B895" s="27"/>
      <c r="C895" s="27"/>
      <c r="D895" s="27"/>
      <c r="E895" s="27"/>
      <c r="F895" s="27"/>
      <c r="G895" s="27"/>
      <c r="H895" s="27"/>
      <c r="I895" s="27"/>
      <c r="J895" s="60">
        <f>K890+K891+K892+K893</f>
        <v>122.27000000000001</v>
      </c>
      <c r="K895" s="60"/>
      <c r="L895" s="28">
        <f>IF(Source!I635&lt;&gt;0, ROUND(J895/Source!I635, 2), 0)</f>
        <v>2547.29</v>
      </c>
      <c r="P895" s="25">
        <f>J895</f>
        <v>122.27000000000001</v>
      </c>
    </row>
    <row r="896" spans="1:22" ht="71.25" x14ac:dyDescent="0.2">
      <c r="A896" s="19">
        <v>85</v>
      </c>
      <c r="B896" s="19">
        <v>85</v>
      </c>
      <c r="C896" s="19" t="str">
        <f>Source!F637</f>
        <v>1.21-2103-9-3/1</v>
      </c>
      <c r="D896" s="19" t="str">
        <f>Source!G637</f>
        <v>Техническое обслуживание силовых сетей, проложенных по кирпичным и бетонным основаниям, провод сечением 4х1,5-6 мм2 / (5х1,5, 5х2,5, 5х4, 5х6)</v>
      </c>
      <c r="E896" s="20" t="str">
        <f>Source!H637</f>
        <v>100 м</v>
      </c>
      <c r="F896" s="9">
        <f>Source!I637</f>
        <v>0.15</v>
      </c>
      <c r="G896" s="22"/>
      <c r="H896" s="21"/>
      <c r="I896" s="9"/>
      <c r="J896" s="9"/>
      <c r="K896" s="22"/>
      <c r="L896" s="22"/>
      <c r="Q896">
        <f>ROUND((Source!BZ637/100)*ROUND((Source!AF637*Source!AV637)*Source!I637, 2), 2)</f>
        <v>630.66</v>
      </c>
      <c r="R896">
        <f>Source!X637</f>
        <v>630.66</v>
      </c>
      <c r="S896">
        <f>ROUND((Source!CA637/100)*ROUND((Source!AF637*Source!AV637)*Source!I637, 2), 2)</f>
        <v>90.09</v>
      </c>
      <c r="T896">
        <f>Source!Y637</f>
        <v>90.09</v>
      </c>
      <c r="U896">
        <f>ROUND((175/100)*ROUND((Source!AE637*Source!AV637)*Source!I637, 2), 2)</f>
        <v>0</v>
      </c>
      <c r="V896">
        <f>ROUND((108/100)*ROUND(Source!CS637*Source!I637, 2), 2)</f>
        <v>0</v>
      </c>
    </row>
    <row r="897" spans="1:22" ht="38.25" x14ac:dyDescent="0.2">
      <c r="D897" s="23" t="str">
        <f>"Объем: "&amp;Source!I637&amp;"=(5+"&amp;"80+"&amp;"60+"&amp;"5+"&amp;"80+"&amp;"60+"&amp;"5+"&amp;"80+"&amp;"60+"&amp;"5+"&amp;"60+"&amp;"130+"&amp;"120)*"&amp;"0,2*"&amp;"0,1/"&amp;"100"</f>
        <v>Объем: 0,15=(5+80+60+5+80+60+5+80+60+5+60+130+120)*0,2*0,1/100</v>
      </c>
    </row>
    <row r="898" spans="1:22" ht="14.25" x14ac:dyDescent="0.2">
      <c r="A898" s="19"/>
      <c r="B898" s="19"/>
      <c r="C898" s="19"/>
      <c r="D898" s="19" t="s">
        <v>825</v>
      </c>
      <c r="E898" s="20"/>
      <c r="F898" s="9"/>
      <c r="G898" s="22">
        <f>Source!AO637</f>
        <v>6006.24</v>
      </c>
      <c r="H898" s="21" t="str">
        <f>Source!DG637</f>
        <v/>
      </c>
      <c r="I898" s="9">
        <f>Source!AV637</f>
        <v>1</v>
      </c>
      <c r="J898" s="9">
        <f>IF(Source!BA637&lt;&gt; 0, Source!BA637, 1)</f>
        <v>1</v>
      </c>
      <c r="K898" s="22">
        <f>Source!S637</f>
        <v>900.94</v>
      </c>
      <c r="L898" s="22"/>
    </row>
    <row r="899" spans="1:22" ht="14.25" x14ac:dyDescent="0.2">
      <c r="A899" s="19"/>
      <c r="B899" s="19"/>
      <c r="C899" s="19"/>
      <c r="D899" s="19" t="s">
        <v>834</v>
      </c>
      <c r="E899" s="20"/>
      <c r="F899" s="9"/>
      <c r="G899" s="22">
        <f>Source!AL637</f>
        <v>14.63</v>
      </c>
      <c r="H899" s="21" t="str">
        <f>Source!DD637</f>
        <v/>
      </c>
      <c r="I899" s="9">
        <f>Source!AW637</f>
        <v>1</v>
      </c>
      <c r="J899" s="9">
        <f>IF(Source!BC637&lt;&gt; 0, Source!BC637, 1)</f>
        <v>1</v>
      </c>
      <c r="K899" s="22">
        <f>Source!P637</f>
        <v>2.19</v>
      </c>
      <c r="L899" s="22"/>
    </row>
    <row r="900" spans="1:22" ht="14.25" x14ac:dyDescent="0.2">
      <c r="A900" s="19"/>
      <c r="B900" s="19"/>
      <c r="C900" s="19"/>
      <c r="D900" s="19" t="s">
        <v>828</v>
      </c>
      <c r="E900" s="20" t="s">
        <v>829</v>
      </c>
      <c r="F900" s="9">
        <f>Source!AT637</f>
        <v>70</v>
      </c>
      <c r="G900" s="22"/>
      <c r="H900" s="21"/>
      <c r="I900" s="9"/>
      <c r="J900" s="9"/>
      <c r="K900" s="22">
        <f>SUM(R896:R899)</f>
        <v>630.66</v>
      </c>
      <c r="L900" s="22"/>
    </row>
    <row r="901" spans="1:22" ht="14.25" x14ac:dyDescent="0.2">
      <c r="A901" s="19"/>
      <c r="B901" s="19"/>
      <c r="C901" s="19"/>
      <c r="D901" s="19" t="s">
        <v>830</v>
      </c>
      <c r="E901" s="20" t="s">
        <v>829</v>
      </c>
      <c r="F901" s="9">
        <f>Source!AU637</f>
        <v>10</v>
      </c>
      <c r="G901" s="22"/>
      <c r="H901" s="21"/>
      <c r="I901" s="9"/>
      <c r="J901" s="9"/>
      <c r="K901" s="22">
        <f>SUM(T896:T900)</f>
        <v>90.09</v>
      </c>
      <c r="L901" s="22"/>
    </row>
    <row r="902" spans="1:22" ht="14.25" x14ac:dyDescent="0.2">
      <c r="A902" s="19"/>
      <c r="B902" s="19"/>
      <c r="C902" s="19"/>
      <c r="D902" s="19" t="s">
        <v>832</v>
      </c>
      <c r="E902" s="20" t="s">
        <v>833</v>
      </c>
      <c r="F902" s="9">
        <f>Source!AQ637</f>
        <v>11.22</v>
      </c>
      <c r="G902" s="22"/>
      <c r="H902" s="21" t="str">
        <f>Source!DI637</f>
        <v/>
      </c>
      <c r="I902" s="9">
        <f>Source!AV637</f>
        <v>1</v>
      </c>
      <c r="J902" s="9"/>
      <c r="K902" s="22"/>
      <c r="L902" s="22">
        <f>Source!U637</f>
        <v>1.6830000000000001</v>
      </c>
    </row>
    <row r="903" spans="1:22" ht="15" x14ac:dyDescent="0.25">
      <c r="A903" s="27"/>
      <c r="B903" s="27"/>
      <c r="C903" s="27"/>
      <c r="D903" s="27"/>
      <c r="E903" s="27"/>
      <c r="F903" s="27"/>
      <c r="G903" s="27"/>
      <c r="H903" s="27"/>
      <c r="I903" s="27"/>
      <c r="J903" s="60">
        <f>K898+K899+K900+K901</f>
        <v>1623.8799999999999</v>
      </c>
      <c r="K903" s="60"/>
      <c r="L903" s="28">
        <f>IF(Source!I637&lt;&gt;0, ROUND(J903/Source!I637, 2), 0)</f>
        <v>10825.87</v>
      </c>
      <c r="P903" s="25">
        <f>J903</f>
        <v>1623.8799999999999</v>
      </c>
    </row>
    <row r="904" spans="1:22" ht="71.25" x14ac:dyDescent="0.2">
      <c r="A904" s="19">
        <v>86</v>
      </c>
      <c r="B904" s="19">
        <v>86</v>
      </c>
      <c r="C904" s="19" t="str">
        <f>Source!F638</f>
        <v>1.21-2103-9-4/1</v>
      </c>
      <c r="D904" s="19" t="str">
        <f>Source!G638</f>
        <v>Техническое обслуживание силовых сетей, проложенных по кирпичным и бетонным основаниям, добавлять на каждый следующий провод к поз. 21-2103-9-3 / (5х1,5, 5х2,5, 5х4, 5х6)</v>
      </c>
      <c r="E904" s="20" t="str">
        <f>Source!H638</f>
        <v>100 м</v>
      </c>
      <c r="F904" s="9">
        <f>Source!I638</f>
        <v>0.15</v>
      </c>
      <c r="G904" s="22"/>
      <c r="H904" s="21"/>
      <c r="I904" s="9"/>
      <c r="J904" s="9"/>
      <c r="K904" s="22"/>
      <c r="L904" s="22"/>
      <c r="Q904">
        <f>ROUND((Source!BZ638/100)*ROUND((Source!AF638*Source!AV638)*Source!I638, 2), 2)</f>
        <v>114.67</v>
      </c>
      <c r="R904">
        <f>Source!X638</f>
        <v>114.67</v>
      </c>
      <c r="S904">
        <f>ROUND((Source!CA638/100)*ROUND((Source!AF638*Source!AV638)*Source!I638, 2), 2)</f>
        <v>16.38</v>
      </c>
      <c r="T904">
        <f>Source!Y638</f>
        <v>16.38</v>
      </c>
      <c r="U904">
        <f>ROUND((175/100)*ROUND((Source!AE638*Source!AV638)*Source!I638, 2), 2)</f>
        <v>0</v>
      </c>
      <c r="V904">
        <f>ROUND((108/100)*ROUND(Source!CS638*Source!I638, 2), 2)</f>
        <v>0</v>
      </c>
    </row>
    <row r="905" spans="1:22" ht="38.25" x14ac:dyDescent="0.2">
      <c r="D905" s="23" t="str">
        <f>"Объем: "&amp;Source!I638&amp;"=(5+"&amp;"80+"&amp;"60+"&amp;"5+"&amp;"80+"&amp;"60+"&amp;"5+"&amp;"80+"&amp;"60+"&amp;"5+"&amp;"60+"&amp;"130+"&amp;"120)*"&amp;"0,2*"&amp;"0,1/"&amp;"100"</f>
        <v>Объем: 0,15=(5+80+60+5+80+60+5+80+60+5+60+130+120)*0,2*0,1/100</v>
      </c>
    </row>
    <row r="906" spans="1:22" ht="14.25" x14ac:dyDescent="0.2">
      <c r="A906" s="19"/>
      <c r="B906" s="19"/>
      <c r="C906" s="19"/>
      <c r="D906" s="19" t="s">
        <v>825</v>
      </c>
      <c r="E906" s="20"/>
      <c r="F906" s="9"/>
      <c r="G906" s="22">
        <f>Source!AO638</f>
        <v>1092.04</v>
      </c>
      <c r="H906" s="21" t="str">
        <f>Source!DG638</f>
        <v/>
      </c>
      <c r="I906" s="9">
        <f>Source!AV638</f>
        <v>1</v>
      </c>
      <c r="J906" s="9">
        <f>IF(Source!BA638&lt;&gt; 0, Source!BA638, 1)</f>
        <v>1</v>
      </c>
      <c r="K906" s="22">
        <f>Source!S638</f>
        <v>163.81</v>
      </c>
      <c r="L906" s="22"/>
    </row>
    <row r="907" spans="1:22" ht="14.25" x14ac:dyDescent="0.2">
      <c r="A907" s="19"/>
      <c r="B907" s="19"/>
      <c r="C907" s="19"/>
      <c r="D907" s="19" t="s">
        <v>828</v>
      </c>
      <c r="E907" s="20" t="s">
        <v>829</v>
      </c>
      <c r="F907" s="9">
        <f>Source!AT638</f>
        <v>70</v>
      </c>
      <c r="G907" s="22"/>
      <c r="H907" s="21"/>
      <c r="I907" s="9"/>
      <c r="J907" s="9"/>
      <c r="K907" s="22">
        <f>SUM(R904:R906)</f>
        <v>114.67</v>
      </c>
      <c r="L907" s="22"/>
    </row>
    <row r="908" spans="1:22" ht="14.25" x14ac:dyDescent="0.2">
      <c r="A908" s="19"/>
      <c r="B908" s="19"/>
      <c r="C908" s="19"/>
      <c r="D908" s="19" t="s">
        <v>830</v>
      </c>
      <c r="E908" s="20" t="s">
        <v>829</v>
      </c>
      <c r="F908" s="9">
        <f>Source!AU638</f>
        <v>10</v>
      </c>
      <c r="G908" s="22"/>
      <c r="H908" s="21"/>
      <c r="I908" s="9"/>
      <c r="J908" s="9"/>
      <c r="K908" s="22">
        <f>SUM(T904:T907)</f>
        <v>16.38</v>
      </c>
      <c r="L908" s="22"/>
    </row>
    <row r="909" spans="1:22" ht="14.25" x14ac:dyDescent="0.2">
      <c r="A909" s="19"/>
      <c r="B909" s="19"/>
      <c r="C909" s="19"/>
      <c r="D909" s="19" t="s">
        <v>832</v>
      </c>
      <c r="E909" s="20" t="s">
        <v>833</v>
      </c>
      <c r="F909" s="9">
        <f>Source!AQ638</f>
        <v>2.04</v>
      </c>
      <c r="G909" s="22"/>
      <c r="H909" s="21" t="str">
        <f>Source!DI638</f>
        <v/>
      </c>
      <c r="I909" s="9">
        <f>Source!AV638</f>
        <v>1</v>
      </c>
      <c r="J909" s="9"/>
      <c r="K909" s="22"/>
      <c r="L909" s="22">
        <f>Source!U638</f>
        <v>0.30599999999999999</v>
      </c>
    </row>
    <row r="910" spans="1:22" ht="15" x14ac:dyDescent="0.25">
      <c r="A910" s="27"/>
      <c r="B910" s="27"/>
      <c r="C910" s="27"/>
      <c r="D910" s="27"/>
      <c r="E910" s="27"/>
      <c r="F910" s="27"/>
      <c r="G910" s="27"/>
      <c r="H910" s="27"/>
      <c r="I910" s="27"/>
      <c r="J910" s="60">
        <f>K906+K907+K908</f>
        <v>294.86</v>
      </c>
      <c r="K910" s="60"/>
      <c r="L910" s="28">
        <f>IF(Source!I638&lt;&gt;0, ROUND(J910/Source!I638, 2), 0)</f>
        <v>1965.73</v>
      </c>
      <c r="P910" s="25">
        <f>J910</f>
        <v>294.86</v>
      </c>
    </row>
    <row r="912" spans="1:22" ht="15" x14ac:dyDescent="0.25">
      <c r="A912" s="59" t="str">
        <f>CONCATENATE("Итого по подразделу: ",IF(Source!G641&lt;&gt;"Новый подраздел", Source!G641, ""))</f>
        <v>Итого по подразделу: Силовое электрооборудование</v>
      </c>
      <c r="B912" s="59"/>
      <c r="C912" s="59"/>
      <c r="D912" s="59"/>
      <c r="E912" s="59"/>
      <c r="F912" s="59"/>
      <c r="G912" s="59"/>
      <c r="H912" s="59"/>
      <c r="I912" s="59"/>
      <c r="J912" s="57">
        <f>SUM(P770:P911)</f>
        <v>455550.4200000001</v>
      </c>
      <c r="K912" s="58"/>
      <c r="L912" s="18"/>
    </row>
    <row r="915" spans="1:22" ht="16.5" x14ac:dyDescent="0.25">
      <c r="A915" s="55" t="str">
        <f>CONCATENATE("Подраздел: ",IF(Source!G671&lt;&gt;"Новый подраздел", Source!G671, ""))</f>
        <v>Подраздел: Электрическое освещение (внутреннее)</v>
      </c>
      <c r="B915" s="55"/>
      <c r="C915" s="55"/>
      <c r="D915" s="55"/>
      <c r="E915" s="55"/>
      <c r="F915" s="55"/>
      <c r="G915" s="55"/>
      <c r="H915" s="55"/>
      <c r="I915" s="55"/>
      <c r="J915" s="55"/>
      <c r="K915" s="55"/>
      <c r="L915" s="55"/>
    </row>
    <row r="917" spans="1:22" ht="15" x14ac:dyDescent="0.25">
      <c r="C917" s="56" t="str">
        <f>Source!G675</f>
        <v>Оборудование светотехническое. Корпус  7.2.1, Корпус 7.2.2, Корпус 7.2.3,  Корпус 7.2.4</v>
      </c>
      <c r="D917" s="56"/>
      <c r="E917" s="56"/>
      <c r="F917" s="56"/>
      <c r="G917" s="56"/>
      <c r="H917" s="56"/>
      <c r="I917" s="56"/>
      <c r="J917" s="56"/>
      <c r="K917" s="56"/>
    </row>
    <row r="918" spans="1:22" ht="150.75" x14ac:dyDescent="0.2">
      <c r="A918" s="19">
        <v>87</v>
      </c>
      <c r="B918" s="19">
        <v>87</v>
      </c>
      <c r="C918" s="19" t="s">
        <v>835</v>
      </c>
      <c r="D918" s="19" t="s">
        <v>836</v>
      </c>
      <c r="E918" s="20" t="str">
        <f>Source!H676</f>
        <v>шт.</v>
      </c>
      <c r="F918" s="9">
        <f>Source!I676</f>
        <v>68</v>
      </c>
      <c r="G918" s="22"/>
      <c r="H918" s="21"/>
      <c r="I918" s="9"/>
      <c r="J918" s="9"/>
      <c r="K918" s="22"/>
      <c r="L918" s="22"/>
      <c r="Q918">
        <f>ROUND((Source!BZ676/100)*ROUND((Source!AF676*Source!AV676)*Source!I676, 2), 2)</f>
        <v>5009.3100000000004</v>
      </c>
      <c r="R918">
        <f>Source!X676</f>
        <v>5009.3100000000004</v>
      </c>
      <c r="S918">
        <f>ROUND((Source!CA676/100)*ROUND((Source!AF676*Source!AV676)*Source!I676, 2), 2)</f>
        <v>715.62</v>
      </c>
      <c r="T918">
        <f>Source!Y676</f>
        <v>715.62</v>
      </c>
      <c r="U918">
        <f>ROUND((175/100)*ROUND((Source!AE676*Source!AV676)*Source!I676, 2), 2)</f>
        <v>0</v>
      </c>
      <c r="V918">
        <f>ROUND((108/100)*ROUND(Source!CS676*Source!I676, 2), 2)</f>
        <v>0</v>
      </c>
    </row>
    <row r="919" spans="1:22" x14ac:dyDescent="0.2">
      <c r="D919" s="23" t="str">
        <f>"Объем: "&amp;Source!I676&amp;"=12+"&amp;"12+"&amp;"12+"&amp;"32"</f>
        <v>Объем: 68=12+12+12+32</v>
      </c>
    </row>
    <row r="920" spans="1:22" ht="14.25" x14ac:dyDescent="0.2">
      <c r="A920" s="19"/>
      <c r="B920" s="19"/>
      <c r="C920" s="19"/>
      <c r="D920" s="19" t="s">
        <v>825</v>
      </c>
      <c r="E920" s="20"/>
      <c r="F920" s="9"/>
      <c r="G920" s="22">
        <f>Source!AO676</f>
        <v>101.19</v>
      </c>
      <c r="H920" s="21" t="str">
        <f>Source!DG676</f>
        <v>)*1,04</v>
      </c>
      <c r="I920" s="9">
        <f>Source!AV676</f>
        <v>1</v>
      </c>
      <c r="J920" s="9">
        <f>IF(Source!BA676&lt;&gt; 0, Source!BA676, 1)</f>
        <v>1</v>
      </c>
      <c r="K920" s="22">
        <f>Source!S676</f>
        <v>7156.16</v>
      </c>
      <c r="L920" s="22"/>
    </row>
    <row r="921" spans="1:22" ht="14.25" x14ac:dyDescent="0.2">
      <c r="A921" s="19"/>
      <c r="B921" s="19"/>
      <c r="C921" s="19"/>
      <c r="D921" s="19" t="s">
        <v>834</v>
      </c>
      <c r="E921" s="20"/>
      <c r="F921" s="9"/>
      <c r="G921" s="22">
        <f>Source!AL676</f>
        <v>1.26</v>
      </c>
      <c r="H921" s="21" t="str">
        <f>Source!DD676</f>
        <v/>
      </c>
      <c r="I921" s="9">
        <f>Source!AW676</f>
        <v>1</v>
      </c>
      <c r="J921" s="9">
        <f>IF(Source!BC676&lt;&gt; 0, Source!BC676, 1)</f>
        <v>1</v>
      </c>
      <c r="K921" s="22">
        <f>Source!P676</f>
        <v>85.68</v>
      </c>
      <c r="L921" s="22"/>
    </row>
    <row r="922" spans="1:22" ht="14.25" x14ac:dyDescent="0.2">
      <c r="A922" s="19"/>
      <c r="B922" s="19"/>
      <c r="C922" s="19"/>
      <c r="D922" s="19" t="s">
        <v>828</v>
      </c>
      <c r="E922" s="20" t="s">
        <v>829</v>
      </c>
      <c r="F922" s="9">
        <f>Source!AT676</f>
        <v>70</v>
      </c>
      <c r="G922" s="22"/>
      <c r="H922" s="21"/>
      <c r="I922" s="9"/>
      <c r="J922" s="9"/>
      <c r="K922" s="22">
        <f>SUM(R918:R921)</f>
        <v>5009.3100000000004</v>
      </c>
      <c r="L922" s="22"/>
    </row>
    <row r="923" spans="1:22" ht="14.25" x14ac:dyDescent="0.2">
      <c r="A923" s="19"/>
      <c r="B923" s="19"/>
      <c r="C923" s="19"/>
      <c r="D923" s="19" t="s">
        <v>830</v>
      </c>
      <c r="E923" s="20" t="s">
        <v>829</v>
      </c>
      <c r="F923" s="9">
        <f>Source!AU676</f>
        <v>10</v>
      </c>
      <c r="G923" s="22"/>
      <c r="H923" s="21"/>
      <c r="I923" s="9"/>
      <c r="J923" s="9"/>
      <c r="K923" s="22">
        <f>SUM(T918:T922)</f>
        <v>715.62</v>
      </c>
      <c r="L923" s="22"/>
    </row>
    <row r="924" spans="1:22" ht="14.25" x14ac:dyDescent="0.2">
      <c r="A924" s="19"/>
      <c r="B924" s="19"/>
      <c r="C924" s="19"/>
      <c r="D924" s="19" t="s">
        <v>832</v>
      </c>
      <c r="E924" s="20" t="s">
        <v>833</v>
      </c>
      <c r="F924" s="9">
        <f>Source!AQ676</f>
        <v>0.18</v>
      </c>
      <c r="G924" s="22"/>
      <c r="H924" s="21" t="str">
        <f>Source!DI676</f>
        <v>)*1,04</v>
      </c>
      <c r="I924" s="9">
        <f>Source!AV676</f>
        <v>1</v>
      </c>
      <c r="J924" s="9"/>
      <c r="K924" s="22"/>
      <c r="L924" s="22">
        <f>Source!U676</f>
        <v>12.7296</v>
      </c>
    </row>
    <row r="925" spans="1:22" ht="15" x14ac:dyDescent="0.25">
      <c r="A925" s="27"/>
      <c r="B925" s="27"/>
      <c r="C925" s="27"/>
      <c r="D925" s="27"/>
      <c r="E925" s="27"/>
      <c r="F925" s="27"/>
      <c r="G925" s="27"/>
      <c r="H925" s="27"/>
      <c r="I925" s="27"/>
      <c r="J925" s="60">
        <f>K920+K921+K922+K923</f>
        <v>12966.770000000002</v>
      </c>
      <c r="K925" s="60"/>
      <c r="L925" s="28">
        <f>IF(Source!I676&lt;&gt;0, ROUND(J925/Source!I676, 2), 0)</f>
        <v>190.69</v>
      </c>
      <c r="P925" s="25">
        <f>J925</f>
        <v>12966.770000000002</v>
      </c>
    </row>
    <row r="926" spans="1:22" ht="108" x14ac:dyDescent="0.2">
      <c r="A926" s="19">
        <v>88</v>
      </c>
      <c r="B926" s="19">
        <v>88</v>
      </c>
      <c r="C926" s="19" t="s">
        <v>837</v>
      </c>
      <c r="D926" s="19" t="s">
        <v>838</v>
      </c>
      <c r="E926" s="20" t="str">
        <f>Source!H677</f>
        <v>шт.</v>
      </c>
      <c r="F926" s="9">
        <f>Source!I677</f>
        <v>55</v>
      </c>
      <c r="G926" s="22"/>
      <c r="H926" s="21"/>
      <c r="I926" s="9"/>
      <c r="J926" s="9"/>
      <c r="K926" s="22"/>
      <c r="L926" s="22"/>
      <c r="Q926">
        <f>ROUND((Source!BZ677/100)*ROUND((Source!AF677*Source!AV677)*Source!I677, 2), 2)</f>
        <v>9003.7900000000009</v>
      </c>
      <c r="R926">
        <f>Source!X677</f>
        <v>9003.7900000000009</v>
      </c>
      <c r="S926">
        <f>ROUND((Source!CA677/100)*ROUND((Source!AF677*Source!AV677)*Source!I677, 2), 2)</f>
        <v>1286.26</v>
      </c>
      <c r="T926">
        <f>Source!Y677</f>
        <v>1286.26</v>
      </c>
      <c r="U926">
        <f>ROUND((175/100)*ROUND((Source!AE677*Source!AV677)*Source!I677, 2), 2)</f>
        <v>0</v>
      </c>
      <c r="V926">
        <f>ROUND((108/100)*ROUND(Source!CS677*Source!I677, 2), 2)</f>
        <v>0</v>
      </c>
    </row>
    <row r="927" spans="1:22" x14ac:dyDescent="0.2">
      <c r="D927" s="23" t="str">
        <f>"Объем: "&amp;Source!I677&amp;"=11+"&amp;"1+"&amp;"11+"&amp;"1+"&amp;"11+"&amp;"1+"&amp;"17+"&amp;"2"</f>
        <v>Объем: 55=11+1+11+1+11+1+17+2</v>
      </c>
    </row>
    <row r="928" spans="1:22" ht="14.25" x14ac:dyDescent="0.2">
      <c r="A928" s="19"/>
      <c r="B928" s="19"/>
      <c r="C928" s="19"/>
      <c r="D928" s="19" t="s">
        <v>825</v>
      </c>
      <c r="E928" s="20"/>
      <c r="F928" s="9"/>
      <c r="G928" s="22">
        <f>Source!AO677</f>
        <v>224.87</v>
      </c>
      <c r="H928" s="21" t="str">
        <f>Source!DG677</f>
        <v>)*1,04</v>
      </c>
      <c r="I928" s="9">
        <f>Source!AV677</f>
        <v>1</v>
      </c>
      <c r="J928" s="9">
        <f>IF(Source!BA677&lt;&gt; 0, Source!BA677, 1)</f>
        <v>1</v>
      </c>
      <c r="K928" s="22">
        <f>Source!S677</f>
        <v>12862.56</v>
      </c>
      <c r="L928" s="22"/>
    </row>
    <row r="929" spans="1:22" ht="14.25" x14ac:dyDescent="0.2">
      <c r="A929" s="19"/>
      <c r="B929" s="19"/>
      <c r="C929" s="19"/>
      <c r="D929" s="19" t="s">
        <v>834</v>
      </c>
      <c r="E929" s="20"/>
      <c r="F929" s="9"/>
      <c r="G929" s="22">
        <f>Source!AL677</f>
        <v>1.26</v>
      </c>
      <c r="H929" s="21" t="str">
        <f>Source!DD677</f>
        <v/>
      </c>
      <c r="I929" s="9">
        <f>Source!AW677</f>
        <v>1</v>
      </c>
      <c r="J929" s="9">
        <f>IF(Source!BC677&lt;&gt; 0, Source!BC677, 1)</f>
        <v>1</v>
      </c>
      <c r="K929" s="22">
        <f>Source!P677</f>
        <v>69.3</v>
      </c>
      <c r="L929" s="22"/>
    </row>
    <row r="930" spans="1:22" ht="14.25" x14ac:dyDescent="0.2">
      <c r="A930" s="19"/>
      <c r="B930" s="19"/>
      <c r="C930" s="19"/>
      <c r="D930" s="19" t="s">
        <v>828</v>
      </c>
      <c r="E930" s="20" t="s">
        <v>829</v>
      </c>
      <c r="F930" s="9">
        <f>Source!AT677</f>
        <v>70</v>
      </c>
      <c r="G930" s="22"/>
      <c r="H930" s="21"/>
      <c r="I930" s="9"/>
      <c r="J930" s="9"/>
      <c r="K930" s="22">
        <f>SUM(R926:R929)</f>
        <v>9003.7900000000009</v>
      </c>
      <c r="L930" s="22"/>
    </row>
    <row r="931" spans="1:22" ht="14.25" x14ac:dyDescent="0.2">
      <c r="A931" s="19"/>
      <c r="B931" s="19"/>
      <c r="C931" s="19"/>
      <c r="D931" s="19" t="s">
        <v>830</v>
      </c>
      <c r="E931" s="20" t="s">
        <v>829</v>
      </c>
      <c r="F931" s="9">
        <f>Source!AU677</f>
        <v>10</v>
      </c>
      <c r="G931" s="22"/>
      <c r="H931" s="21"/>
      <c r="I931" s="9"/>
      <c r="J931" s="9"/>
      <c r="K931" s="22">
        <f>SUM(T926:T930)</f>
        <v>1286.26</v>
      </c>
      <c r="L931" s="22"/>
    </row>
    <row r="932" spans="1:22" ht="14.25" x14ac:dyDescent="0.2">
      <c r="A932" s="19"/>
      <c r="B932" s="19"/>
      <c r="C932" s="19"/>
      <c r="D932" s="19" t="s">
        <v>832</v>
      </c>
      <c r="E932" s="20" t="s">
        <v>833</v>
      </c>
      <c r="F932" s="9">
        <f>Source!AQ677</f>
        <v>0.4</v>
      </c>
      <c r="G932" s="22"/>
      <c r="H932" s="21" t="str">
        <f>Source!DI677</f>
        <v>)*1,04</v>
      </c>
      <c r="I932" s="9">
        <f>Source!AV677</f>
        <v>1</v>
      </c>
      <c r="J932" s="9"/>
      <c r="K932" s="22"/>
      <c r="L932" s="22">
        <f>Source!U677</f>
        <v>22.880000000000003</v>
      </c>
    </row>
    <row r="933" spans="1:22" ht="15" x14ac:dyDescent="0.25">
      <c r="A933" s="27"/>
      <c r="B933" s="27"/>
      <c r="C933" s="27"/>
      <c r="D933" s="27"/>
      <c r="E933" s="27"/>
      <c r="F933" s="27"/>
      <c r="G933" s="27"/>
      <c r="H933" s="27"/>
      <c r="I933" s="27"/>
      <c r="J933" s="60">
        <f>K928+K929+K930+K931</f>
        <v>23221.91</v>
      </c>
      <c r="K933" s="60"/>
      <c r="L933" s="28">
        <f>IF(Source!I677&lt;&gt;0, ROUND(J933/Source!I677, 2), 0)</f>
        <v>422.22</v>
      </c>
      <c r="P933" s="25">
        <f>J933</f>
        <v>23221.91</v>
      </c>
    </row>
    <row r="934" spans="1:22" ht="179.25" x14ac:dyDescent="0.2">
      <c r="A934" s="19">
        <v>89</v>
      </c>
      <c r="B934" s="19">
        <v>89</v>
      </c>
      <c r="C934" s="19" t="s">
        <v>839</v>
      </c>
      <c r="D934" s="19" t="s">
        <v>840</v>
      </c>
      <c r="E934" s="20" t="str">
        <f>Source!H678</f>
        <v>шт.</v>
      </c>
      <c r="F934" s="9">
        <f>Source!I678</f>
        <v>620</v>
      </c>
      <c r="G934" s="22"/>
      <c r="H934" s="21"/>
      <c r="I934" s="9"/>
      <c r="J934" s="9"/>
      <c r="K934" s="22"/>
      <c r="L934" s="22"/>
      <c r="Q934">
        <f>ROUND((Source!BZ678/100)*ROUND((Source!AF678*Source!AV678)*Source!I678, 2), 2)</f>
        <v>76121.86</v>
      </c>
      <c r="R934">
        <f>Source!X678</f>
        <v>76121.86</v>
      </c>
      <c r="S934">
        <f>ROUND((Source!CA678/100)*ROUND((Source!AF678*Source!AV678)*Source!I678, 2), 2)</f>
        <v>10874.55</v>
      </c>
      <c r="T934">
        <f>Source!Y678</f>
        <v>10874.55</v>
      </c>
      <c r="U934">
        <f>ROUND((175/100)*ROUND((Source!AE678*Source!AV678)*Source!I678, 2), 2)</f>
        <v>0</v>
      </c>
      <c r="V934">
        <f>ROUND((108/100)*ROUND(Source!CS678*Source!I678, 2), 2)</f>
        <v>0</v>
      </c>
    </row>
    <row r="935" spans="1:22" x14ac:dyDescent="0.2">
      <c r="D935" s="23" t="str">
        <f>"Объем: "&amp;Source!I678&amp;"=163+"&amp;"36+"&amp;"163+"&amp;"36+"&amp;"163+"&amp;"36+"&amp;"13+"&amp;"10"</f>
        <v>Объем: 620=163+36+163+36+163+36+13+10</v>
      </c>
    </row>
    <row r="936" spans="1:22" ht="14.25" x14ac:dyDescent="0.2">
      <c r="A936" s="19"/>
      <c r="B936" s="19"/>
      <c r="C936" s="19"/>
      <c r="D936" s="19" t="s">
        <v>825</v>
      </c>
      <c r="E936" s="20"/>
      <c r="F936" s="9"/>
      <c r="G936" s="22">
        <f>Source!AO678</f>
        <v>168.65</v>
      </c>
      <c r="H936" s="21" t="str">
        <f>Source!DG678</f>
        <v>)*1,04</v>
      </c>
      <c r="I936" s="9">
        <f>Source!AV678</f>
        <v>1</v>
      </c>
      <c r="J936" s="9">
        <f>IF(Source!BA678&lt;&gt; 0, Source!BA678, 1)</f>
        <v>1</v>
      </c>
      <c r="K936" s="22">
        <f>Source!S678</f>
        <v>108745.52</v>
      </c>
      <c r="L936" s="22"/>
    </row>
    <row r="937" spans="1:22" ht="14.25" x14ac:dyDescent="0.2">
      <c r="A937" s="19"/>
      <c r="B937" s="19"/>
      <c r="C937" s="19"/>
      <c r="D937" s="19" t="s">
        <v>834</v>
      </c>
      <c r="E937" s="20"/>
      <c r="F937" s="9"/>
      <c r="G937" s="22">
        <f>Source!AL678</f>
        <v>0.63</v>
      </c>
      <c r="H937" s="21" t="str">
        <f>Source!DD678</f>
        <v/>
      </c>
      <c r="I937" s="9">
        <f>Source!AW678</f>
        <v>1</v>
      </c>
      <c r="J937" s="9">
        <f>IF(Source!BC678&lt;&gt; 0, Source!BC678, 1)</f>
        <v>1</v>
      </c>
      <c r="K937" s="22">
        <f>Source!P678</f>
        <v>390.6</v>
      </c>
      <c r="L937" s="22"/>
    </row>
    <row r="938" spans="1:22" ht="14.25" x14ac:dyDescent="0.2">
      <c r="A938" s="19"/>
      <c r="B938" s="19"/>
      <c r="C938" s="19"/>
      <c r="D938" s="19" t="s">
        <v>828</v>
      </c>
      <c r="E938" s="20" t="s">
        <v>829</v>
      </c>
      <c r="F938" s="9">
        <f>Source!AT678</f>
        <v>70</v>
      </c>
      <c r="G938" s="22"/>
      <c r="H938" s="21"/>
      <c r="I938" s="9"/>
      <c r="J938" s="9"/>
      <c r="K938" s="22">
        <f>SUM(R934:R937)</f>
        <v>76121.86</v>
      </c>
      <c r="L938" s="22"/>
    </row>
    <row r="939" spans="1:22" ht="14.25" x14ac:dyDescent="0.2">
      <c r="A939" s="19"/>
      <c r="B939" s="19"/>
      <c r="C939" s="19"/>
      <c r="D939" s="19" t="s">
        <v>830</v>
      </c>
      <c r="E939" s="20" t="s">
        <v>829</v>
      </c>
      <c r="F939" s="9">
        <f>Source!AU678</f>
        <v>10</v>
      </c>
      <c r="G939" s="22"/>
      <c r="H939" s="21"/>
      <c r="I939" s="9"/>
      <c r="J939" s="9"/>
      <c r="K939" s="22">
        <f>SUM(T934:T938)</f>
        <v>10874.55</v>
      </c>
      <c r="L939" s="22"/>
    </row>
    <row r="940" spans="1:22" ht="14.25" x14ac:dyDescent="0.2">
      <c r="A940" s="19"/>
      <c r="B940" s="19"/>
      <c r="C940" s="19"/>
      <c r="D940" s="19" t="s">
        <v>832</v>
      </c>
      <c r="E940" s="20" t="s">
        <v>833</v>
      </c>
      <c r="F940" s="9">
        <f>Source!AQ678</f>
        <v>0.3</v>
      </c>
      <c r="G940" s="22"/>
      <c r="H940" s="21" t="str">
        <f>Source!DI678</f>
        <v>)*1,04</v>
      </c>
      <c r="I940" s="9">
        <f>Source!AV678</f>
        <v>1</v>
      </c>
      <c r="J940" s="9"/>
      <c r="K940" s="22"/>
      <c r="L940" s="22">
        <f>Source!U678</f>
        <v>193.44</v>
      </c>
    </row>
    <row r="941" spans="1:22" ht="15" x14ac:dyDescent="0.25">
      <c r="A941" s="27"/>
      <c r="B941" s="27"/>
      <c r="C941" s="27"/>
      <c r="D941" s="27"/>
      <c r="E941" s="27"/>
      <c r="F941" s="27"/>
      <c r="G941" s="27"/>
      <c r="H941" s="27"/>
      <c r="I941" s="27"/>
      <c r="J941" s="60">
        <f>K936+K937+K938+K939</f>
        <v>196132.53</v>
      </c>
      <c r="K941" s="60"/>
      <c r="L941" s="28">
        <f>IF(Source!I678&lt;&gt;0, ROUND(J941/Source!I678, 2), 0)</f>
        <v>316.33999999999997</v>
      </c>
      <c r="P941" s="25">
        <f>J941</f>
        <v>196132.53</v>
      </c>
    </row>
    <row r="942" spans="1:22" ht="93.75" x14ac:dyDescent="0.2">
      <c r="A942" s="19">
        <v>90</v>
      </c>
      <c r="B942" s="19">
        <v>90</v>
      </c>
      <c r="C942" s="19" t="s">
        <v>841</v>
      </c>
      <c r="D942" s="19" t="s">
        <v>842</v>
      </c>
      <c r="E942" s="20" t="str">
        <f>Source!H679</f>
        <v>шт.</v>
      </c>
      <c r="F942" s="9">
        <f>Source!I679</f>
        <v>171</v>
      </c>
      <c r="G942" s="22"/>
      <c r="H942" s="21"/>
      <c r="I942" s="9"/>
      <c r="J942" s="9"/>
      <c r="K942" s="22"/>
      <c r="L942" s="22"/>
      <c r="Q942">
        <f>ROUND((Source!BZ679/100)*ROUND((Source!AF679*Source!AV679)*Source!I679, 2), 2)</f>
        <v>15395.43</v>
      </c>
      <c r="R942">
        <f>Source!X679</f>
        <v>15395.43</v>
      </c>
      <c r="S942">
        <f>ROUND((Source!CA679/100)*ROUND((Source!AF679*Source!AV679)*Source!I679, 2), 2)</f>
        <v>2199.35</v>
      </c>
      <c r="T942">
        <f>Source!Y679</f>
        <v>2199.35</v>
      </c>
      <c r="U942">
        <f>ROUND((175/100)*ROUND((Source!AE679*Source!AV679)*Source!I679, 2), 2)</f>
        <v>0</v>
      </c>
      <c r="V942">
        <f>ROUND((108/100)*ROUND(Source!CS679*Source!I679, 2), 2)</f>
        <v>0</v>
      </c>
    </row>
    <row r="943" spans="1:22" x14ac:dyDescent="0.2">
      <c r="D943" s="23" t="str">
        <f>"Объем: "&amp;Source!I679&amp;"=52+"&amp;"52+"&amp;"52+"&amp;"15"</f>
        <v>Объем: 171=52+52+52+15</v>
      </c>
    </row>
    <row r="944" spans="1:22" ht="14.25" x14ac:dyDescent="0.2">
      <c r="A944" s="19"/>
      <c r="B944" s="19"/>
      <c r="C944" s="19"/>
      <c r="D944" s="19" t="s">
        <v>825</v>
      </c>
      <c r="E944" s="20"/>
      <c r="F944" s="9"/>
      <c r="G944" s="22">
        <f>Source!AO679</f>
        <v>123.67</v>
      </c>
      <c r="H944" s="21" t="str">
        <f>Source!DG679</f>
        <v>)*1,04</v>
      </c>
      <c r="I944" s="9">
        <f>Source!AV679</f>
        <v>1</v>
      </c>
      <c r="J944" s="9">
        <f>IF(Source!BA679&lt;&gt; 0, Source!BA679, 1)</f>
        <v>1</v>
      </c>
      <c r="K944" s="22">
        <f>Source!S679</f>
        <v>21993.47</v>
      </c>
      <c r="L944" s="22"/>
    </row>
    <row r="945" spans="1:22" ht="14.25" x14ac:dyDescent="0.2">
      <c r="A945" s="19"/>
      <c r="B945" s="19"/>
      <c r="C945" s="19"/>
      <c r="D945" s="19" t="s">
        <v>834</v>
      </c>
      <c r="E945" s="20"/>
      <c r="F945" s="9"/>
      <c r="G945" s="22">
        <f>Source!AL679</f>
        <v>1.57</v>
      </c>
      <c r="H945" s="21" t="str">
        <f>Source!DD679</f>
        <v/>
      </c>
      <c r="I945" s="9">
        <f>Source!AW679</f>
        <v>1</v>
      </c>
      <c r="J945" s="9">
        <f>IF(Source!BC679&lt;&gt; 0, Source!BC679, 1)</f>
        <v>1</v>
      </c>
      <c r="K945" s="22">
        <f>Source!P679</f>
        <v>268.47000000000003</v>
      </c>
      <c r="L945" s="22"/>
    </row>
    <row r="946" spans="1:22" ht="14.25" x14ac:dyDescent="0.2">
      <c r="A946" s="19"/>
      <c r="B946" s="19"/>
      <c r="C946" s="19"/>
      <c r="D946" s="19" t="s">
        <v>828</v>
      </c>
      <c r="E946" s="20" t="s">
        <v>829</v>
      </c>
      <c r="F946" s="9">
        <f>Source!AT679</f>
        <v>70</v>
      </c>
      <c r="G946" s="22"/>
      <c r="H946" s="21"/>
      <c r="I946" s="9"/>
      <c r="J946" s="9"/>
      <c r="K946" s="22">
        <f>SUM(R942:R945)</f>
        <v>15395.43</v>
      </c>
      <c r="L946" s="22"/>
    </row>
    <row r="947" spans="1:22" ht="14.25" x14ac:dyDescent="0.2">
      <c r="A947" s="19"/>
      <c r="B947" s="19"/>
      <c r="C947" s="19"/>
      <c r="D947" s="19" t="s">
        <v>830</v>
      </c>
      <c r="E947" s="20" t="s">
        <v>829</v>
      </c>
      <c r="F947" s="9">
        <f>Source!AU679</f>
        <v>10</v>
      </c>
      <c r="G947" s="22"/>
      <c r="H947" s="21"/>
      <c r="I947" s="9"/>
      <c r="J947" s="9"/>
      <c r="K947" s="22">
        <f>SUM(T942:T946)</f>
        <v>2199.35</v>
      </c>
      <c r="L947" s="22"/>
    </row>
    <row r="948" spans="1:22" ht="14.25" x14ac:dyDescent="0.2">
      <c r="A948" s="19"/>
      <c r="B948" s="19"/>
      <c r="C948" s="19"/>
      <c r="D948" s="19" t="s">
        <v>832</v>
      </c>
      <c r="E948" s="20" t="s">
        <v>833</v>
      </c>
      <c r="F948" s="9">
        <f>Source!AQ679</f>
        <v>0.22</v>
      </c>
      <c r="G948" s="22"/>
      <c r="H948" s="21" t="str">
        <f>Source!DI679</f>
        <v>)*1,04</v>
      </c>
      <c r="I948" s="9">
        <f>Source!AV679</f>
        <v>1</v>
      </c>
      <c r="J948" s="9"/>
      <c r="K948" s="22"/>
      <c r="L948" s="22">
        <f>Source!U679</f>
        <v>39.1248</v>
      </c>
    </row>
    <row r="949" spans="1:22" ht="15" x14ac:dyDescent="0.25">
      <c r="A949" s="27"/>
      <c r="B949" s="27"/>
      <c r="C949" s="27"/>
      <c r="D949" s="27"/>
      <c r="E949" s="27"/>
      <c r="F949" s="27"/>
      <c r="G949" s="27"/>
      <c r="H949" s="27"/>
      <c r="I949" s="27"/>
      <c r="J949" s="60">
        <f>K944+K945+K946+K947</f>
        <v>39856.720000000001</v>
      </c>
      <c r="K949" s="60"/>
      <c r="L949" s="28">
        <f>IF(Source!I679&lt;&gt;0, ROUND(J949/Source!I679, 2), 0)</f>
        <v>233.08</v>
      </c>
      <c r="P949" s="25">
        <f>J949</f>
        <v>39856.720000000001</v>
      </c>
    </row>
    <row r="950" spans="1:22" ht="179.25" x14ac:dyDescent="0.2">
      <c r="A950" s="19">
        <v>91</v>
      </c>
      <c r="B950" s="19">
        <v>91</v>
      </c>
      <c r="C950" s="19" t="s">
        <v>835</v>
      </c>
      <c r="D950" s="19" t="s">
        <v>843</v>
      </c>
      <c r="E950" s="20" t="str">
        <f>Source!H680</f>
        <v>шт.</v>
      </c>
      <c r="F950" s="9">
        <f>Source!I680</f>
        <v>64</v>
      </c>
      <c r="G950" s="22"/>
      <c r="H950" s="21"/>
      <c r="I950" s="9"/>
      <c r="J950" s="9"/>
      <c r="K950" s="22"/>
      <c r="L950" s="22"/>
      <c r="Q950">
        <f>ROUND((Source!BZ680/100)*ROUND((Source!AF680*Source!AV680)*Source!I680, 2), 2)</f>
        <v>4714.6499999999996</v>
      </c>
      <c r="R950">
        <f>Source!X680</f>
        <v>4714.6499999999996</v>
      </c>
      <c r="S950">
        <f>ROUND((Source!CA680/100)*ROUND((Source!AF680*Source!AV680)*Source!I680, 2), 2)</f>
        <v>673.52</v>
      </c>
      <c r="T950">
        <f>Source!Y680</f>
        <v>673.52</v>
      </c>
      <c r="U950">
        <f>ROUND((175/100)*ROUND((Source!AE680*Source!AV680)*Source!I680, 2), 2)</f>
        <v>0</v>
      </c>
      <c r="V950">
        <f>ROUND((108/100)*ROUND(Source!CS680*Source!I680, 2), 2)</f>
        <v>0</v>
      </c>
    </row>
    <row r="951" spans="1:22" x14ac:dyDescent="0.2">
      <c r="D951" s="23" t="str">
        <f>"Объем: "&amp;Source!I680&amp;"=16+"&amp;"16+"&amp;"16+"&amp;"16"</f>
        <v>Объем: 64=16+16+16+16</v>
      </c>
    </row>
    <row r="952" spans="1:22" ht="14.25" x14ac:dyDescent="0.2">
      <c r="A952" s="19"/>
      <c r="B952" s="19"/>
      <c r="C952" s="19"/>
      <c r="D952" s="19" t="s">
        <v>825</v>
      </c>
      <c r="E952" s="20"/>
      <c r="F952" s="9"/>
      <c r="G952" s="22">
        <f>Source!AO680</f>
        <v>101.19</v>
      </c>
      <c r="H952" s="21" t="str">
        <f>Source!DG680</f>
        <v>)*1,04</v>
      </c>
      <c r="I952" s="9">
        <f>Source!AV680</f>
        <v>1</v>
      </c>
      <c r="J952" s="9">
        <f>IF(Source!BA680&lt;&gt; 0, Source!BA680, 1)</f>
        <v>1</v>
      </c>
      <c r="K952" s="22">
        <f>Source!S680</f>
        <v>6735.21</v>
      </c>
      <c r="L952" s="22"/>
    </row>
    <row r="953" spans="1:22" ht="14.25" x14ac:dyDescent="0.2">
      <c r="A953" s="19"/>
      <c r="B953" s="19"/>
      <c r="C953" s="19"/>
      <c r="D953" s="19" t="s">
        <v>834</v>
      </c>
      <c r="E953" s="20"/>
      <c r="F953" s="9"/>
      <c r="G953" s="22">
        <f>Source!AL680</f>
        <v>1.26</v>
      </c>
      <c r="H953" s="21" t="str">
        <f>Source!DD680</f>
        <v/>
      </c>
      <c r="I953" s="9">
        <f>Source!AW680</f>
        <v>1</v>
      </c>
      <c r="J953" s="9">
        <f>IF(Source!BC680&lt;&gt; 0, Source!BC680, 1)</f>
        <v>1</v>
      </c>
      <c r="K953" s="22">
        <f>Source!P680</f>
        <v>80.64</v>
      </c>
      <c r="L953" s="22"/>
    </row>
    <row r="954" spans="1:22" ht="14.25" x14ac:dyDescent="0.2">
      <c r="A954" s="19"/>
      <c r="B954" s="19"/>
      <c r="C954" s="19"/>
      <c r="D954" s="19" t="s">
        <v>828</v>
      </c>
      <c r="E954" s="20" t="s">
        <v>829</v>
      </c>
      <c r="F954" s="9">
        <f>Source!AT680</f>
        <v>70</v>
      </c>
      <c r="G954" s="22"/>
      <c r="H954" s="21"/>
      <c r="I954" s="9"/>
      <c r="J954" s="9"/>
      <c r="K954" s="22">
        <f>SUM(R950:R953)</f>
        <v>4714.6499999999996</v>
      </c>
      <c r="L954" s="22"/>
    </row>
    <row r="955" spans="1:22" ht="14.25" x14ac:dyDescent="0.2">
      <c r="A955" s="19"/>
      <c r="B955" s="19"/>
      <c r="C955" s="19"/>
      <c r="D955" s="19" t="s">
        <v>830</v>
      </c>
      <c r="E955" s="20" t="s">
        <v>829</v>
      </c>
      <c r="F955" s="9">
        <f>Source!AU680</f>
        <v>10</v>
      </c>
      <c r="G955" s="22"/>
      <c r="H955" s="21"/>
      <c r="I955" s="9"/>
      <c r="J955" s="9"/>
      <c r="K955" s="22">
        <f>SUM(T950:T954)</f>
        <v>673.52</v>
      </c>
      <c r="L955" s="22"/>
    </row>
    <row r="956" spans="1:22" ht="14.25" x14ac:dyDescent="0.2">
      <c r="A956" s="19"/>
      <c r="B956" s="19"/>
      <c r="C956" s="19"/>
      <c r="D956" s="19" t="s">
        <v>832</v>
      </c>
      <c r="E956" s="20" t="s">
        <v>833</v>
      </c>
      <c r="F956" s="9">
        <f>Source!AQ680</f>
        <v>0.18</v>
      </c>
      <c r="G956" s="22"/>
      <c r="H956" s="21" t="str">
        <f>Source!DI680</f>
        <v>)*1,04</v>
      </c>
      <c r="I956" s="9">
        <f>Source!AV680</f>
        <v>1</v>
      </c>
      <c r="J956" s="9"/>
      <c r="K956" s="22"/>
      <c r="L956" s="22">
        <f>Source!U680</f>
        <v>11.9808</v>
      </c>
    </row>
    <row r="957" spans="1:22" ht="15" x14ac:dyDescent="0.25">
      <c r="A957" s="27"/>
      <c r="B957" s="27"/>
      <c r="C957" s="27"/>
      <c r="D957" s="27"/>
      <c r="E957" s="27"/>
      <c r="F957" s="27"/>
      <c r="G957" s="27"/>
      <c r="H957" s="27"/>
      <c r="I957" s="27"/>
      <c r="J957" s="60">
        <f>K952+K953+K954+K955</f>
        <v>12204.02</v>
      </c>
      <c r="K957" s="60"/>
      <c r="L957" s="28">
        <f>IF(Source!I680&lt;&gt;0, ROUND(J957/Source!I680, 2), 0)</f>
        <v>190.69</v>
      </c>
      <c r="P957" s="25">
        <f>J957</f>
        <v>12204.02</v>
      </c>
    </row>
    <row r="958" spans="1:22" ht="165" x14ac:dyDescent="0.2">
      <c r="A958" s="19">
        <v>92</v>
      </c>
      <c r="B958" s="19">
        <v>92</v>
      </c>
      <c r="C958" s="19" t="s">
        <v>839</v>
      </c>
      <c r="D958" s="19" t="s">
        <v>844</v>
      </c>
      <c r="E958" s="20" t="str">
        <f>Source!H681</f>
        <v>шт.</v>
      </c>
      <c r="F958" s="9">
        <f>Source!I681</f>
        <v>188</v>
      </c>
      <c r="G958" s="22"/>
      <c r="H958" s="21"/>
      <c r="I958" s="9"/>
      <c r="J958" s="9"/>
      <c r="K958" s="22"/>
      <c r="L958" s="22"/>
      <c r="Q958">
        <f>ROUND((Source!BZ681/100)*ROUND((Source!AF681*Source!AV681)*Source!I681, 2), 2)</f>
        <v>23082.12</v>
      </c>
      <c r="R958">
        <f>Source!X681</f>
        <v>23082.12</v>
      </c>
      <c r="S958">
        <f>ROUND((Source!CA681/100)*ROUND((Source!AF681*Source!AV681)*Source!I681, 2), 2)</f>
        <v>3297.45</v>
      </c>
      <c r="T958">
        <f>Source!Y681</f>
        <v>3297.45</v>
      </c>
      <c r="U958">
        <f>ROUND((175/100)*ROUND((Source!AE681*Source!AV681)*Source!I681, 2), 2)</f>
        <v>0</v>
      </c>
      <c r="V958">
        <f>ROUND((108/100)*ROUND(Source!CS681*Source!I681, 2), 2)</f>
        <v>0</v>
      </c>
    </row>
    <row r="959" spans="1:22" x14ac:dyDescent="0.2">
      <c r="D959" s="23" t="str">
        <f>"Объем: "&amp;Source!I681&amp;"=46+"&amp;"46+"&amp;"46+"&amp;"4+"&amp;"2+"&amp;"44"</f>
        <v>Объем: 188=46+46+46+4+2+44</v>
      </c>
    </row>
    <row r="960" spans="1:22" ht="14.25" x14ac:dyDescent="0.2">
      <c r="A960" s="19"/>
      <c r="B960" s="19"/>
      <c r="C960" s="19"/>
      <c r="D960" s="19" t="s">
        <v>825</v>
      </c>
      <c r="E960" s="20"/>
      <c r="F960" s="9"/>
      <c r="G960" s="22">
        <f>Source!AO681</f>
        <v>168.65</v>
      </c>
      <c r="H960" s="21" t="str">
        <f>Source!DG681</f>
        <v>)*1,04</v>
      </c>
      <c r="I960" s="9">
        <f>Source!AV681</f>
        <v>1</v>
      </c>
      <c r="J960" s="9">
        <f>IF(Source!BA681&lt;&gt; 0, Source!BA681, 1)</f>
        <v>1</v>
      </c>
      <c r="K960" s="22">
        <f>Source!S681</f>
        <v>32974.449999999997</v>
      </c>
      <c r="L960" s="22"/>
    </row>
    <row r="961" spans="1:22" ht="14.25" x14ac:dyDescent="0.2">
      <c r="A961" s="19"/>
      <c r="B961" s="19"/>
      <c r="C961" s="19"/>
      <c r="D961" s="19" t="s">
        <v>834</v>
      </c>
      <c r="E961" s="20"/>
      <c r="F961" s="9"/>
      <c r="G961" s="22">
        <f>Source!AL681</f>
        <v>0.63</v>
      </c>
      <c r="H961" s="21" t="str">
        <f>Source!DD681</f>
        <v/>
      </c>
      <c r="I961" s="9">
        <f>Source!AW681</f>
        <v>1</v>
      </c>
      <c r="J961" s="9">
        <f>IF(Source!BC681&lt;&gt; 0, Source!BC681, 1)</f>
        <v>1</v>
      </c>
      <c r="K961" s="22">
        <f>Source!P681</f>
        <v>118.44</v>
      </c>
      <c r="L961" s="22"/>
    </row>
    <row r="962" spans="1:22" ht="14.25" x14ac:dyDescent="0.2">
      <c r="A962" s="19"/>
      <c r="B962" s="19"/>
      <c r="C962" s="19"/>
      <c r="D962" s="19" t="s">
        <v>828</v>
      </c>
      <c r="E962" s="20" t="s">
        <v>829</v>
      </c>
      <c r="F962" s="9">
        <f>Source!AT681</f>
        <v>70</v>
      </c>
      <c r="G962" s="22"/>
      <c r="H962" s="21"/>
      <c r="I962" s="9"/>
      <c r="J962" s="9"/>
      <c r="K962" s="22">
        <f>SUM(R958:R961)</f>
        <v>23082.12</v>
      </c>
      <c r="L962" s="22"/>
    </row>
    <row r="963" spans="1:22" ht="14.25" x14ac:dyDescent="0.2">
      <c r="A963" s="19"/>
      <c r="B963" s="19"/>
      <c r="C963" s="19"/>
      <c r="D963" s="19" t="s">
        <v>830</v>
      </c>
      <c r="E963" s="20" t="s">
        <v>829</v>
      </c>
      <c r="F963" s="9">
        <f>Source!AU681</f>
        <v>10</v>
      </c>
      <c r="G963" s="22"/>
      <c r="H963" s="21"/>
      <c r="I963" s="9"/>
      <c r="J963" s="9"/>
      <c r="K963" s="22">
        <f>SUM(T958:T962)</f>
        <v>3297.45</v>
      </c>
      <c r="L963" s="22"/>
    </row>
    <row r="964" spans="1:22" ht="14.25" x14ac:dyDescent="0.2">
      <c r="A964" s="19"/>
      <c r="B964" s="19"/>
      <c r="C964" s="19"/>
      <c r="D964" s="19" t="s">
        <v>832</v>
      </c>
      <c r="E964" s="20" t="s">
        <v>833</v>
      </c>
      <c r="F964" s="9">
        <f>Source!AQ681</f>
        <v>0.3</v>
      </c>
      <c r="G964" s="22"/>
      <c r="H964" s="21" t="str">
        <f>Source!DI681</f>
        <v>)*1,04</v>
      </c>
      <c r="I964" s="9">
        <f>Source!AV681</f>
        <v>1</v>
      </c>
      <c r="J964" s="9"/>
      <c r="K964" s="22"/>
      <c r="L964" s="22">
        <f>Source!U681</f>
        <v>58.655999999999999</v>
      </c>
    </row>
    <row r="965" spans="1:22" ht="15" x14ac:dyDescent="0.25">
      <c r="A965" s="27"/>
      <c r="B965" s="27"/>
      <c r="C965" s="27"/>
      <c r="D965" s="27"/>
      <c r="E965" s="27"/>
      <c r="F965" s="27"/>
      <c r="G965" s="27"/>
      <c r="H965" s="27"/>
      <c r="I965" s="27"/>
      <c r="J965" s="60">
        <f>K960+K961+K962+K963</f>
        <v>59472.459999999992</v>
      </c>
      <c r="K965" s="60"/>
      <c r="L965" s="28">
        <f>IF(Source!I681&lt;&gt;0, ROUND(J965/Source!I681, 2), 0)</f>
        <v>316.33999999999997</v>
      </c>
      <c r="P965" s="25">
        <f>J965</f>
        <v>59472.459999999992</v>
      </c>
    </row>
    <row r="966" spans="1:22" ht="165" x14ac:dyDescent="0.2">
      <c r="A966" s="19">
        <v>93</v>
      </c>
      <c r="B966" s="19">
        <v>93</v>
      </c>
      <c r="C966" s="19" t="s">
        <v>835</v>
      </c>
      <c r="D966" s="19" t="s">
        <v>845</v>
      </c>
      <c r="E966" s="20" t="str">
        <f>Source!H682</f>
        <v>шт.</v>
      </c>
      <c r="F966" s="9">
        <f>Source!I682</f>
        <v>54</v>
      </c>
      <c r="G966" s="22"/>
      <c r="H966" s="21"/>
      <c r="I966" s="9"/>
      <c r="J966" s="9"/>
      <c r="K966" s="22"/>
      <c r="L966" s="22"/>
      <c r="Q966">
        <f>ROUND((Source!BZ682/100)*ROUND((Source!AF682*Source!AV682)*Source!I682, 2), 2)</f>
        <v>3977.98</v>
      </c>
      <c r="R966">
        <f>Source!X682</f>
        <v>3977.98</v>
      </c>
      <c r="S966">
        <f>ROUND((Source!CA682/100)*ROUND((Source!AF682*Source!AV682)*Source!I682, 2), 2)</f>
        <v>568.28</v>
      </c>
      <c r="T966">
        <f>Source!Y682</f>
        <v>568.28</v>
      </c>
      <c r="U966">
        <f>ROUND((175/100)*ROUND((Source!AE682*Source!AV682)*Source!I682, 2), 2)</f>
        <v>0</v>
      </c>
      <c r="V966">
        <f>ROUND((108/100)*ROUND(Source!CS682*Source!I682, 2), 2)</f>
        <v>0</v>
      </c>
    </row>
    <row r="967" spans="1:22" x14ac:dyDescent="0.2">
      <c r="D967" s="23" t="str">
        <f>"Объем: "&amp;Source!I682&amp;"=18+"&amp;"18+"&amp;"18"</f>
        <v>Объем: 54=18+18+18</v>
      </c>
    </row>
    <row r="968" spans="1:22" ht="14.25" x14ac:dyDescent="0.2">
      <c r="A968" s="19"/>
      <c r="B968" s="19"/>
      <c r="C968" s="19"/>
      <c r="D968" s="19" t="s">
        <v>825</v>
      </c>
      <c r="E968" s="20"/>
      <c r="F968" s="9"/>
      <c r="G968" s="22">
        <f>Source!AO682</f>
        <v>101.19</v>
      </c>
      <c r="H968" s="21" t="str">
        <f>Source!DG682</f>
        <v>)*1,04</v>
      </c>
      <c r="I968" s="9">
        <f>Source!AV682</f>
        <v>1</v>
      </c>
      <c r="J968" s="9">
        <f>IF(Source!BA682&lt;&gt; 0, Source!BA682, 1)</f>
        <v>1</v>
      </c>
      <c r="K968" s="22">
        <f>Source!S682</f>
        <v>5682.83</v>
      </c>
      <c r="L968" s="22"/>
    </row>
    <row r="969" spans="1:22" ht="14.25" x14ac:dyDescent="0.2">
      <c r="A969" s="19"/>
      <c r="B969" s="19"/>
      <c r="C969" s="19"/>
      <c r="D969" s="19" t="s">
        <v>834</v>
      </c>
      <c r="E969" s="20"/>
      <c r="F969" s="9"/>
      <c r="G969" s="22">
        <f>Source!AL682</f>
        <v>1.26</v>
      </c>
      <c r="H969" s="21" t="str">
        <f>Source!DD682</f>
        <v/>
      </c>
      <c r="I969" s="9">
        <f>Source!AW682</f>
        <v>1</v>
      </c>
      <c r="J969" s="9">
        <f>IF(Source!BC682&lt;&gt; 0, Source!BC682, 1)</f>
        <v>1</v>
      </c>
      <c r="K969" s="22">
        <f>Source!P682</f>
        <v>68.040000000000006</v>
      </c>
      <c r="L969" s="22"/>
    </row>
    <row r="970" spans="1:22" ht="14.25" x14ac:dyDescent="0.2">
      <c r="A970" s="19"/>
      <c r="B970" s="19"/>
      <c r="C970" s="19"/>
      <c r="D970" s="19" t="s">
        <v>828</v>
      </c>
      <c r="E970" s="20" t="s">
        <v>829</v>
      </c>
      <c r="F970" s="9">
        <f>Source!AT682</f>
        <v>70</v>
      </c>
      <c r="G970" s="22"/>
      <c r="H970" s="21"/>
      <c r="I970" s="9"/>
      <c r="J970" s="9"/>
      <c r="K970" s="22">
        <f>SUM(R966:R969)</f>
        <v>3977.98</v>
      </c>
      <c r="L970" s="22"/>
    </row>
    <row r="971" spans="1:22" ht="14.25" x14ac:dyDescent="0.2">
      <c r="A971" s="19"/>
      <c r="B971" s="19"/>
      <c r="C971" s="19"/>
      <c r="D971" s="19" t="s">
        <v>830</v>
      </c>
      <c r="E971" s="20" t="s">
        <v>829</v>
      </c>
      <c r="F971" s="9">
        <f>Source!AU682</f>
        <v>10</v>
      </c>
      <c r="G971" s="22"/>
      <c r="H971" s="21"/>
      <c r="I971" s="9"/>
      <c r="J971" s="9"/>
      <c r="K971" s="22">
        <f>SUM(T966:T970)</f>
        <v>568.28</v>
      </c>
      <c r="L971" s="22"/>
    </row>
    <row r="972" spans="1:22" ht="14.25" x14ac:dyDescent="0.2">
      <c r="A972" s="19"/>
      <c r="B972" s="19"/>
      <c r="C972" s="19"/>
      <c r="D972" s="19" t="s">
        <v>832</v>
      </c>
      <c r="E972" s="20" t="s">
        <v>833</v>
      </c>
      <c r="F972" s="9">
        <f>Source!AQ682</f>
        <v>0.18</v>
      </c>
      <c r="G972" s="22"/>
      <c r="H972" s="21" t="str">
        <f>Source!DI682</f>
        <v>)*1,04</v>
      </c>
      <c r="I972" s="9">
        <f>Source!AV682</f>
        <v>1</v>
      </c>
      <c r="J972" s="9"/>
      <c r="K972" s="22"/>
      <c r="L972" s="22">
        <f>Source!U682</f>
        <v>10.1088</v>
      </c>
    </row>
    <row r="973" spans="1:22" ht="15" x14ac:dyDescent="0.25">
      <c r="A973" s="27"/>
      <c r="B973" s="27"/>
      <c r="C973" s="27"/>
      <c r="D973" s="27"/>
      <c r="E973" s="27"/>
      <c r="F973" s="27"/>
      <c r="G973" s="27"/>
      <c r="H973" s="27"/>
      <c r="I973" s="27"/>
      <c r="J973" s="60">
        <f>K968+K969+K970+K971</f>
        <v>10297.130000000001</v>
      </c>
      <c r="K973" s="60"/>
      <c r="L973" s="28">
        <f>IF(Source!I682&lt;&gt;0, ROUND(J973/Source!I682, 2), 0)</f>
        <v>190.69</v>
      </c>
      <c r="P973" s="25">
        <f>J973</f>
        <v>10297.130000000001</v>
      </c>
    </row>
    <row r="974" spans="1:22" ht="193.5" x14ac:dyDescent="0.2">
      <c r="A974" s="19">
        <v>94</v>
      </c>
      <c r="B974" s="19">
        <v>94</v>
      </c>
      <c r="C974" s="19" t="s">
        <v>839</v>
      </c>
      <c r="D974" s="19" t="s">
        <v>846</v>
      </c>
      <c r="E974" s="20" t="str">
        <f>Source!H683</f>
        <v>шт.</v>
      </c>
      <c r="F974" s="9">
        <f>Source!I683</f>
        <v>13</v>
      </c>
      <c r="G974" s="22"/>
      <c r="H974" s="21"/>
      <c r="I974" s="9"/>
      <c r="J974" s="9"/>
      <c r="K974" s="22"/>
      <c r="L974" s="22"/>
      <c r="Q974">
        <f>ROUND((Source!BZ683/100)*ROUND((Source!AF683*Source!AV683)*Source!I683, 2), 2)</f>
        <v>1596.11</v>
      </c>
      <c r="R974">
        <f>Source!X683</f>
        <v>1596.11</v>
      </c>
      <c r="S974">
        <f>ROUND((Source!CA683/100)*ROUND((Source!AF683*Source!AV683)*Source!I683, 2), 2)</f>
        <v>228.02</v>
      </c>
      <c r="T974">
        <f>Source!Y683</f>
        <v>228.02</v>
      </c>
      <c r="U974">
        <f>ROUND((175/100)*ROUND((Source!AE683*Source!AV683)*Source!I683, 2), 2)</f>
        <v>0</v>
      </c>
      <c r="V974">
        <f>ROUND((108/100)*ROUND(Source!CS683*Source!I683, 2), 2)</f>
        <v>0</v>
      </c>
    </row>
    <row r="975" spans="1:22" x14ac:dyDescent="0.2">
      <c r="D975" s="23" t="str">
        <f>"Объем: "&amp;Source!I683&amp;"=2+"&amp;"2+"&amp;"2+"&amp;"3+"&amp;"4"</f>
        <v>Объем: 13=2+2+2+3+4</v>
      </c>
    </row>
    <row r="976" spans="1:22" ht="14.25" x14ac:dyDescent="0.2">
      <c r="A976" s="19"/>
      <c r="B976" s="19"/>
      <c r="C976" s="19"/>
      <c r="D976" s="19" t="s">
        <v>825</v>
      </c>
      <c r="E976" s="20"/>
      <c r="F976" s="9"/>
      <c r="G976" s="22">
        <f>Source!AO683</f>
        <v>168.65</v>
      </c>
      <c r="H976" s="21" t="str">
        <f>Source!DG683</f>
        <v>)*1,04</v>
      </c>
      <c r="I976" s="9">
        <f>Source!AV683</f>
        <v>1</v>
      </c>
      <c r="J976" s="9">
        <f>IF(Source!BA683&lt;&gt; 0, Source!BA683, 1)</f>
        <v>1</v>
      </c>
      <c r="K976" s="22">
        <f>Source!S683</f>
        <v>2280.15</v>
      </c>
      <c r="L976" s="22"/>
    </row>
    <row r="977" spans="1:22" ht="14.25" x14ac:dyDescent="0.2">
      <c r="A977" s="19"/>
      <c r="B977" s="19"/>
      <c r="C977" s="19"/>
      <c r="D977" s="19" t="s">
        <v>834</v>
      </c>
      <c r="E977" s="20"/>
      <c r="F977" s="9"/>
      <c r="G977" s="22">
        <f>Source!AL683</f>
        <v>0.63</v>
      </c>
      <c r="H977" s="21" t="str">
        <f>Source!DD683</f>
        <v/>
      </c>
      <c r="I977" s="9">
        <f>Source!AW683</f>
        <v>1</v>
      </c>
      <c r="J977" s="9">
        <f>IF(Source!BC683&lt;&gt; 0, Source!BC683, 1)</f>
        <v>1</v>
      </c>
      <c r="K977" s="22">
        <f>Source!P683</f>
        <v>8.19</v>
      </c>
      <c r="L977" s="22"/>
    </row>
    <row r="978" spans="1:22" ht="14.25" x14ac:dyDescent="0.2">
      <c r="A978" s="19"/>
      <c r="B978" s="19"/>
      <c r="C978" s="19"/>
      <c r="D978" s="19" t="s">
        <v>828</v>
      </c>
      <c r="E978" s="20" t="s">
        <v>829</v>
      </c>
      <c r="F978" s="9">
        <f>Source!AT683</f>
        <v>70</v>
      </c>
      <c r="G978" s="22"/>
      <c r="H978" s="21"/>
      <c r="I978" s="9"/>
      <c r="J978" s="9"/>
      <c r="K978" s="22">
        <f>SUM(R974:R977)</f>
        <v>1596.11</v>
      </c>
      <c r="L978" s="22"/>
    </row>
    <row r="979" spans="1:22" ht="14.25" x14ac:dyDescent="0.2">
      <c r="A979" s="19"/>
      <c r="B979" s="19"/>
      <c r="C979" s="19"/>
      <c r="D979" s="19" t="s">
        <v>830</v>
      </c>
      <c r="E979" s="20" t="s">
        <v>829</v>
      </c>
      <c r="F979" s="9">
        <f>Source!AU683</f>
        <v>10</v>
      </c>
      <c r="G979" s="22"/>
      <c r="H979" s="21"/>
      <c r="I979" s="9"/>
      <c r="J979" s="9"/>
      <c r="K979" s="22">
        <f>SUM(T974:T978)</f>
        <v>228.02</v>
      </c>
      <c r="L979" s="22"/>
    </row>
    <row r="980" spans="1:22" ht="14.25" x14ac:dyDescent="0.2">
      <c r="A980" s="19"/>
      <c r="B980" s="19"/>
      <c r="C980" s="19"/>
      <c r="D980" s="19" t="s">
        <v>832</v>
      </c>
      <c r="E980" s="20" t="s">
        <v>833</v>
      </c>
      <c r="F980" s="9">
        <f>Source!AQ683</f>
        <v>0.3</v>
      </c>
      <c r="G980" s="22"/>
      <c r="H980" s="21" t="str">
        <f>Source!DI683</f>
        <v>)*1,04</v>
      </c>
      <c r="I980" s="9">
        <f>Source!AV683</f>
        <v>1</v>
      </c>
      <c r="J980" s="9"/>
      <c r="K980" s="22"/>
      <c r="L980" s="22">
        <f>Source!U683</f>
        <v>4.056</v>
      </c>
    </row>
    <row r="981" spans="1:22" ht="15" x14ac:dyDescent="0.25">
      <c r="A981" s="27"/>
      <c r="B981" s="27"/>
      <c r="C981" s="27"/>
      <c r="D981" s="27"/>
      <c r="E981" s="27"/>
      <c r="F981" s="27"/>
      <c r="G981" s="27"/>
      <c r="H981" s="27"/>
      <c r="I981" s="27"/>
      <c r="J981" s="60">
        <f>K976+K977+K978+K979</f>
        <v>4112.47</v>
      </c>
      <c r="K981" s="60"/>
      <c r="L981" s="28">
        <f>IF(Source!I683&lt;&gt;0, ROUND(J981/Source!I683, 2), 0)</f>
        <v>316.33999999999997</v>
      </c>
      <c r="P981" s="25">
        <f>J981</f>
        <v>4112.47</v>
      </c>
    </row>
    <row r="982" spans="1:22" ht="122.25" x14ac:dyDescent="0.2">
      <c r="A982" s="19">
        <v>95</v>
      </c>
      <c r="B982" s="19">
        <v>95</v>
      </c>
      <c r="C982" s="19" t="s">
        <v>841</v>
      </c>
      <c r="D982" s="19" t="s">
        <v>847</v>
      </c>
      <c r="E982" s="20" t="str">
        <f>Source!H684</f>
        <v>шт.</v>
      </c>
      <c r="F982" s="9">
        <f>Source!I684</f>
        <v>137</v>
      </c>
      <c r="G982" s="22"/>
      <c r="H982" s="21"/>
      <c r="I982" s="9"/>
      <c r="J982" s="9"/>
      <c r="K982" s="22"/>
      <c r="L982" s="22"/>
      <c r="Q982">
        <f>ROUND((Source!BZ684/100)*ROUND((Source!AF684*Source!AV684)*Source!I684, 2), 2)</f>
        <v>12334.35</v>
      </c>
      <c r="R982">
        <f>Source!X684</f>
        <v>12334.35</v>
      </c>
      <c r="S982">
        <f>ROUND((Source!CA684/100)*ROUND((Source!AF684*Source!AV684)*Source!I684, 2), 2)</f>
        <v>1762.05</v>
      </c>
      <c r="T982">
        <f>Source!Y684</f>
        <v>1762.05</v>
      </c>
      <c r="U982">
        <f>ROUND((175/100)*ROUND((Source!AE684*Source!AV684)*Source!I684, 2), 2)</f>
        <v>0</v>
      </c>
      <c r="V982">
        <f>ROUND((108/100)*ROUND(Source!CS684*Source!I684, 2), 2)</f>
        <v>0</v>
      </c>
    </row>
    <row r="983" spans="1:22" x14ac:dyDescent="0.2">
      <c r="D983" s="23" t="str">
        <f>"Объем: "&amp;Source!I684&amp;"=2+"&amp;"12+"&amp;"6+"&amp;"2+"&amp;"12+"&amp;"6+"&amp;"2+"&amp;"12+"&amp;"6+"&amp;"7+"&amp;"70"</f>
        <v>Объем: 137=2+12+6+2+12+6+2+12+6+7+70</v>
      </c>
    </row>
    <row r="984" spans="1:22" ht="14.25" x14ac:dyDescent="0.2">
      <c r="A984" s="19"/>
      <c r="B984" s="19"/>
      <c r="C984" s="19"/>
      <c r="D984" s="19" t="s">
        <v>825</v>
      </c>
      <c r="E984" s="20"/>
      <c r="F984" s="9"/>
      <c r="G984" s="22">
        <f>Source!AO684</f>
        <v>123.67</v>
      </c>
      <c r="H984" s="21" t="str">
        <f>Source!DG684</f>
        <v>)*1,04</v>
      </c>
      <c r="I984" s="9">
        <f>Source!AV684</f>
        <v>1</v>
      </c>
      <c r="J984" s="9">
        <f>IF(Source!BA684&lt;&gt; 0, Source!BA684, 1)</f>
        <v>1</v>
      </c>
      <c r="K984" s="22">
        <f>Source!S684</f>
        <v>17620.5</v>
      </c>
      <c r="L984" s="22"/>
    </row>
    <row r="985" spans="1:22" ht="14.25" x14ac:dyDescent="0.2">
      <c r="A985" s="19"/>
      <c r="B985" s="19"/>
      <c r="C985" s="19"/>
      <c r="D985" s="19" t="s">
        <v>834</v>
      </c>
      <c r="E985" s="20"/>
      <c r="F985" s="9"/>
      <c r="G985" s="22">
        <f>Source!AL684</f>
        <v>1.57</v>
      </c>
      <c r="H985" s="21" t="str">
        <f>Source!DD684</f>
        <v/>
      </c>
      <c r="I985" s="9">
        <f>Source!AW684</f>
        <v>1</v>
      </c>
      <c r="J985" s="9">
        <f>IF(Source!BC684&lt;&gt; 0, Source!BC684, 1)</f>
        <v>1</v>
      </c>
      <c r="K985" s="22">
        <f>Source!P684</f>
        <v>215.09</v>
      </c>
      <c r="L985" s="22"/>
    </row>
    <row r="986" spans="1:22" ht="14.25" x14ac:dyDescent="0.2">
      <c r="A986" s="19"/>
      <c r="B986" s="19"/>
      <c r="C986" s="19"/>
      <c r="D986" s="19" t="s">
        <v>828</v>
      </c>
      <c r="E986" s="20" t="s">
        <v>829</v>
      </c>
      <c r="F986" s="9">
        <f>Source!AT684</f>
        <v>70</v>
      </c>
      <c r="G986" s="22"/>
      <c r="H986" s="21"/>
      <c r="I986" s="9"/>
      <c r="J986" s="9"/>
      <c r="K986" s="22">
        <f>SUM(R982:R985)</f>
        <v>12334.35</v>
      </c>
      <c r="L986" s="22"/>
    </row>
    <row r="987" spans="1:22" ht="14.25" x14ac:dyDescent="0.2">
      <c r="A987" s="19"/>
      <c r="B987" s="19"/>
      <c r="C987" s="19"/>
      <c r="D987" s="19" t="s">
        <v>830</v>
      </c>
      <c r="E987" s="20" t="s">
        <v>829</v>
      </c>
      <c r="F987" s="9">
        <f>Source!AU684</f>
        <v>10</v>
      </c>
      <c r="G987" s="22"/>
      <c r="H987" s="21"/>
      <c r="I987" s="9"/>
      <c r="J987" s="9"/>
      <c r="K987" s="22">
        <f>SUM(T982:T986)</f>
        <v>1762.05</v>
      </c>
      <c r="L987" s="22"/>
    </row>
    <row r="988" spans="1:22" ht="14.25" x14ac:dyDescent="0.2">
      <c r="A988" s="19"/>
      <c r="B988" s="19"/>
      <c r="C988" s="19"/>
      <c r="D988" s="19" t="s">
        <v>832</v>
      </c>
      <c r="E988" s="20" t="s">
        <v>833</v>
      </c>
      <c r="F988" s="9">
        <f>Source!AQ684</f>
        <v>0.22</v>
      </c>
      <c r="G988" s="22"/>
      <c r="H988" s="21" t="str">
        <f>Source!DI684</f>
        <v>)*1,04</v>
      </c>
      <c r="I988" s="9">
        <f>Source!AV684</f>
        <v>1</v>
      </c>
      <c r="J988" s="9"/>
      <c r="K988" s="22"/>
      <c r="L988" s="22">
        <f>Source!U684</f>
        <v>31.345600000000001</v>
      </c>
    </row>
    <row r="989" spans="1:22" ht="15" x14ac:dyDescent="0.25">
      <c r="A989" s="27"/>
      <c r="B989" s="27"/>
      <c r="C989" s="27"/>
      <c r="D989" s="27"/>
      <c r="E989" s="27"/>
      <c r="F989" s="27"/>
      <c r="G989" s="27"/>
      <c r="H989" s="27"/>
      <c r="I989" s="27"/>
      <c r="J989" s="60">
        <f>K984+K985+K986+K987</f>
        <v>31931.99</v>
      </c>
      <c r="K989" s="60"/>
      <c r="L989" s="28">
        <f>IF(Source!I684&lt;&gt;0, ROUND(J989/Source!I684, 2), 0)</f>
        <v>233.08</v>
      </c>
      <c r="P989" s="25">
        <f>J989</f>
        <v>31931.99</v>
      </c>
    </row>
    <row r="990" spans="1:22" ht="108" x14ac:dyDescent="0.2">
      <c r="A990" s="19">
        <v>96</v>
      </c>
      <c r="B990" s="19">
        <v>96</v>
      </c>
      <c r="C990" s="19" t="s">
        <v>848</v>
      </c>
      <c r="D990" s="19" t="s">
        <v>849</v>
      </c>
      <c r="E990" s="20" t="str">
        <f>Source!H685</f>
        <v>шт.</v>
      </c>
      <c r="F990" s="9">
        <f>Source!I685</f>
        <v>20</v>
      </c>
      <c r="G990" s="22"/>
      <c r="H990" s="21"/>
      <c r="I990" s="9"/>
      <c r="J990" s="9"/>
      <c r="K990" s="22"/>
      <c r="L990" s="22"/>
      <c r="Q990">
        <f>ROUND((Source!BZ685/100)*ROUND((Source!AF685*Source!AV685)*Source!I685, 2), 2)</f>
        <v>1800.64</v>
      </c>
      <c r="R990">
        <f>Source!X685</f>
        <v>1800.64</v>
      </c>
      <c r="S990">
        <f>ROUND((Source!CA685/100)*ROUND((Source!AF685*Source!AV685)*Source!I685, 2), 2)</f>
        <v>257.23</v>
      </c>
      <c r="T990">
        <f>Source!Y685</f>
        <v>257.23</v>
      </c>
      <c r="U990">
        <f>ROUND((175/100)*ROUND((Source!AE685*Source!AV685)*Source!I685, 2), 2)</f>
        <v>0</v>
      </c>
      <c r="V990">
        <f>ROUND((108/100)*ROUND(Source!CS685*Source!I685, 2), 2)</f>
        <v>0</v>
      </c>
    </row>
    <row r="991" spans="1:22" ht="14.25" x14ac:dyDescent="0.2">
      <c r="A991" s="19"/>
      <c r="B991" s="19"/>
      <c r="C991" s="19"/>
      <c r="D991" s="19" t="s">
        <v>825</v>
      </c>
      <c r="E991" s="20"/>
      <c r="F991" s="9"/>
      <c r="G991" s="22">
        <f>Source!AO685</f>
        <v>123.67</v>
      </c>
      <c r="H991" s="21" t="str">
        <f>Source!DG685</f>
        <v>)*1,04</v>
      </c>
      <c r="I991" s="9">
        <f>Source!AV685</f>
        <v>1</v>
      </c>
      <c r="J991" s="9">
        <f>IF(Source!BA685&lt;&gt; 0, Source!BA685, 1)</f>
        <v>1</v>
      </c>
      <c r="K991" s="22">
        <f>Source!S685</f>
        <v>2572.34</v>
      </c>
      <c r="L991" s="22"/>
    </row>
    <row r="992" spans="1:22" ht="14.25" x14ac:dyDescent="0.2">
      <c r="A992" s="19"/>
      <c r="B992" s="19"/>
      <c r="C992" s="19"/>
      <c r="D992" s="19" t="s">
        <v>834</v>
      </c>
      <c r="E992" s="20"/>
      <c r="F992" s="9"/>
      <c r="G992" s="22">
        <f>Source!AL685</f>
        <v>1.57</v>
      </c>
      <c r="H992" s="21" t="str">
        <f>Source!DD685</f>
        <v/>
      </c>
      <c r="I992" s="9">
        <f>Source!AW685</f>
        <v>1</v>
      </c>
      <c r="J992" s="9">
        <f>IF(Source!BC685&lt;&gt; 0, Source!BC685, 1)</f>
        <v>1</v>
      </c>
      <c r="K992" s="22">
        <f>Source!P685</f>
        <v>31.4</v>
      </c>
      <c r="L992" s="22"/>
    </row>
    <row r="993" spans="1:29" ht="14.25" x14ac:dyDescent="0.2">
      <c r="A993" s="19"/>
      <c r="B993" s="19"/>
      <c r="C993" s="19"/>
      <c r="D993" s="19" t="s">
        <v>828</v>
      </c>
      <c r="E993" s="20" t="s">
        <v>829</v>
      </c>
      <c r="F993" s="9">
        <f>Source!AT685</f>
        <v>70</v>
      </c>
      <c r="G993" s="22"/>
      <c r="H993" s="21"/>
      <c r="I993" s="9"/>
      <c r="J993" s="9"/>
      <c r="K993" s="22">
        <f>SUM(R990:R992)</f>
        <v>1800.64</v>
      </c>
      <c r="L993" s="22"/>
    </row>
    <row r="994" spans="1:29" ht="14.25" x14ac:dyDescent="0.2">
      <c r="A994" s="19"/>
      <c r="B994" s="19"/>
      <c r="C994" s="19"/>
      <c r="D994" s="19" t="s">
        <v>830</v>
      </c>
      <c r="E994" s="20" t="s">
        <v>829</v>
      </c>
      <c r="F994" s="9">
        <f>Source!AU685</f>
        <v>10</v>
      </c>
      <c r="G994" s="22"/>
      <c r="H994" s="21"/>
      <c r="I994" s="9"/>
      <c r="J994" s="9"/>
      <c r="K994" s="22">
        <f>SUM(T990:T993)</f>
        <v>257.23</v>
      </c>
      <c r="L994" s="22"/>
    </row>
    <row r="995" spans="1:29" ht="14.25" x14ac:dyDescent="0.2">
      <c r="A995" s="19"/>
      <c r="B995" s="19"/>
      <c r="C995" s="19"/>
      <c r="D995" s="19" t="s">
        <v>832</v>
      </c>
      <c r="E995" s="20" t="s">
        <v>833</v>
      </c>
      <c r="F995" s="9">
        <f>Source!AQ685</f>
        <v>0.22</v>
      </c>
      <c r="G995" s="22"/>
      <c r="H995" s="21" t="str">
        <f>Source!DI685</f>
        <v>)*1,04</v>
      </c>
      <c r="I995" s="9">
        <f>Source!AV685</f>
        <v>1</v>
      </c>
      <c r="J995" s="9"/>
      <c r="K995" s="22"/>
      <c r="L995" s="22">
        <f>Source!U685</f>
        <v>4.5760000000000005</v>
      </c>
    </row>
    <row r="996" spans="1:29" ht="15" x14ac:dyDescent="0.25">
      <c r="A996" s="27"/>
      <c r="B996" s="27"/>
      <c r="C996" s="27"/>
      <c r="D996" s="27"/>
      <c r="E996" s="27"/>
      <c r="F996" s="27"/>
      <c r="G996" s="27"/>
      <c r="H996" s="27"/>
      <c r="I996" s="27"/>
      <c r="J996" s="60">
        <f>K991+K992+K993+K994</f>
        <v>4661.6100000000006</v>
      </c>
      <c r="K996" s="60"/>
      <c r="L996" s="28">
        <f>IF(Source!I685&lt;&gt;0, ROUND(J996/Source!I685, 2), 0)</f>
        <v>233.08</v>
      </c>
      <c r="P996" s="25">
        <f>J996</f>
        <v>4661.6100000000006</v>
      </c>
    </row>
    <row r="998" spans="1:29" ht="15" x14ac:dyDescent="0.25">
      <c r="A998" s="59" t="str">
        <f>CONCATENATE("Итого по подразделу: ",IF(Source!G687&lt;&gt;"Новый подраздел", Source!G687, ""))</f>
        <v>Итого по подразделу: Электрическое освещение (внутреннее)</v>
      </c>
      <c r="B998" s="59"/>
      <c r="C998" s="59"/>
      <c r="D998" s="59"/>
      <c r="E998" s="59"/>
      <c r="F998" s="59"/>
      <c r="G998" s="59"/>
      <c r="H998" s="59"/>
      <c r="I998" s="59"/>
      <c r="J998" s="57">
        <f>SUM(P915:P997)</f>
        <v>394857.61</v>
      </c>
      <c r="K998" s="58"/>
      <c r="L998" s="18"/>
    </row>
    <row r="1001" spans="1:29" ht="16.5" x14ac:dyDescent="0.25">
      <c r="A1001" s="55" t="str">
        <f>CONCATENATE("Подраздел: ",IF(Source!G717&lt;&gt;"Новый подраздел", Source!G717, ""))</f>
        <v>Подраздел: Система электрического обогрева кровли и водостоков.</v>
      </c>
      <c r="B1001" s="55"/>
      <c r="C1001" s="55"/>
      <c r="D1001" s="55"/>
      <c r="E1001" s="55"/>
      <c r="F1001" s="55"/>
      <c r="G1001" s="55"/>
      <c r="H1001" s="55"/>
      <c r="I1001" s="55"/>
      <c r="J1001" s="55"/>
      <c r="K1001" s="55"/>
      <c r="L1001" s="55"/>
    </row>
    <row r="1003" spans="1:29" ht="15" x14ac:dyDescent="0.25">
      <c r="C1003" s="56" t="str">
        <f>Source!G721</f>
        <v>Система электрического обогрева кровли и водостоков Корпус  7.2.1, Корпус 7.2.2, Корпус 7.2.3,  Корпус 7.2.4</v>
      </c>
      <c r="D1003" s="56"/>
      <c r="E1003" s="56"/>
      <c r="F1003" s="56"/>
      <c r="G1003" s="56"/>
      <c r="H1003" s="56"/>
      <c r="I1003" s="56"/>
      <c r="J1003" s="56"/>
      <c r="K1003" s="56"/>
      <c r="AC1003" s="31" t="str">
        <f>Source!G721</f>
        <v>Система электрического обогрева кровли и водостоков Корпус  7.2.1, Корпус 7.2.2, Корпус 7.2.3,  Корпус 7.2.4</v>
      </c>
    </row>
    <row r="1004" spans="1:29" ht="85.5" x14ac:dyDescent="0.2">
      <c r="A1004" s="19">
        <v>97</v>
      </c>
      <c r="B1004" s="19">
        <v>97</v>
      </c>
      <c r="C1004" s="19" t="str">
        <f>Source!F722</f>
        <v>1.23-2103-9-8/1</v>
      </c>
      <c r="D1004" s="19" t="str">
        <f>Source!G722</f>
        <v>Техническое обслуживание приборов для измерения температуры, термопреобразователи сопротивления, тип: ТСП-0879, ТСП-1079, ТСМ-0879, ТСМ-0979 /Термопреобразователь ДТС014-РТ1000.В2.25/1</v>
      </c>
      <c r="E1004" s="20" t="str">
        <f>Source!H722</f>
        <v>шт.</v>
      </c>
      <c r="F1004" s="9">
        <f>Source!I722</f>
        <v>4</v>
      </c>
      <c r="G1004" s="22"/>
      <c r="H1004" s="21"/>
      <c r="I1004" s="9"/>
      <c r="J1004" s="9"/>
      <c r="K1004" s="22"/>
      <c r="L1004" s="22"/>
      <c r="Q1004">
        <f>ROUND((Source!BZ722/100)*ROUND((Source!AF722*Source!AV722)*Source!I722, 2), 2)</f>
        <v>2835.5</v>
      </c>
      <c r="R1004">
        <f>Source!X722</f>
        <v>2835.5</v>
      </c>
      <c r="S1004">
        <f>ROUND((Source!CA722/100)*ROUND((Source!AF722*Source!AV722)*Source!I722, 2), 2)</f>
        <v>405.07</v>
      </c>
      <c r="T1004">
        <f>Source!Y722</f>
        <v>405.07</v>
      </c>
      <c r="U1004">
        <f>ROUND((175/100)*ROUND((Source!AE722*Source!AV722)*Source!I722, 2), 2)</f>
        <v>0</v>
      </c>
      <c r="V1004">
        <f>ROUND((108/100)*ROUND(Source!CS722*Source!I722, 2), 2)</f>
        <v>0</v>
      </c>
    </row>
    <row r="1005" spans="1:29" x14ac:dyDescent="0.2">
      <c r="D1005" s="23" t="str">
        <f>"Объем: "&amp;Source!I722&amp;"=1+"&amp;"1+"&amp;"1+"&amp;"1"</f>
        <v>Объем: 4=1+1+1+1</v>
      </c>
    </row>
    <row r="1006" spans="1:29" ht="14.25" x14ac:dyDescent="0.2">
      <c r="A1006" s="19"/>
      <c r="B1006" s="19"/>
      <c r="C1006" s="19"/>
      <c r="D1006" s="19" t="s">
        <v>825</v>
      </c>
      <c r="E1006" s="20"/>
      <c r="F1006" s="9"/>
      <c r="G1006" s="22">
        <f>Source!AO722</f>
        <v>506.34</v>
      </c>
      <c r="H1006" s="21" t="str">
        <f>Source!DG722</f>
        <v>)*2</v>
      </c>
      <c r="I1006" s="9">
        <f>Source!AV722</f>
        <v>1</v>
      </c>
      <c r="J1006" s="9">
        <f>IF(Source!BA722&lt;&gt; 0, Source!BA722, 1)</f>
        <v>1</v>
      </c>
      <c r="K1006" s="22">
        <f>Source!S722</f>
        <v>4050.72</v>
      </c>
      <c r="L1006" s="22"/>
    </row>
    <row r="1007" spans="1:29" ht="14.25" x14ac:dyDescent="0.2">
      <c r="A1007" s="19"/>
      <c r="B1007" s="19"/>
      <c r="C1007" s="19"/>
      <c r="D1007" s="19" t="s">
        <v>828</v>
      </c>
      <c r="E1007" s="20" t="s">
        <v>829</v>
      </c>
      <c r="F1007" s="9">
        <f>Source!AT722</f>
        <v>70</v>
      </c>
      <c r="G1007" s="22"/>
      <c r="H1007" s="21"/>
      <c r="I1007" s="9"/>
      <c r="J1007" s="9"/>
      <c r="K1007" s="22">
        <f>SUM(R1004:R1006)</f>
        <v>2835.5</v>
      </c>
      <c r="L1007" s="22"/>
    </row>
    <row r="1008" spans="1:29" ht="14.25" x14ac:dyDescent="0.2">
      <c r="A1008" s="19"/>
      <c r="B1008" s="19"/>
      <c r="C1008" s="19"/>
      <c r="D1008" s="19" t="s">
        <v>830</v>
      </c>
      <c r="E1008" s="20" t="s">
        <v>829</v>
      </c>
      <c r="F1008" s="9">
        <f>Source!AU722</f>
        <v>10</v>
      </c>
      <c r="G1008" s="22"/>
      <c r="H1008" s="21"/>
      <c r="I1008" s="9"/>
      <c r="J1008" s="9"/>
      <c r="K1008" s="22">
        <f>SUM(T1004:T1007)</f>
        <v>405.07</v>
      </c>
      <c r="L1008" s="22"/>
    </row>
    <row r="1009" spans="1:22" ht="14.25" x14ac:dyDescent="0.2">
      <c r="A1009" s="19"/>
      <c r="B1009" s="19"/>
      <c r="C1009" s="19"/>
      <c r="D1009" s="19" t="s">
        <v>832</v>
      </c>
      <c r="E1009" s="20" t="s">
        <v>833</v>
      </c>
      <c r="F1009" s="9">
        <f>Source!AQ722</f>
        <v>0.82</v>
      </c>
      <c r="G1009" s="22"/>
      <c r="H1009" s="21" t="str">
        <f>Source!DI722</f>
        <v>)*2</v>
      </c>
      <c r="I1009" s="9">
        <f>Source!AV722</f>
        <v>1</v>
      </c>
      <c r="J1009" s="9"/>
      <c r="K1009" s="22"/>
      <c r="L1009" s="22">
        <f>Source!U722</f>
        <v>6.56</v>
      </c>
    </row>
    <row r="1010" spans="1:22" ht="15" x14ac:dyDescent="0.25">
      <c r="A1010" s="27"/>
      <c r="B1010" s="27"/>
      <c r="C1010" s="27"/>
      <c r="D1010" s="27"/>
      <c r="E1010" s="27"/>
      <c r="F1010" s="27"/>
      <c r="G1010" s="27"/>
      <c r="H1010" s="27"/>
      <c r="I1010" s="27"/>
      <c r="J1010" s="60">
        <f>K1006+K1007+K1008</f>
        <v>7291.2899999999991</v>
      </c>
      <c r="K1010" s="60"/>
      <c r="L1010" s="28">
        <f>IF(Source!I722&lt;&gt;0, ROUND(J1010/Source!I722, 2), 0)</f>
        <v>1822.82</v>
      </c>
      <c r="P1010" s="25">
        <f>J1010</f>
        <v>7291.2899999999991</v>
      </c>
    </row>
    <row r="1011" spans="1:22" ht="42.75" x14ac:dyDescent="0.2">
      <c r="A1011" s="19">
        <v>98</v>
      </c>
      <c r="B1011" s="19">
        <v>98</v>
      </c>
      <c r="C1011" s="19" t="str">
        <f>Source!F723</f>
        <v>1.23-2103-15-1/1</v>
      </c>
      <c r="D1011" s="19" t="str">
        <f>Source!G723</f>
        <v>Техническое обслуживание сигнализатора уровня /Датчик осадков КСТ-020 3,0</v>
      </c>
      <c r="E1011" s="20" t="str">
        <f>Source!H723</f>
        <v>шт.</v>
      </c>
      <c r="F1011" s="9">
        <f>Source!I723</f>
        <v>4</v>
      </c>
      <c r="G1011" s="22"/>
      <c r="H1011" s="21"/>
      <c r="I1011" s="9"/>
      <c r="J1011" s="9"/>
      <c r="K1011" s="22"/>
      <c r="L1011" s="22"/>
      <c r="Q1011">
        <f>ROUND((Source!BZ723/100)*ROUND((Source!AF723*Source!AV723)*Source!I723, 2), 2)</f>
        <v>4273.42</v>
      </c>
      <c r="R1011">
        <f>Source!X723</f>
        <v>4273.42</v>
      </c>
      <c r="S1011">
        <f>ROUND((Source!CA723/100)*ROUND((Source!AF723*Source!AV723)*Source!I723, 2), 2)</f>
        <v>610.49</v>
      </c>
      <c r="T1011">
        <f>Source!Y723</f>
        <v>610.49</v>
      </c>
      <c r="U1011">
        <f>ROUND((175/100)*ROUND((Source!AE723*Source!AV723)*Source!I723, 2), 2)</f>
        <v>0</v>
      </c>
      <c r="V1011">
        <f>ROUND((108/100)*ROUND(Source!CS723*Source!I723, 2), 2)</f>
        <v>0</v>
      </c>
    </row>
    <row r="1012" spans="1:22" x14ac:dyDescent="0.2">
      <c r="D1012" s="23" t="str">
        <f>"Объем: "&amp;Source!I723&amp;"=1+"&amp;"1+"&amp;"1+"&amp;"1"</f>
        <v>Объем: 4=1+1+1+1</v>
      </c>
    </row>
    <row r="1013" spans="1:22" ht="14.25" x14ac:dyDescent="0.2">
      <c r="A1013" s="19"/>
      <c r="B1013" s="19"/>
      <c r="C1013" s="19"/>
      <c r="D1013" s="19" t="s">
        <v>825</v>
      </c>
      <c r="E1013" s="20"/>
      <c r="F1013" s="9"/>
      <c r="G1013" s="22">
        <f>Source!AO723</f>
        <v>763.11</v>
      </c>
      <c r="H1013" s="21" t="str">
        <f>Source!DG723</f>
        <v>)*2</v>
      </c>
      <c r="I1013" s="9">
        <f>Source!AV723</f>
        <v>1</v>
      </c>
      <c r="J1013" s="9">
        <f>IF(Source!BA723&lt;&gt; 0, Source!BA723, 1)</f>
        <v>1</v>
      </c>
      <c r="K1013" s="22">
        <f>Source!S723</f>
        <v>6104.88</v>
      </c>
      <c r="L1013" s="22"/>
    </row>
    <row r="1014" spans="1:22" ht="14.25" x14ac:dyDescent="0.2">
      <c r="A1014" s="19"/>
      <c r="B1014" s="19"/>
      <c r="C1014" s="19"/>
      <c r="D1014" s="19" t="s">
        <v>834</v>
      </c>
      <c r="E1014" s="20"/>
      <c r="F1014" s="9"/>
      <c r="G1014" s="22">
        <f>Source!AL723</f>
        <v>22.54</v>
      </c>
      <c r="H1014" s="21" t="str">
        <f>Source!DD723</f>
        <v>)*2</v>
      </c>
      <c r="I1014" s="9">
        <f>Source!AW723</f>
        <v>1</v>
      </c>
      <c r="J1014" s="9">
        <f>IF(Source!BC723&lt;&gt; 0, Source!BC723, 1)</f>
        <v>1</v>
      </c>
      <c r="K1014" s="22">
        <f>Source!P723</f>
        <v>180.32</v>
      </c>
      <c r="L1014" s="22"/>
    </row>
    <row r="1015" spans="1:22" ht="14.25" x14ac:dyDescent="0.2">
      <c r="A1015" s="19"/>
      <c r="B1015" s="19"/>
      <c r="C1015" s="19"/>
      <c r="D1015" s="19" t="s">
        <v>828</v>
      </c>
      <c r="E1015" s="20" t="s">
        <v>829</v>
      </c>
      <c r="F1015" s="9">
        <f>Source!AT723</f>
        <v>70</v>
      </c>
      <c r="G1015" s="22"/>
      <c r="H1015" s="21"/>
      <c r="I1015" s="9"/>
      <c r="J1015" s="9"/>
      <c r="K1015" s="22">
        <f>SUM(R1011:R1014)</f>
        <v>4273.42</v>
      </c>
      <c r="L1015" s="22"/>
    </row>
    <row r="1016" spans="1:22" ht="14.25" x14ac:dyDescent="0.2">
      <c r="A1016" s="19"/>
      <c r="B1016" s="19"/>
      <c r="C1016" s="19"/>
      <c r="D1016" s="19" t="s">
        <v>830</v>
      </c>
      <c r="E1016" s="20" t="s">
        <v>829</v>
      </c>
      <c r="F1016" s="9">
        <f>Source!AU723</f>
        <v>10</v>
      </c>
      <c r="G1016" s="22"/>
      <c r="H1016" s="21"/>
      <c r="I1016" s="9"/>
      <c r="J1016" s="9"/>
      <c r="K1016" s="22">
        <f>SUM(T1011:T1015)</f>
        <v>610.49</v>
      </c>
      <c r="L1016" s="22"/>
    </row>
    <row r="1017" spans="1:22" ht="14.25" x14ac:dyDescent="0.2">
      <c r="A1017" s="19"/>
      <c r="B1017" s="19"/>
      <c r="C1017" s="19"/>
      <c r="D1017" s="19" t="s">
        <v>832</v>
      </c>
      <c r="E1017" s="20" t="s">
        <v>833</v>
      </c>
      <c r="F1017" s="9">
        <f>Source!AQ723</f>
        <v>0.92</v>
      </c>
      <c r="G1017" s="22"/>
      <c r="H1017" s="21" t="str">
        <f>Source!DI723</f>
        <v>)*2</v>
      </c>
      <c r="I1017" s="9">
        <f>Source!AV723</f>
        <v>1</v>
      </c>
      <c r="J1017" s="9"/>
      <c r="K1017" s="22"/>
      <c r="L1017" s="22">
        <f>Source!U723</f>
        <v>7.36</v>
      </c>
    </row>
    <row r="1018" spans="1:22" ht="15" x14ac:dyDescent="0.25">
      <c r="A1018" s="27"/>
      <c r="B1018" s="27"/>
      <c r="C1018" s="27"/>
      <c r="D1018" s="27"/>
      <c r="E1018" s="27"/>
      <c r="F1018" s="27"/>
      <c r="G1018" s="27"/>
      <c r="H1018" s="27"/>
      <c r="I1018" s="27"/>
      <c r="J1018" s="60">
        <f>K1013+K1014+K1015+K1016</f>
        <v>11169.109999999999</v>
      </c>
      <c r="K1018" s="60"/>
      <c r="L1018" s="28">
        <f>IF(Source!I723&lt;&gt;0, ROUND(J1018/Source!I723, 2), 0)</f>
        <v>2792.28</v>
      </c>
      <c r="P1018" s="25">
        <f>J1018</f>
        <v>11169.109999999999</v>
      </c>
    </row>
    <row r="1019" spans="1:22" ht="57" x14ac:dyDescent="0.2">
      <c r="A1019" s="19">
        <v>99</v>
      </c>
      <c r="B1019" s="19">
        <v>99</v>
      </c>
      <c r="C1019" s="19" t="str">
        <f>Source!F724</f>
        <v>1.21-2103-9-2/1</v>
      </c>
      <c r="D1019" s="19" t="str">
        <f>Source!G724</f>
        <v>Техническое обслуживание силовых сетей, проложенных по кирпичным и бетонным основаниям, провод сечением 3х1,5-6 мм2</v>
      </c>
      <c r="E1019" s="20" t="str">
        <f>Source!H724</f>
        <v>100 м</v>
      </c>
      <c r="F1019" s="9">
        <f>Source!I724</f>
        <v>0.28320000000000001</v>
      </c>
      <c r="G1019" s="22"/>
      <c r="H1019" s="21"/>
      <c r="I1019" s="9"/>
      <c r="J1019" s="9"/>
      <c r="K1019" s="22"/>
      <c r="L1019" s="22"/>
      <c r="Q1019">
        <f>ROUND((Source!BZ724/100)*ROUND((Source!AF724*Source!AV724)*Source!I724, 2), 2)</f>
        <v>1061.21</v>
      </c>
      <c r="R1019">
        <f>Source!X724</f>
        <v>1061.21</v>
      </c>
      <c r="S1019">
        <f>ROUND((Source!CA724/100)*ROUND((Source!AF724*Source!AV724)*Source!I724, 2), 2)</f>
        <v>151.6</v>
      </c>
      <c r="T1019">
        <f>Source!Y724</f>
        <v>151.6</v>
      </c>
      <c r="U1019">
        <f>ROUND((175/100)*ROUND((Source!AE724*Source!AV724)*Source!I724, 2), 2)</f>
        <v>0</v>
      </c>
      <c r="V1019">
        <f>ROUND((108/100)*ROUND(Source!CS724*Source!I724, 2), 2)</f>
        <v>0</v>
      </c>
    </row>
    <row r="1020" spans="1:22" ht="25.5" x14ac:dyDescent="0.2">
      <c r="D1020" s="23" t="str">
        <f>"Объем: "&amp;Source!I724&amp;"=(354+"&amp;"354+"&amp;"354+"&amp;"354)*"&amp;"0,2*"&amp;"0,1/"&amp;"100"</f>
        <v>Объем: 0,2832=(354+354+354+354)*0,2*0,1/100</v>
      </c>
    </row>
    <row r="1021" spans="1:22" ht="14.25" x14ac:dyDescent="0.2">
      <c r="A1021" s="19"/>
      <c r="B1021" s="19"/>
      <c r="C1021" s="19"/>
      <c r="D1021" s="19" t="s">
        <v>825</v>
      </c>
      <c r="E1021" s="20"/>
      <c r="F1021" s="9"/>
      <c r="G1021" s="22">
        <f>Source!AO724</f>
        <v>5353.15</v>
      </c>
      <c r="H1021" s="21" t="str">
        <f>Source!DG724</f>
        <v/>
      </c>
      <c r="I1021" s="9">
        <f>Source!AV724</f>
        <v>1</v>
      </c>
      <c r="J1021" s="9">
        <f>IF(Source!BA724&lt;&gt; 0, Source!BA724, 1)</f>
        <v>1</v>
      </c>
      <c r="K1021" s="22">
        <f>Source!S724</f>
        <v>1516.01</v>
      </c>
      <c r="L1021" s="22"/>
    </row>
    <row r="1022" spans="1:22" ht="14.25" x14ac:dyDescent="0.2">
      <c r="A1022" s="19"/>
      <c r="B1022" s="19"/>
      <c r="C1022" s="19"/>
      <c r="D1022" s="19" t="s">
        <v>834</v>
      </c>
      <c r="E1022" s="20"/>
      <c r="F1022" s="9"/>
      <c r="G1022" s="22">
        <f>Source!AL724</f>
        <v>22.51</v>
      </c>
      <c r="H1022" s="21" t="str">
        <f>Source!DD724</f>
        <v/>
      </c>
      <c r="I1022" s="9">
        <f>Source!AW724</f>
        <v>1</v>
      </c>
      <c r="J1022" s="9">
        <f>IF(Source!BC724&lt;&gt; 0, Source!BC724, 1)</f>
        <v>1</v>
      </c>
      <c r="K1022" s="22">
        <f>Source!P724</f>
        <v>6.37</v>
      </c>
      <c r="L1022" s="22"/>
    </row>
    <row r="1023" spans="1:22" ht="14.25" x14ac:dyDescent="0.2">
      <c r="A1023" s="19"/>
      <c r="B1023" s="19"/>
      <c r="C1023" s="19"/>
      <c r="D1023" s="19" t="s">
        <v>828</v>
      </c>
      <c r="E1023" s="20" t="s">
        <v>829</v>
      </c>
      <c r="F1023" s="9">
        <f>Source!AT724</f>
        <v>70</v>
      </c>
      <c r="G1023" s="22"/>
      <c r="H1023" s="21"/>
      <c r="I1023" s="9"/>
      <c r="J1023" s="9"/>
      <c r="K1023" s="22">
        <f>SUM(R1019:R1022)</f>
        <v>1061.21</v>
      </c>
      <c r="L1023" s="22"/>
    </row>
    <row r="1024" spans="1:22" ht="14.25" x14ac:dyDescent="0.2">
      <c r="A1024" s="19"/>
      <c r="B1024" s="19"/>
      <c r="C1024" s="19"/>
      <c r="D1024" s="19" t="s">
        <v>830</v>
      </c>
      <c r="E1024" s="20" t="s">
        <v>829</v>
      </c>
      <c r="F1024" s="9">
        <f>Source!AU724</f>
        <v>10</v>
      </c>
      <c r="G1024" s="22"/>
      <c r="H1024" s="21"/>
      <c r="I1024" s="9"/>
      <c r="J1024" s="9"/>
      <c r="K1024" s="22">
        <f>SUM(T1019:T1023)</f>
        <v>151.6</v>
      </c>
      <c r="L1024" s="22"/>
    </row>
    <row r="1025" spans="1:22" ht="14.25" x14ac:dyDescent="0.2">
      <c r="A1025" s="19"/>
      <c r="B1025" s="19"/>
      <c r="C1025" s="19"/>
      <c r="D1025" s="19" t="s">
        <v>832</v>
      </c>
      <c r="E1025" s="20" t="s">
        <v>833</v>
      </c>
      <c r="F1025" s="9">
        <f>Source!AQ724</f>
        <v>10</v>
      </c>
      <c r="G1025" s="22"/>
      <c r="H1025" s="21" t="str">
        <f>Source!DI724</f>
        <v/>
      </c>
      <c r="I1025" s="9">
        <f>Source!AV724</f>
        <v>1</v>
      </c>
      <c r="J1025" s="9"/>
      <c r="K1025" s="22"/>
      <c r="L1025" s="22">
        <f>Source!U724</f>
        <v>2.8319999999999999</v>
      </c>
    </row>
    <row r="1026" spans="1:22" ht="15" x14ac:dyDescent="0.25">
      <c r="A1026" s="27"/>
      <c r="B1026" s="27"/>
      <c r="C1026" s="27"/>
      <c r="D1026" s="27"/>
      <c r="E1026" s="27"/>
      <c r="F1026" s="27"/>
      <c r="G1026" s="27"/>
      <c r="H1026" s="27"/>
      <c r="I1026" s="27"/>
      <c r="J1026" s="60">
        <f>K1021+K1022+K1023+K1024</f>
        <v>2735.19</v>
      </c>
      <c r="K1026" s="60"/>
      <c r="L1026" s="28">
        <f>IF(Source!I724&lt;&gt;0, ROUND(J1026/Source!I724, 2), 0)</f>
        <v>9658.16</v>
      </c>
      <c r="P1026" s="25">
        <f>J1026</f>
        <v>2735.19</v>
      </c>
    </row>
    <row r="1027" spans="1:22" ht="57" x14ac:dyDescent="0.2">
      <c r="A1027" s="19">
        <v>100</v>
      </c>
      <c r="B1027" s="19">
        <v>100</v>
      </c>
      <c r="C1027" s="19" t="str">
        <f>Source!F726</f>
        <v>1.21-2103-9-2/1</v>
      </c>
      <c r="D1027" s="19" t="str">
        <f>Source!G726</f>
        <v>Техническое обслуживание силовых сетей, проложенных по кирпичным и бетонным основаниям, провод сечением 3х1,5-6 мм2</v>
      </c>
      <c r="E1027" s="20" t="str">
        <f>Source!H726</f>
        <v>100 м</v>
      </c>
      <c r="F1027" s="9">
        <f>Source!I726</f>
        <v>0.128</v>
      </c>
      <c r="G1027" s="22"/>
      <c r="H1027" s="21"/>
      <c r="I1027" s="9"/>
      <c r="J1027" s="9"/>
      <c r="K1027" s="22"/>
      <c r="L1027" s="22"/>
      <c r="Q1027">
        <f>ROUND((Source!BZ726/100)*ROUND((Source!AF726*Source!AV726)*Source!I726, 2), 2)</f>
        <v>479.64</v>
      </c>
      <c r="R1027">
        <f>Source!X726</f>
        <v>479.64</v>
      </c>
      <c r="S1027">
        <f>ROUND((Source!CA726/100)*ROUND((Source!AF726*Source!AV726)*Source!I726, 2), 2)</f>
        <v>68.52</v>
      </c>
      <c r="T1027">
        <f>Source!Y726</f>
        <v>68.52</v>
      </c>
      <c r="U1027">
        <f>ROUND((175/100)*ROUND((Source!AE726*Source!AV726)*Source!I726, 2), 2)</f>
        <v>0</v>
      </c>
      <c r="V1027">
        <f>ROUND((108/100)*ROUND(Source!CS726*Source!I726, 2), 2)</f>
        <v>0</v>
      </c>
    </row>
    <row r="1028" spans="1:22" ht="38.25" x14ac:dyDescent="0.2">
      <c r="D1028" s="23" t="str">
        <f>"Объем: "&amp;Source!I726&amp;"=(120+"&amp;"40+"&amp;"120+"&amp;"40+"&amp;"120+"&amp;"40+"&amp;"120+"&amp;"40)*"&amp;"0,2*"&amp;"0,1/"&amp;"100"</f>
        <v>Объем: 0,128=(120+40+120+40+120+40+120+40)*0,2*0,1/100</v>
      </c>
    </row>
    <row r="1029" spans="1:22" ht="14.25" x14ac:dyDescent="0.2">
      <c r="A1029" s="19"/>
      <c r="B1029" s="19"/>
      <c r="C1029" s="19"/>
      <c r="D1029" s="19" t="s">
        <v>825</v>
      </c>
      <c r="E1029" s="20"/>
      <c r="F1029" s="9"/>
      <c r="G1029" s="22">
        <f>Source!AO726</f>
        <v>5353.15</v>
      </c>
      <c r="H1029" s="21" t="str">
        <f>Source!DG726</f>
        <v/>
      </c>
      <c r="I1029" s="9">
        <f>Source!AV726</f>
        <v>1</v>
      </c>
      <c r="J1029" s="9">
        <f>IF(Source!BA726&lt;&gt; 0, Source!BA726, 1)</f>
        <v>1</v>
      </c>
      <c r="K1029" s="22">
        <f>Source!S726</f>
        <v>685.2</v>
      </c>
      <c r="L1029" s="22"/>
    </row>
    <row r="1030" spans="1:22" ht="14.25" x14ac:dyDescent="0.2">
      <c r="A1030" s="19"/>
      <c r="B1030" s="19"/>
      <c r="C1030" s="19"/>
      <c r="D1030" s="19" t="s">
        <v>834</v>
      </c>
      <c r="E1030" s="20"/>
      <c r="F1030" s="9"/>
      <c r="G1030" s="22">
        <f>Source!AL726</f>
        <v>22.51</v>
      </c>
      <c r="H1030" s="21" t="str">
        <f>Source!DD726</f>
        <v/>
      </c>
      <c r="I1030" s="9">
        <f>Source!AW726</f>
        <v>1</v>
      </c>
      <c r="J1030" s="9">
        <f>IF(Source!BC726&lt;&gt; 0, Source!BC726, 1)</f>
        <v>1</v>
      </c>
      <c r="K1030" s="22">
        <f>Source!P726</f>
        <v>2.88</v>
      </c>
      <c r="L1030" s="22"/>
    </row>
    <row r="1031" spans="1:22" ht="14.25" x14ac:dyDescent="0.2">
      <c r="A1031" s="19"/>
      <c r="B1031" s="19"/>
      <c r="C1031" s="19"/>
      <c r="D1031" s="19" t="s">
        <v>828</v>
      </c>
      <c r="E1031" s="20" t="s">
        <v>829</v>
      </c>
      <c r="F1031" s="9">
        <f>Source!AT726</f>
        <v>70</v>
      </c>
      <c r="G1031" s="22"/>
      <c r="H1031" s="21"/>
      <c r="I1031" s="9"/>
      <c r="J1031" s="9"/>
      <c r="K1031" s="22">
        <f>SUM(R1027:R1030)</f>
        <v>479.64</v>
      </c>
      <c r="L1031" s="22"/>
    </row>
    <row r="1032" spans="1:22" ht="14.25" x14ac:dyDescent="0.2">
      <c r="A1032" s="19"/>
      <c r="B1032" s="19"/>
      <c r="C1032" s="19"/>
      <c r="D1032" s="19" t="s">
        <v>830</v>
      </c>
      <c r="E1032" s="20" t="s">
        <v>829</v>
      </c>
      <c r="F1032" s="9">
        <f>Source!AU726</f>
        <v>10</v>
      </c>
      <c r="G1032" s="22"/>
      <c r="H1032" s="21"/>
      <c r="I1032" s="9"/>
      <c r="J1032" s="9"/>
      <c r="K1032" s="22">
        <f>SUM(T1027:T1031)</f>
        <v>68.52</v>
      </c>
      <c r="L1032" s="22"/>
    </row>
    <row r="1033" spans="1:22" ht="14.25" x14ac:dyDescent="0.2">
      <c r="A1033" s="19"/>
      <c r="B1033" s="19"/>
      <c r="C1033" s="19"/>
      <c r="D1033" s="19" t="s">
        <v>832</v>
      </c>
      <c r="E1033" s="20" t="s">
        <v>833</v>
      </c>
      <c r="F1033" s="9">
        <f>Source!AQ726</f>
        <v>10</v>
      </c>
      <c r="G1033" s="22"/>
      <c r="H1033" s="21" t="str">
        <f>Source!DI726</f>
        <v/>
      </c>
      <c r="I1033" s="9">
        <f>Source!AV726</f>
        <v>1</v>
      </c>
      <c r="J1033" s="9"/>
      <c r="K1033" s="22"/>
      <c r="L1033" s="22">
        <f>Source!U726</f>
        <v>1.28</v>
      </c>
    </row>
    <row r="1034" spans="1:22" ht="15" x14ac:dyDescent="0.25">
      <c r="A1034" s="27"/>
      <c r="B1034" s="27"/>
      <c r="C1034" s="27"/>
      <c r="D1034" s="27"/>
      <c r="E1034" s="27"/>
      <c r="F1034" s="27"/>
      <c r="G1034" s="27"/>
      <c r="H1034" s="27"/>
      <c r="I1034" s="27"/>
      <c r="J1034" s="60">
        <f>K1029+K1030+K1031+K1032</f>
        <v>1236.24</v>
      </c>
      <c r="K1034" s="60"/>
      <c r="L1034" s="28">
        <f>IF(Source!I726&lt;&gt;0, ROUND(J1034/Source!I726, 2), 0)</f>
        <v>9658.1299999999992</v>
      </c>
      <c r="P1034" s="25">
        <f>J1034</f>
        <v>1236.24</v>
      </c>
    </row>
    <row r="1036" spans="1:22" ht="15" x14ac:dyDescent="0.25">
      <c r="A1036" s="59" t="str">
        <f>CONCATENATE("Итого по подразделу: ",IF(Source!G729&lt;&gt;"Новый подраздел", Source!G729, ""))</f>
        <v>Итого по подразделу: Система электрического обогрева кровли и водостоков.</v>
      </c>
      <c r="B1036" s="59"/>
      <c r="C1036" s="59"/>
      <c r="D1036" s="59"/>
      <c r="E1036" s="59"/>
      <c r="F1036" s="59"/>
      <c r="G1036" s="59"/>
      <c r="H1036" s="59"/>
      <c r="I1036" s="59"/>
      <c r="J1036" s="57">
        <f>SUM(P1001:P1035)</f>
        <v>22431.829999999998</v>
      </c>
      <c r="K1036" s="58"/>
      <c r="L1036" s="18"/>
    </row>
    <row r="1039" spans="1:22" ht="16.5" x14ac:dyDescent="0.25">
      <c r="A1039" s="55" t="str">
        <f>CONCATENATE("Подраздел: ",IF(Source!G759&lt;&gt;"Новый подраздел", Source!G759, ""))</f>
        <v>Подраздел: Молниезащита, заземление и уравнивание потенциалов</v>
      </c>
      <c r="B1039" s="55"/>
      <c r="C1039" s="55"/>
      <c r="D1039" s="55"/>
      <c r="E1039" s="55"/>
      <c r="F1039" s="55"/>
      <c r="G1039" s="55"/>
      <c r="H1039" s="55"/>
      <c r="I1039" s="55"/>
      <c r="J1039" s="55"/>
      <c r="K1039" s="55"/>
      <c r="L1039" s="55"/>
    </row>
    <row r="1041" spans="1:22" ht="15" x14ac:dyDescent="0.25">
      <c r="C1041" s="56" t="str">
        <f>Source!G763</f>
        <v>Система молниезащиты  Корпус  7.2.1, Корпус 7.2.2, Корпус 7.2.3,  Корпус 7.2.4</v>
      </c>
      <c r="D1041" s="56"/>
      <c r="E1041" s="56"/>
      <c r="F1041" s="56"/>
      <c r="G1041" s="56"/>
      <c r="H1041" s="56"/>
      <c r="I1041" s="56"/>
      <c r="J1041" s="56"/>
      <c r="K1041" s="56"/>
    </row>
    <row r="1042" spans="1:22" ht="71.25" x14ac:dyDescent="0.2">
      <c r="A1042" s="19">
        <v>101</v>
      </c>
      <c r="B1042" s="19">
        <v>101</v>
      </c>
      <c r="C1042" s="19" t="str">
        <f>Source!F764</f>
        <v>1.21-2103-3-1/1</v>
      </c>
      <c r="D1042" s="19" t="str">
        <f>Source!G764</f>
        <v>Техническое обслуживание сетей заземления магистральных / Вертикальный заземлитель из уголка 50х50х5 мм, Полоса 40х4 мм, Пруток 8 мм</v>
      </c>
      <c r="E1042" s="20" t="str">
        <f>Source!H764</f>
        <v>100 м</v>
      </c>
      <c r="F1042" s="9">
        <f>Source!I764</f>
        <v>1.746</v>
      </c>
      <c r="G1042" s="22"/>
      <c r="H1042" s="21"/>
      <c r="I1042" s="9"/>
      <c r="J1042" s="9"/>
      <c r="K1042" s="22"/>
      <c r="L1042" s="22"/>
      <c r="Q1042">
        <f>ROUND((Source!BZ764/100)*ROUND((Source!AF764*Source!AV764)*Source!I764, 2), 2)</f>
        <v>7262.31</v>
      </c>
      <c r="R1042">
        <f>Source!X764</f>
        <v>7262.31</v>
      </c>
      <c r="S1042">
        <f>ROUND((Source!CA764/100)*ROUND((Source!AF764*Source!AV764)*Source!I764, 2), 2)</f>
        <v>1037.47</v>
      </c>
      <c r="T1042">
        <f>Source!Y764</f>
        <v>1037.47</v>
      </c>
      <c r="U1042">
        <f>ROUND((175/100)*ROUND((Source!AE764*Source!AV764)*Source!I764, 2), 2)</f>
        <v>0</v>
      </c>
      <c r="V1042">
        <f>ROUND((108/100)*ROUND(Source!CS764*Source!I764, 2), 2)</f>
        <v>0</v>
      </c>
    </row>
    <row r="1043" spans="1:22" ht="38.25" x14ac:dyDescent="0.2">
      <c r="D1043" s="23" t="str">
        <f>"Объем: "&amp;Source!I764&amp;"=((6+"&amp;"6+"&amp;"6+"&amp;"4)*"&amp;"3+"&amp;"200+"&amp;"220+"&amp;"200+"&amp;"220+"&amp;"200+"&amp;"220+"&amp;"200+"&amp;"220)*"&amp;"0,1/"&amp;"100"</f>
        <v>Объем: 1,746=((6+6+6+4)*3+200+220+200+220+200+220+200+220)*0,1/100</v>
      </c>
    </row>
    <row r="1044" spans="1:22" ht="14.25" x14ac:dyDescent="0.2">
      <c r="A1044" s="19"/>
      <c r="B1044" s="19"/>
      <c r="C1044" s="19"/>
      <c r="D1044" s="19" t="s">
        <v>825</v>
      </c>
      <c r="E1044" s="20"/>
      <c r="F1044" s="9"/>
      <c r="G1044" s="22">
        <f>Source!AO764</f>
        <v>5942</v>
      </c>
      <c r="H1044" s="21" t="str">
        <f>Source!DG764</f>
        <v/>
      </c>
      <c r="I1044" s="9">
        <f>Source!AV764</f>
        <v>1</v>
      </c>
      <c r="J1044" s="9">
        <f>IF(Source!BA764&lt;&gt; 0, Source!BA764, 1)</f>
        <v>1</v>
      </c>
      <c r="K1044" s="22">
        <f>Source!S764</f>
        <v>10374.73</v>
      </c>
      <c r="L1044" s="22"/>
    </row>
    <row r="1045" spans="1:22" ht="14.25" x14ac:dyDescent="0.2">
      <c r="A1045" s="19"/>
      <c r="B1045" s="19"/>
      <c r="C1045" s="19"/>
      <c r="D1045" s="19" t="s">
        <v>834</v>
      </c>
      <c r="E1045" s="20"/>
      <c r="F1045" s="9"/>
      <c r="G1045" s="22">
        <f>Source!AL764</f>
        <v>22.51</v>
      </c>
      <c r="H1045" s="21" t="str">
        <f>Source!DD764</f>
        <v/>
      </c>
      <c r="I1045" s="9">
        <f>Source!AW764</f>
        <v>1</v>
      </c>
      <c r="J1045" s="9">
        <f>IF(Source!BC764&lt;&gt; 0, Source!BC764, 1)</f>
        <v>1</v>
      </c>
      <c r="K1045" s="22">
        <f>Source!P764</f>
        <v>39.299999999999997</v>
      </c>
      <c r="L1045" s="22"/>
    </row>
    <row r="1046" spans="1:22" ht="14.25" x14ac:dyDescent="0.2">
      <c r="A1046" s="19"/>
      <c r="B1046" s="19"/>
      <c r="C1046" s="19"/>
      <c r="D1046" s="19" t="s">
        <v>828</v>
      </c>
      <c r="E1046" s="20" t="s">
        <v>829</v>
      </c>
      <c r="F1046" s="9">
        <f>Source!AT764</f>
        <v>70</v>
      </c>
      <c r="G1046" s="22"/>
      <c r="H1046" s="21"/>
      <c r="I1046" s="9"/>
      <c r="J1046" s="9"/>
      <c r="K1046" s="22">
        <f>SUM(R1042:R1045)</f>
        <v>7262.31</v>
      </c>
      <c r="L1046" s="22"/>
    </row>
    <row r="1047" spans="1:22" ht="14.25" x14ac:dyDescent="0.2">
      <c r="A1047" s="19"/>
      <c r="B1047" s="19"/>
      <c r="C1047" s="19"/>
      <c r="D1047" s="19" t="s">
        <v>830</v>
      </c>
      <c r="E1047" s="20" t="s">
        <v>829</v>
      </c>
      <c r="F1047" s="9">
        <f>Source!AU764</f>
        <v>10</v>
      </c>
      <c r="G1047" s="22"/>
      <c r="H1047" s="21"/>
      <c r="I1047" s="9"/>
      <c r="J1047" s="9"/>
      <c r="K1047" s="22">
        <f>SUM(T1042:T1046)</f>
        <v>1037.47</v>
      </c>
      <c r="L1047" s="22"/>
    </row>
    <row r="1048" spans="1:22" ht="14.25" x14ac:dyDescent="0.2">
      <c r="A1048" s="19"/>
      <c r="B1048" s="19"/>
      <c r="C1048" s="19"/>
      <c r="D1048" s="19" t="s">
        <v>832</v>
      </c>
      <c r="E1048" s="20" t="s">
        <v>833</v>
      </c>
      <c r="F1048" s="9">
        <f>Source!AQ764</f>
        <v>11.1</v>
      </c>
      <c r="G1048" s="22"/>
      <c r="H1048" s="21" t="str">
        <f>Source!DI764</f>
        <v/>
      </c>
      <c r="I1048" s="9">
        <f>Source!AV764</f>
        <v>1</v>
      </c>
      <c r="J1048" s="9"/>
      <c r="K1048" s="22"/>
      <c r="L1048" s="22">
        <f>Source!U764</f>
        <v>19.380599999999998</v>
      </c>
    </row>
    <row r="1049" spans="1:22" ht="15" x14ac:dyDescent="0.25">
      <c r="A1049" s="27"/>
      <c r="B1049" s="27"/>
      <c r="C1049" s="27"/>
      <c r="D1049" s="27"/>
      <c r="E1049" s="27"/>
      <c r="F1049" s="27"/>
      <c r="G1049" s="27"/>
      <c r="H1049" s="27"/>
      <c r="I1049" s="27"/>
      <c r="J1049" s="60">
        <f>K1044+K1045+K1046+K1047</f>
        <v>18713.810000000001</v>
      </c>
      <c r="K1049" s="60"/>
      <c r="L1049" s="28">
        <f>IF(Source!I764&lt;&gt;0, ROUND(J1049/Source!I764, 2), 0)</f>
        <v>10718.1</v>
      </c>
      <c r="P1049" s="25">
        <f>J1049</f>
        <v>18713.810000000001</v>
      </c>
    </row>
    <row r="1051" spans="1:22" ht="15" x14ac:dyDescent="0.25">
      <c r="A1051" s="59" t="str">
        <f>CONCATENATE("Итого по подразделу: ",IF(Source!G768&lt;&gt;"Новый подраздел", Source!G768, ""))</f>
        <v>Итого по подразделу: Молниезащита, заземление и уравнивание потенциалов</v>
      </c>
      <c r="B1051" s="59"/>
      <c r="C1051" s="59"/>
      <c r="D1051" s="59"/>
      <c r="E1051" s="59"/>
      <c r="F1051" s="59"/>
      <c r="G1051" s="59"/>
      <c r="H1051" s="59"/>
      <c r="I1051" s="59"/>
      <c r="J1051" s="57">
        <f>SUM(P1039:P1050)</f>
        <v>18713.810000000001</v>
      </c>
      <c r="K1051" s="58"/>
      <c r="L1051" s="18"/>
    </row>
    <row r="1054" spans="1:22" ht="16.5" x14ac:dyDescent="0.25">
      <c r="A1054" s="55" t="str">
        <f>CONCATENATE("Подраздел: ",IF(Source!G798&lt;&gt;"Новый подраздел", Source!G798, ""))</f>
        <v>Подраздел: Архитектурное освещение фасада</v>
      </c>
      <c r="B1054" s="55"/>
      <c r="C1054" s="55"/>
      <c r="D1054" s="55"/>
      <c r="E1054" s="55"/>
      <c r="F1054" s="55"/>
      <c r="G1054" s="55"/>
      <c r="H1054" s="55"/>
      <c r="I1054" s="55"/>
      <c r="J1054" s="55"/>
      <c r="K1054" s="55"/>
      <c r="L1054" s="55"/>
    </row>
    <row r="1056" spans="1:22" ht="15" x14ac:dyDescent="0.25">
      <c r="C1056" s="56" t="str">
        <f>Source!G802</f>
        <v>Корпус  7.2.1, Корпус 7.2.2, Корпус 7.2.3,  Корпус 7.2.4</v>
      </c>
      <c r="D1056" s="56"/>
      <c r="E1056" s="56"/>
      <c r="F1056" s="56"/>
      <c r="G1056" s="56"/>
      <c r="H1056" s="56"/>
      <c r="I1056" s="56"/>
      <c r="J1056" s="56"/>
      <c r="K1056" s="56"/>
    </row>
    <row r="1057" spans="1:22" ht="57" x14ac:dyDescent="0.2">
      <c r="A1057" s="19">
        <v>102</v>
      </c>
      <c r="B1057" s="19">
        <v>102</v>
      </c>
      <c r="C1057" s="19" t="str">
        <f>Source!F803</f>
        <v>1.20-2203-1-3/1</v>
      </c>
      <c r="D1057" s="19" t="str">
        <f>Source!G803</f>
        <v>Техническое обслуживание щита осветительного группового с установочными автоматами, число групп 6 / Щит фасадного освещения</v>
      </c>
      <c r="E1057" s="20" t="str">
        <f>Source!H803</f>
        <v>шт.</v>
      </c>
      <c r="F1057" s="9">
        <f>Source!I803</f>
        <v>4</v>
      </c>
      <c r="G1057" s="22"/>
      <c r="H1057" s="21"/>
      <c r="I1057" s="9"/>
      <c r="J1057" s="9"/>
      <c r="K1057" s="22"/>
      <c r="L1057" s="22"/>
      <c r="Q1057">
        <f>ROUND((Source!BZ803/100)*ROUND((Source!AF803*Source!AV803)*Source!I803, 2), 2)</f>
        <v>10373.83</v>
      </c>
      <c r="R1057">
        <f>Source!X803</f>
        <v>10373.83</v>
      </c>
      <c r="S1057">
        <f>ROUND((Source!CA803/100)*ROUND((Source!AF803*Source!AV803)*Source!I803, 2), 2)</f>
        <v>1481.98</v>
      </c>
      <c r="T1057">
        <f>Source!Y803</f>
        <v>1481.98</v>
      </c>
      <c r="U1057">
        <f>ROUND((175/100)*ROUND((Source!AE803*Source!AV803)*Source!I803, 2), 2)</f>
        <v>0</v>
      </c>
      <c r="V1057">
        <f>ROUND((108/100)*ROUND(Source!CS803*Source!I803, 2), 2)</f>
        <v>0</v>
      </c>
    </row>
    <row r="1058" spans="1:22" x14ac:dyDescent="0.2">
      <c r="D1058" s="23" t="str">
        <f>"Объем: "&amp;Source!I803&amp;"=1+"&amp;"1+"&amp;"1+"&amp;"1"</f>
        <v>Объем: 4=1+1+1+1</v>
      </c>
    </row>
    <row r="1059" spans="1:22" ht="14.25" x14ac:dyDescent="0.2">
      <c r="A1059" s="19"/>
      <c r="B1059" s="19"/>
      <c r="C1059" s="19"/>
      <c r="D1059" s="19" t="s">
        <v>825</v>
      </c>
      <c r="E1059" s="20"/>
      <c r="F1059" s="9"/>
      <c r="G1059" s="22">
        <f>Source!AO803</f>
        <v>3704.94</v>
      </c>
      <c r="H1059" s="21" t="str">
        <f>Source!DG803</f>
        <v/>
      </c>
      <c r="I1059" s="9">
        <f>Source!AV803</f>
        <v>1</v>
      </c>
      <c r="J1059" s="9">
        <f>IF(Source!BA803&lt;&gt; 0, Source!BA803, 1)</f>
        <v>1</v>
      </c>
      <c r="K1059" s="22">
        <f>Source!S803</f>
        <v>14819.76</v>
      </c>
      <c r="L1059" s="22"/>
    </row>
    <row r="1060" spans="1:22" ht="14.25" x14ac:dyDescent="0.2">
      <c r="A1060" s="19"/>
      <c r="B1060" s="19"/>
      <c r="C1060" s="19"/>
      <c r="D1060" s="19" t="s">
        <v>834</v>
      </c>
      <c r="E1060" s="20"/>
      <c r="F1060" s="9"/>
      <c r="G1060" s="22">
        <f>Source!AL803</f>
        <v>55.07</v>
      </c>
      <c r="H1060" s="21" t="str">
        <f>Source!DD803</f>
        <v/>
      </c>
      <c r="I1060" s="9">
        <f>Source!AW803</f>
        <v>1</v>
      </c>
      <c r="J1060" s="9">
        <f>IF(Source!BC803&lt;&gt; 0, Source!BC803, 1)</f>
        <v>1</v>
      </c>
      <c r="K1060" s="22">
        <f>Source!P803</f>
        <v>220.28</v>
      </c>
      <c r="L1060" s="22"/>
    </row>
    <row r="1061" spans="1:22" ht="14.25" x14ac:dyDescent="0.2">
      <c r="A1061" s="19"/>
      <c r="B1061" s="19"/>
      <c r="C1061" s="19"/>
      <c r="D1061" s="19" t="s">
        <v>828</v>
      </c>
      <c r="E1061" s="20" t="s">
        <v>829</v>
      </c>
      <c r="F1061" s="9">
        <f>Source!AT803</f>
        <v>70</v>
      </c>
      <c r="G1061" s="22"/>
      <c r="H1061" s="21"/>
      <c r="I1061" s="9"/>
      <c r="J1061" s="9"/>
      <c r="K1061" s="22">
        <f>SUM(R1057:R1060)</f>
        <v>10373.83</v>
      </c>
      <c r="L1061" s="22"/>
    </row>
    <row r="1062" spans="1:22" ht="14.25" x14ac:dyDescent="0.2">
      <c r="A1062" s="19"/>
      <c r="B1062" s="19"/>
      <c r="C1062" s="19"/>
      <c r="D1062" s="19" t="s">
        <v>830</v>
      </c>
      <c r="E1062" s="20" t="s">
        <v>829</v>
      </c>
      <c r="F1062" s="9">
        <f>Source!AU803</f>
        <v>10</v>
      </c>
      <c r="G1062" s="22"/>
      <c r="H1062" s="21"/>
      <c r="I1062" s="9"/>
      <c r="J1062" s="9"/>
      <c r="K1062" s="22">
        <f>SUM(T1057:T1061)</f>
        <v>1481.98</v>
      </c>
      <c r="L1062" s="22"/>
    </row>
    <row r="1063" spans="1:22" ht="14.25" x14ac:dyDescent="0.2">
      <c r="A1063" s="19"/>
      <c r="B1063" s="19"/>
      <c r="C1063" s="19"/>
      <c r="D1063" s="19" t="s">
        <v>832</v>
      </c>
      <c r="E1063" s="20" t="s">
        <v>833</v>
      </c>
      <c r="F1063" s="9">
        <f>Source!AQ803</f>
        <v>6</v>
      </c>
      <c r="G1063" s="22"/>
      <c r="H1063" s="21" t="str">
        <f>Source!DI803</f>
        <v/>
      </c>
      <c r="I1063" s="9">
        <f>Source!AV803</f>
        <v>1</v>
      </c>
      <c r="J1063" s="9"/>
      <c r="K1063" s="22"/>
      <c r="L1063" s="22">
        <f>Source!U803</f>
        <v>24</v>
      </c>
    </row>
    <row r="1064" spans="1:22" ht="15" x14ac:dyDescent="0.25">
      <c r="A1064" s="27"/>
      <c r="B1064" s="27"/>
      <c r="C1064" s="27"/>
      <c r="D1064" s="27"/>
      <c r="E1064" s="27"/>
      <c r="F1064" s="27"/>
      <c r="G1064" s="27"/>
      <c r="H1064" s="27"/>
      <c r="I1064" s="27"/>
      <c r="J1064" s="60">
        <f>K1059+K1060+K1061+K1062</f>
        <v>26895.850000000002</v>
      </c>
      <c r="K1064" s="60"/>
      <c r="L1064" s="28">
        <f>IF(Source!I803&lt;&gt;0, ROUND(J1064/Source!I803, 2), 0)</f>
        <v>6723.96</v>
      </c>
      <c r="P1064" s="25">
        <f>J1064</f>
        <v>26895.850000000002</v>
      </c>
    </row>
    <row r="1065" spans="1:22" ht="57" x14ac:dyDescent="0.2">
      <c r="A1065" s="19">
        <v>103</v>
      </c>
      <c r="B1065" s="19">
        <v>103</v>
      </c>
      <c r="C1065" s="19" t="str">
        <f>Source!F805</f>
        <v>1.23-2103-3-1/1</v>
      </c>
      <c r="D1065" s="19" t="str">
        <f>Source!G805</f>
        <v>Техническое обслуживание реле времени, реле теплового / Реле времени астрономическое PCZ—525—3</v>
      </c>
      <c r="E1065" s="20" t="str">
        <f>Source!H805</f>
        <v>шт.</v>
      </c>
      <c r="F1065" s="9">
        <f>Source!I805</f>
        <v>4</v>
      </c>
      <c r="G1065" s="22"/>
      <c r="H1065" s="21"/>
      <c r="I1065" s="9"/>
      <c r="J1065" s="9"/>
      <c r="K1065" s="22"/>
      <c r="L1065" s="22"/>
      <c r="Q1065">
        <f>ROUND((Source!BZ805/100)*ROUND((Source!AF805*Source!AV805)*Source!I805, 2), 2)</f>
        <v>4149.54</v>
      </c>
      <c r="R1065">
        <f>Source!X805</f>
        <v>4149.54</v>
      </c>
      <c r="S1065">
        <f>ROUND((Source!CA805/100)*ROUND((Source!AF805*Source!AV805)*Source!I805, 2), 2)</f>
        <v>592.79</v>
      </c>
      <c r="T1065">
        <f>Source!Y805</f>
        <v>592.79</v>
      </c>
      <c r="U1065">
        <f>ROUND((175/100)*ROUND((Source!AE805*Source!AV805)*Source!I805, 2), 2)</f>
        <v>0</v>
      </c>
      <c r="V1065">
        <f>ROUND((108/100)*ROUND(Source!CS805*Source!I805, 2), 2)</f>
        <v>0</v>
      </c>
    </row>
    <row r="1066" spans="1:22" x14ac:dyDescent="0.2">
      <c r="D1066" s="23" t="str">
        <f>"Объем: "&amp;Source!I805&amp;"=1+"&amp;"1+"&amp;"1+"&amp;"1"</f>
        <v>Объем: 4=1+1+1+1</v>
      </c>
    </row>
    <row r="1067" spans="1:22" ht="14.25" x14ac:dyDescent="0.2">
      <c r="A1067" s="19"/>
      <c r="B1067" s="19"/>
      <c r="C1067" s="19"/>
      <c r="D1067" s="19" t="s">
        <v>825</v>
      </c>
      <c r="E1067" s="20"/>
      <c r="F1067" s="9"/>
      <c r="G1067" s="22">
        <f>Source!AO805</f>
        <v>740.99</v>
      </c>
      <c r="H1067" s="21" t="str">
        <f>Source!DG805</f>
        <v>)*2</v>
      </c>
      <c r="I1067" s="9">
        <f>Source!AV805</f>
        <v>1</v>
      </c>
      <c r="J1067" s="9">
        <f>IF(Source!BA805&lt;&gt; 0, Source!BA805, 1)</f>
        <v>1</v>
      </c>
      <c r="K1067" s="22">
        <f>Source!S805</f>
        <v>5927.92</v>
      </c>
      <c r="L1067" s="22"/>
    </row>
    <row r="1068" spans="1:22" ht="14.25" x14ac:dyDescent="0.2">
      <c r="A1068" s="19"/>
      <c r="B1068" s="19"/>
      <c r="C1068" s="19"/>
      <c r="D1068" s="19" t="s">
        <v>834</v>
      </c>
      <c r="E1068" s="20"/>
      <c r="F1068" s="9"/>
      <c r="G1068" s="22">
        <f>Source!AL805</f>
        <v>1.79</v>
      </c>
      <c r="H1068" s="21" t="str">
        <f>Source!DD805</f>
        <v>)*2</v>
      </c>
      <c r="I1068" s="9">
        <f>Source!AW805</f>
        <v>1</v>
      </c>
      <c r="J1068" s="9">
        <f>IF(Source!BC805&lt;&gt; 0, Source!BC805, 1)</f>
        <v>1</v>
      </c>
      <c r="K1068" s="22">
        <f>Source!P805</f>
        <v>14.32</v>
      </c>
      <c r="L1068" s="22"/>
    </row>
    <row r="1069" spans="1:22" ht="14.25" x14ac:dyDescent="0.2">
      <c r="A1069" s="19"/>
      <c r="B1069" s="19"/>
      <c r="C1069" s="19"/>
      <c r="D1069" s="19" t="s">
        <v>828</v>
      </c>
      <c r="E1069" s="20" t="s">
        <v>829</v>
      </c>
      <c r="F1069" s="9">
        <f>Source!AT805</f>
        <v>70</v>
      </c>
      <c r="G1069" s="22"/>
      <c r="H1069" s="21"/>
      <c r="I1069" s="9"/>
      <c r="J1069" s="9"/>
      <c r="K1069" s="22">
        <f>SUM(R1065:R1068)</f>
        <v>4149.54</v>
      </c>
      <c r="L1069" s="22"/>
    </row>
    <row r="1070" spans="1:22" ht="14.25" x14ac:dyDescent="0.2">
      <c r="A1070" s="19"/>
      <c r="B1070" s="19"/>
      <c r="C1070" s="19"/>
      <c r="D1070" s="19" t="s">
        <v>830</v>
      </c>
      <c r="E1070" s="20" t="s">
        <v>829</v>
      </c>
      <c r="F1070" s="9">
        <f>Source!AU805</f>
        <v>10</v>
      </c>
      <c r="G1070" s="22"/>
      <c r="H1070" s="21"/>
      <c r="I1070" s="9"/>
      <c r="J1070" s="9"/>
      <c r="K1070" s="22">
        <f>SUM(T1065:T1069)</f>
        <v>592.79</v>
      </c>
      <c r="L1070" s="22"/>
    </row>
    <row r="1071" spans="1:22" ht="14.25" x14ac:dyDescent="0.2">
      <c r="A1071" s="19"/>
      <c r="B1071" s="19"/>
      <c r="C1071" s="19"/>
      <c r="D1071" s="19" t="s">
        <v>832</v>
      </c>
      <c r="E1071" s="20" t="s">
        <v>833</v>
      </c>
      <c r="F1071" s="9">
        <f>Source!AQ805</f>
        <v>1.2</v>
      </c>
      <c r="G1071" s="22"/>
      <c r="H1071" s="21" t="str">
        <f>Source!DI805</f>
        <v>)*2</v>
      </c>
      <c r="I1071" s="9">
        <f>Source!AV805</f>
        <v>1</v>
      </c>
      <c r="J1071" s="9"/>
      <c r="K1071" s="22"/>
      <c r="L1071" s="22">
        <f>Source!U805</f>
        <v>9.6</v>
      </c>
    </row>
    <row r="1072" spans="1:22" ht="15" x14ac:dyDescent="0.25">
      <c r="A1072" s="27"/>
      <c r="B1072" s="27"/>
      <c r="C1072" s="27"/>
      <c r="D1072" s="27"/>
      <c r="E1072" s="27"/>
      <c r="F1072" s="27"/>
      <c r="G1072" s="27"/>
      <c r="H1072" s="27"/>
      <c r="I1072" s="27"/>
      <c r="J1072" s="60">
        <f>K1067+K1068+K1069+K1070</f>
        <v>10684.57</v>
      </c>
      <c r="K1072" s="60"/>
      <c r="L1072" s="28">
        <f>IF(Source!I805&lt;&gt;0, ROUND(J1072/Source!I805, 2), 0)</f>
        <v>2671.14</v>
      </c>
      <c r="P1072" s="25">
        <f>J1072</f>
        <v>10684.57</v>
      </c>
    </row>
    <row r="1073" spans="1:22" ht="42.75" x14ac:dyDescent="0.2">
      <c r="A1073" s="19">
        <v>104</v>
      </c>
      <c r="B1073" s="19">
        <v>104</v>
      </c>
      <c r="C1073" s="19" t="str">
        <f>Source!F807</f>
        <v>1.21-2303-18-1/1</v>
      </c>
      <c r="D1073" s="19" t="str">
        <f>Source!G807</f>
        <v>Техническое обслуживание переключателя универсального, число секций до 8</v>
      </c>
      <c r="E1073" s="20" t="str">
        <f>Source!H807</f>
        <v>шт.</v>
      </c>
      <c r="F1073" s="9">
        <f>Source!I807</f>
        <v>4</v>
      </c>
      <c r="G1073" s="22"/>
      <c r="H1073" s="21"/>
      <c r="I1073" s="9"/>
      <c r="J1073" s="9"/>
      <c r="K1073" s="22"/>
      <c r="L1073" s="22"/>
      <c r="Q1073">
        <f>ROUND((Source!BZ807/100)*ROUND((Source!AF807*Source!AV807)*Source!I807, 2), 2)</f>
        <v>518.70000000000005</v>
      </c>
      <c r="R1073">
        <f>Source!X807</f>
        <v>518.70000000000005</v>
      </c>
      <c r="S1073">
        <f>ROUND((Source!CA807/100)*ROUND((Source!AF807*Source!AV807)*Source!I807, 2), 2)</f>
        <v>74.099999999999994</v>
      </c>
      <c r="T1073">
        <f>Source!Y807</f>
        <v>74.099999999999994</v>
      </c>
      <c r="U1073">
        <f>ROUND((175/100)*ROUND((Source!AE807*Source!AV807)*Source!I807, 2), 2)</f>
        <v>0</v>
      </c>
      <c r="V1073">
        <f>ROUND((108/100)*ROUND(Source!CS807*Source!I807, 2), 2)</f>
        <v>0</v>
      </c>
    </row>
    <row r="1074" spans="1:22" x14ac:dyDescent="0.2">
      <c r="D1074" s="23" t="str">
        <f>"Объем: "&amp;Source!I807&amp;"=1+"&amp;"1+"&amp;"1+"&amp;"1"</f>
        <v>Объем: 4=1+1+1+1</v>
      </c>
    </row>
    <row r="1075" spans="1:22" ht="14.25" x14ac:dyDescent="0.2">
      <c r="A1075" s="19"/>
      <c r="B1075" s="19"/>
      <c r="C1075" s="19"/>
      <c r="D1075" s="19" t="s">
        <v>825</v>
      </c>
      <c r="E1075" s="20"/>
      <c r="F1075" s="9"/>
      <c r="G1075" s="22">
        <f>Source!AO807</f>
        <v>185.25</v>
      </c>
      <c r="H1075" s="21" t="str">
        <f>Source!DG807</f>
        <v/>
      </c>
      <c r="I1075" s="9">
        <f>Source!AV807</f>
        <v>1</v>
      </c>
      <c r="J1075" s="9">
        <f>IF(Source!BA807&lt;&gt; 0, Source!BA807, 1)</f>
        <v>1</v>
      </c>
      <c r="K1075" s="22">
        <f>Source!S807</f>
        <v>741</v>
      </c>
      <c r="L1075" s="22"/>
    </row>
    <row r="1076" spans="1:22" ht="14.25" x14ac:dyDescent="0.2">
      <c r="A1076" s="19"/>
      <c r="B1076" s="19"/>
      <c r="C1076" s="19"/>
      <c r="D1076" s="19" t="s">
        <v>828</v>
      </c>
      <c r="E1076" s="20" t="s">
        <v>829</v>
      </c>
      <c r="F1076" s="9">
        <f>Source!AT807</f>
        <v>70</v>
      </c>
      <c r="G1076" s="22"/>
      <c r="H1076" s="21"/>
      <c r="I1076" s="9"/>
      <c r="J1076" s="9"/>
      <c r="K1076" s="22">
        <f>SUM(R1073:R1075)</f>
        <v>518.70000000000005</v>
      </c>
      <c r="L1076" s="22"/>
    </row>
    <row r="1077" spans="1:22" ht="14.25" x14ac:dyDescent="0.2">
      <c r="A1077" s="19"/>
      <c r="B1077" s="19"/>
      <c r="C1077" s="19"/>
      <c r="D1077" s="19" t="s">
        <v>830</v>
      </c>
      <c r="E1077" s="20" t="s">
        <v>829</v>
      </c>
      <c r="F1077" s="9">
        <f>Source!AU807</f>
        <v>10</v>
      </c>
      <c r="G1077" s="22"/>
      <c r="H1077" s="21"/>
      <c r="I1077" s="9"/>
      <c r="J1077" s="9"/>
      <c r="K1077" s="22">
        <f>SUM(T1073:T1076)</f>
        <v>74.099999999999994</v>
      </c>
      <c r="L1077" s="22"/>
    </row>
    <row r="1078" spans="1:22" ht="14.25" x14ac:dyDescent="0.2">
      <c r="A1078" s="19"/>
      <c r="B1078" s="19"/>
      <c r="C1078" s="19"/>
      <c r="D1078" s="19" t="s">
        <v>832</v>
      </c>
      <c r="E1078" s="20" t="s">
        <v>833</v>
      </c>
      <c r="F1078" s="9">
        <f>Source!AQ807</f>
        <v>0.3</v>
      </c>
      <c r="G1078" s="22"/>
      <c r="H1078" s="21" t="str">
        <f>Source!DI807</f>
        <v/>
      </c>
      <c r="I1078" s="9">
        <f>Source!AV807</f>
        <v>1</v>
      </c>
      <c r="J1078" s="9"/>
      <c r="K1078" s="22"/>
      <c r="L1078" s="22">
        <f>Source!U807</f>
        <v>1.2</v>
      </c>
    </row>
    <row r="1079" spans="1:22" ht="15" x14ac:dyDescent="0.25">
      <c r="A1079" s="27"/>
      <c r="B1079" s="27"/>
      <c r="C1079" s="27"/>
      <c r="D1079" s="27"/>
      <c r="E1079" s="27"/>
      <c r="F1079" s="27"/>
      <c r="G1079" s="27"/>
      <c r="H1079" s="27"/>
      <c r="I1079" s="27"/>
      <c r="J1079" s="60">
        <f>K1075+K1076+K1077</f>
        <v>1333.8</v>
      </c>
      <c r="K1079" s="60"/>
      <c r="L1079" s="28">
        <f>IF(Source!I807&lt;&gt;0, ROUND(J1079/Source!I807, 2), 0)</f>
        <v>333.45</v>
      </c>
      <c r="P1079" s="25">
        <f>J1079</f>
        <v>1333.8</v>
      </c>
    </row>
    <row r="1080" spans="1:22" ht="42.75" x14ac:dyDescent="0.2">
      <c r="A1080" s="19">
        <v>105</v>
      </c>
      <c r="B1080" s="19">
        <v>105</v>
      </c>
      <c r="C1080" s="19" t="str">
        <f>Source!F808</f>
        <v>1.23-2203-3-1/1</v>
      </c>
      <c r="D1080" s="19" t="str">
        <f>Source!G808</f>
        <v>Техническое обслуживание светосигнальной арматуры с лампой накаливания, светодиодом</v>
      </c>
      <c r="E1080" s="20" t="str">
        <f>Source!H808</f>
        <v>10 шт.</v>
      </c>
      <c r="F1080" s="9">
        <f>Source!I808</f>
        <v>0.8</v>
      </c>
      <c r="G1080" s="22"/>
      <c r="H1080" s="21"/>
      <c r="I1080" s="9"/>
      <c r="J1080" s="9"/>
      <c r="K1080" s="22"/>
      <c r="L1080" s="22"/>
      <c r="Q1080">
        <f>ROUND((Source!BZ808/100)*ROUND((Source!AF808*Source!AV808)*Source!I808, 2), 2)</f>
        <v>953.78</v>
      </c>
      <c r="R1080">
        <f>Source!X808</f>
        <v>953.78</v>
      </c>
      <c r="S1080">
        <f>ROUND((Source!CA808/100)*ROUND((Source!AF808*Source!AV808)*Source!I808, 2), 2)</f>
        <v>136.25</v>
      </c>
      <c r="T1080">
        <f>Source!Y808</f>
        <v>136.25</v>
      </c>
      <c r="U1080">
        <f>ROUND((175/100)*ROUND((Source!AE808*Source!AV808)*Source!I808, 2), 2)</f>
        <v>0</v>
      </c>
      <c r="V1080">
        <f>ROUND((108/100)*ROUND(Source!CS808*Source!I808, 2), 2)</f>
        <v>0</v>
      </c>
    </row>
    <row r="1081" spans="1:22" x14ac:dyDescent="0.2">
      <c r="D1081" s="23" t="str">
        <f>"Объем: "&amp;Source!I808&amp;"=((1+"&amp;"1)*"&amp;"4)/"&amp;"10"</f>
        <v>Объем: 0,8=((1+1)*4)/10</v>
      </c>
    </row>
    <row r="1082" spans="1:22" ht="14.25" x14ac:dyDescent="0.2">
      <c r="A1082" s="19"/>
      <c r="B1082" s="19"/>
      <c r="C1082" s="19"/>
      <c r="D1082" s="19" t="s">
        <v>825</v>
      </c>
      <c r="E1082" s="20"/>
      <c r="F1082" s="9"/>
      <c r="G1082" s="22">
        <f>Source!AO808</f>
        <v>1703.18</v>
      </c>
      <c r="H1082" s="21" t="str">
        <f>Source!DG808</f>
        <v/>
      </c>
      <c r="I1082" s="9">
        <f>Source!AV808</f>
        <v>1</v>
      </c>
      <c r="J1082" s="9">
        <f>IF(Source!BA808&lt;&gt; 0, Source!BA808, 1)</f>
        <v>1</v>
      </c>
      <c r="K1082" s="22">
        <f>Source!S808</f>
        <v>1362.54</v>
      </c>
      <c r="L1082" s="22"/>
    </row>
    <row r="1083" spans="1:22" ht="14.25" x14ac:dyDescent="0.2">
      <c r="A1083" s="19"/>
      <c r="B1083" s="19"/>
      <c r="C1083" s="19"/>
      <c r="D1083" s="19" t="s">
        <v>834</v>
      </c>
      <c r="E1083" s="20"/>
      <c r="F1083" s="9"/>
      <c r="G1083" s="22">
        <f>Source!AL808</f>
        <v>80.67</v>
      </c>
      <c r="H1083" s="21" t="str">
        <f>Source!DD808</f>
        <v/>
      </c>
      <c r="I1083" s="9">
        <f>Source!AW808</f>
        <v>1</v>
      </c>
      <c r="J1083" s="9">
        <f>IF(Source!BC808&lt;&gt; 0, Source!BC808, 1)</f>
        <v>1</v>
      </c>
      <c r="K1083" s="22">
        <f>Source!P808</f>
        <v>64.540000000000006</v>
      </c>
      <c r="L1083" s="22"/>
    </row>
    <row r="1084" spans="1:22" ht="14.25" x14ac:dyDescent="0.2">
      <c r="A1084" s="19"/>
      <c r="B1084" s="19"/>
      <c r="C1084" s="19"/>
      <c r="D1084" s="19" t="s">
        <v>828</v>
      </c>
      <c r="E1084" s="20" t="s">
        <v>829</v>
      </c>
      <c r="F1084" s="9">
        <f>Source!AT808</f>
        <v>70</v>
      </c>
      <c r="G1084" s="22"/>
      <c r="H1084" s="21"/>
      <c r="I1084" s="9"/>
      <c r="J1084" s="9"/>
      <c r="K1084" s="22">
        <f>SUM(R1080:R1083)</f>
        <v>953.78</v>
      </c>
      <c r="L1084" s="22"/>
    </row>
    <row r="1085" spans="1:22" ht="14.25" x14ac:dyDescent="0.2">
      <c r="A1085" s="19"/>
      <c r="B1085" s="19"/>
      <c r="C1085" s="19"/>
      <c r="D1085" s="19" t="s">
        <v>830</v>
      </c>
      <c r="E1085" s="20" t="s">
        <v>829</v>
      </c>
      <c r="F1085" s="9">
        <f>Source!AU808</f>
        <v>10</v>
      </c>
      <c r="G1085" s="22"/>
      <c r="H1085" s="21"/>
      <c r="I1085" s="9"/>
      <c r="J1085" s="9"/>
      <c r="K1085" s="22">
        <f>SUM(T1080:T1084)</f>
        <v>136.25</v>
      </c>
      <c r="L1085" s="22"/>
    </row>
    <row r="1086" spans="1:22" ht="14.25" x14ac:dyDescent="0.2">
      <c r="A1086" s="19"/>
      <c r="B1086" s="19"/>
      <c r="C1086" s="19"/>
      <c r="D1086" s="19" t="s">
        <v>832</v>
      </c>
      <c r="E1086" s="20" t="s">
        <v>833</v>
      </c>
      <c r="F1086" s="9">
        <f>Source!AQ808</f>
        <v>2.4</v>
      </c>
      <c r="G1086" s="22"/>
      <c r="H1086" s="21" t="str">
        <f>Source!DI808</f>
        <v/>
      </c>
      <c r="I1086" s="9">
        <f>Source!AV808</f>
        <v>1</v>
      </c>
      <c r="J1086" s="9"/>
      <c r="K1086" s="22"/>
      <c r="L1086" s="22">
        <f>Source!U808</f>
        <v>1.92</v>
      </c>
    </row>
    <row r="1087" spans="1:22" ht="15" x14ac:dyDescent="0.25">
      <c r="A1087" s="27"/>
      <c r="B1087" s="27"/>
      <c r="C1087" s="27"/>
      <c r="D1087" s="27"/>
      <c r="E1087" s="27"/>
      <c r="F1087" s="27"/>
      <c r="G1087" s="27"/>
      <c r="H1087" s="27"/>
      <c r="I1087" s="27"/>
      <c r="J1087" s="60">
        <f>K1082+K1083+K1084+K1085</f>
        <v>2517.1099999999997</v>
      </c>
      <c r="K1087" s="60"/>
      <c r="L1087" s="28">
        <f>IF(Source!I808&lt;&gt;0, ROUND(J1087/Source!I808, 2), 0)</f>
        <v>3146.39</v>
      </c>
      <c r="P1087" s="25">
        <f>J1087</f>
        <v>2517.1099999999997</v>
      </c>
    </row>
    <row r="1088" spans="1:22" ht="114" x14ac:dyDescent="0.2">
      <c r="A1088" s="19">
        <v>106</v>
      </c>
      <c r="B1088" s="19">
        <v>106</v>
      </c>
      <c r="C1088" s="19" t="str">
        <f>Source!F809</f>
        <v>1.20-2103-24-1/1</v>
      </c>
      <c r="D1088" s="19" t="str">
        <f>Source!G809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</v>
      </c>
      <c r="E1088" s="20" t="str">
        <f>Source!H809</f>
        <v>шт.</v>
      </c>
      <c r="F1088" s="9">
        <f>Source!I809</f>
        <v>182</v>
      </c>
      <c r="G1088" s="22"/>
      <c r="H1088" s="21"/>
      <c r="I1088" s="9"/>
      <c r="J1088" s="9"/>
      <c r="K1088" s="22"/>
      <c r="L1088" s="22"/>
      <c r="Q1088">
        <f>ROUND((Source!BZ809/100)*ROUND((Source!AF809*Source!AV809)*Source!I809, 2), 2)</f>
        <v>21486.01</v>
      </c>
      <c r="R1088">
        <f>Source!X809</f>
        <v>21486.01</v>
      </c>
      <c r="S1088">
        <f>ROUND((Source!CA809/100)*ROUND((Source!AF809*Source!AV809)*Source!I809, 2), 2)</f>
        <v>3069.43</v>
      </c>
      <c r="T1088">
        <f>Source!Y809</f>
        <v>3069.43</v>
      </c>
      <c r="U1088">
        <f>ROUND((175/100)*ROUND((Source!AE809*Source!AV809)*Source!I809, 2), 2)</f>
        <v>0</v>
      </c>
      <c r="V1088">
        <f>ROUND((108/100)*ROUND(Source!CS809*Source!I809, 2), 2)</f>
        <v>0</v>
      </c>
    </row>
    <row r="1089" spans="1:22" x14ac:dyDescent="0.2">
      <c r="D1089" s="23" t="str">
        <f>"Объем: "&amp;Source!I809&amp;"=40+"&amp;"142"</f>
        <v>Объем: 182=40+142</v>
      </c>
    </row>
    <row r="1090" spans="1:22" ht="14.25" x14ac:dyDescent="0.2">
      <c r="A1090" s="19"/>
      <c r="B1090" s="19"/>
      <c r="C1090" s="19"/>
      <c r="D1090" s="19" t="s">
        <v>825</v>
      </c>
      <c r="E1090" s="20"/>
      <c r="F1090" s="9"/>
      <c r="G1090" s="22">
        <f>Source!AO809</f>
        <v>168.65</v>
      </c>
      <c r="H1090" s="21" t="str">
        <f>Source!DG809</f>
        <v/>
      </c>
      <c r="I1090" s="9">
        <f>Source!AV809</f>
        <v>1</v>
      </c>
      <c r="J1090" s="9">
        <f>IF(Source!BA809&lt;&gt; 0, Source!BA809, 1)</f>
        <v>1</v>
      </c>
      <c r="K1090" s="22">
        <f>Source!S809</f>
        <v>30694.3</v>
      </c>
      <c r="L1090" s="22"/>
    </row>
    <row r="1091" spans="1:22" ht="14.25" x14ac:dyDescent="0.2">
      <c r="A1091" s="19"/>
      <c r="B1091" s="19"/>
      <c r="C1091" s="19"/>
      <c r="D1091" s="19" t="s">
        <v>834</v>
      </c>
      <c r="E1091" s="20"/>
      <c r="F1091" s="9"/>
      <c r="G1091" s="22">
        <f>Source!AL809</f>
        <v>0.63</v>
      </c>
      <c r="H1091" s="21" t="str">
        <f>Source!DD809</f>
        <v/>
      </c>
      <c r="I1091" s="9">
        <f>Source!AW809</f>
        <v>1</v>
      </c>
      <c r="J1091" s="9">
        <f>IF(Source!BC809&lt;&gt; 0, Source!BC809, 1)</f>
        <v>1</v>
      </c>
      <c r="K1091" s="22">
        <f>Source!P809</f>
        <v>114.66</v>
      </c>
      <c r="L1091" s="22"/>
    </row>
    <row r="1092" spans="1:22" ht="14.25" x14ac:dyDescent="0.2">
      <c r="A1092" s="19"/>
      <c r="B1092" s="19"/>
      <c r="C1092" s="19"/>
      <c r="D1092" s="19" t="s">
        <v>828</v>
      </c>
      <c r="E1092" s="20" t="s">
        <v>829</v>
      </c>
      <c r="F1092" s="9">
        <f>Source!AT809</f>
        <v>70</v>
      </c>
      <c r="G1092" s="22"/>
      <c r="H1092" s="21"/>
      <c r="I1092" s="9"/>
      <c r="J1092" s="9"/>
      <c r="K1092" s="22">
        <f>SUM(R1088:R1091)</f>
        <v>21486.01</v>
      </c>
      <c r="L1092" s="22"/>
    </row>
    <row r="1093" spans="1:22" ht="14.25" x14ac:dyDescent="0.2">
      <c r="A1093" s="19"/>
      <c r="B1093" s="19"/>
      <c r="C1093" s="19"/>
      <c r="D1093" s="19" t="s">
        <v>830</v>
      </c>
      <c r="E1093" s="20" t="s">
        <v>829</v>
      </c>
      <c r="F1093" s="9">
        <f>Source!AU809</f>
        <v>10</v>
      </c>
      <c r="G1093" s="22"/>
      <c r="H1093" s="21"/>
      <c r="I1093" s="9"/>
      <c r="J1093" s="9"/>
      <c r="K1093" s="22">
        <f>SUM(T1088:T1092)</f>
        <v>3069.43</v>
      </c>
      <c r="L1093" s="22"/>
    </row>
    <row r="1094" spans="1:22" ht="14.25" x14ac:dyDescent="0.2">
      <c r="A1094" s="19"/>
      <c r="B1094" s="19"/>
      <c r="C1094" s="19"/>
      <c r="D1094" s="19" t="s">
        <v>832</v>
      </c>
      <c r="E1094" s="20" t="s">
        <v>833</v>
      </c>
      <c r="F1094" s="9">
        <f>Source!AQ809</f>
        <v>0.3</v>
      </c>
      <c r="G1094" s="22"/>
      <c r="H1094" s="21" t="str">
        <f>Source!DI809</f>
        <v/>
      </c>
      <c r="I1094" s="9">
        <f>Source!AV809</f>
        <v>1</v>
      </c>
      <c r="J1094" s="9"/>
      <c r="K1094" s="22"/>
      <c r="L1094" s="22">
        <f>Source!U809</f>
        <v>54.6</v>
      </c>
    </row>
    <row r="1095" spans="1:22" ht="15" x14ac:dyDescent="0.25">
      <c r="A1095" s="27"/>
      <c r="B1095" s="27"/>
      <c r="C1095" s="27"/>
      <c r="D1095" s="27"/>
      <c r="E1095" s="27"/>
      <c r="F1095" s="27"/>
      <c r="G1095" s="27"/>
      <c r="H1095" s="27"/>
      <c r="I1095" s="27"/>
      <c r="J1095" s="60">
        <f>K1090+K1091+K1092+K1093</f>
        <v>55364.4</v>
      </c>
      <c r="K1095" s="60"/>
      <c r="L1095" s="28">
        <f>IF(Source!I809&lt;&gt;0, ROUND(J1095/Source!I809, 2), 0)</f>
        <v>304.2</v>
      </c>
      <c r="P1095" s="25">
        <f>J1095</f>
        <v>55364.4</v>
      </c>
    </row>
    <row r="1096" spans="1:22" ht="99.75" x14ac:dyDescent="0.2">
      <c r="A1096" s="19">
        <v>107</v>
      </c>
      <c r="B1096" s="19">
        <v>107</v>
      </c>
      <c r="C1096" s="19" t="str">
        <f>Source!F810</f>
        <v>1.20-2103-25-1/1</v>
      </c>
      <c r="D1096" s="19" t="str">
        <f>Source!G810</f>
        <v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</v>
      </c>
      <c r="E1096" s="20" t="str">
        <f>Source!H810</f>
        <v>шт.</v>
      </c>
      <c r="F1096" s="9">
        <f>Source!I810</f>
        <v>64</v>
      </c>
      <c r="G1096" s="22"/>
      <c r="H1096" s="21"/>
      <c r="I1096" s="9"/>
      <c r="J1096" s="9"/>
      <c r="K1096" s="22"/>
      <c r="L1096" s="22"/>
      <c r="Q1096">
        <f>ROUND((Source!BZ810/100)*ROUND((Source!AF810*Source!AV810)*Source!I810, 2), 2)</f>
        <v>4533.3100000000004</v>
      </c>
      <c r="R1096">
        <f>Source!X810</f>
        <v>4533.3100000000004</v>
      </c>
      <c r="S1096">
        <f>ROUND((Source!CA810/100)*ROUND((Source!AF810*Source!AV810)*Source!I810, 2), 2)</f>
        <v>647.62</v>
      </c>
      <c r="T1096">
        <f>Source!Y810</f>
        <v>647.62</v>
      </c>
      <c r="U1096">
        <f>ROUND((175/100)*ROUND((Source!AE810*Source!AV810)*Source!I810, 2), 2)</f>
        <v>0</v>
      </c>
      <c r="V1096">
        <f>ROUND((108/100)*ROUND(Source!CS810*Source!I810, 2), 2)</f>
        <v>0</v>
      </c>
    </row>
    <row r="1097" spans="1:22" x14ac:dyDescent="0.2">
      <c r="D1097" s="23" t="str">
        <f>"Объем: "&amp;Source!I810&amp;"=34+"&amp;"9+"&amp;"17+"&amp;"4"</f>
        <v>Объем: 64=34+9+17+4</v>
      </c>
    </row>
    <row r="1098" spans="1:22" ht="14.25" x14ac:dyDescent="0.2">
      <c r="A1098" s="19"/>
      <c r="B1098" s="19"/>
      <c r="C1098" s="19"/>
      <c r="D1098" s="19" t="s">
        <v>825</v>
      </c>
      <c r="E1098" s="20"/>
      <c r="F1098" s="9"/>
      <c r="G1098" s="22">
        <f>Source!AO810</f>
        <v>101.19</v>
      </c>
      <c r="H1098" s="21" t="str">
        <f>Source!DG810</f>
        <v/>
      </c>
      <c r="I1098" s="9">
        <f>Source!AV810</f>
        <v>1</v>
      </c>
      <c r="J1098" s="9">
        <f>IF(Source!BA810&lt;&gt; 0, Source!BA810, 1)</f>
        <v>1</v>
      </c>
      <c r="K1098" s="22">
        <f>Source!S810</f>
        <v>6476.16</v>
      </c>
      <c r="L1098" s="22"/>
    </row>
    <row r="1099" spans="1:22" ht="14.25" x14ac:dyDescent="0.2">
      <c r="A1099" s="19"/>
      <c r="B1099" s="19"/>
      <c r="C1099" s="19"/>
      <c r="D1099" s="19" t="s">
        <v>834</v>
      </c>
      <c r="E1099" s="20"/>
      <c r="F1099" s="9"/>
      <c r="G1099" s="22">
        <f>Source!AL810</f>
        <v>1.26</v>
      </c>
      <c r="H1099" s="21" t="str">
        <f>Source!DD810</f>
        <v/>
      </c>
      <c r="I1099" s="9">
        <f>Source!AW810</f>
        <v>1</v>
      </c>
      <c r="J1099" s="9">
        <f>IF(Source!BC810&lt;&gt; 0, Source!BC810, 1)</f>
        <v>1</v>
      </c>
      <c r="K1099" s="22">
        <f>Source!P810</f>
        <v>80.64</v>
      </c>
      <c r="L1099" s="22"/>
    </row>
    <row r="1100" spans="1:22" ht="14.25" x14ac:dyDescent="0.2">
      <c r="A1100" s="19"/>
      <c r="B1100" s="19"/>
      <c r="C1100" s="19"/>
      <c r="D1100" s="19" t="s">
        <v>828</v>
      </c>
      <c r="E1100" s="20" t="s">
        <v>829</v>
      </c>
      <c r="F1100" s="9">
        <f>Source!AT810</f>
        <v>70</v>
      </c>
      <c r="G1100" s="22"/>
      <c r="H1100" s="21"/>
      <c r="I1100" s="9"/>
      <c r="J1100" s="9"/>
      <c r="K1100" s="22">
        <f>SUM(R1096:R1099)</f>
        <v>4533.3100000000004</v>
      </c>
      <c r="L1100" s="22"/>
    </row>
    <row r="1101" spans="1:22" ht="14.25" x14ac:dyDescent="0.2">
      <c r="A1101" s="19"/>
      <c r="B1101" s="19"/>
      <c r="C1101" s="19"/>
      <c r="D1101" s="19" t="s">
        <v>830</v>
      </c>
      <c r="E1101" s="20" t="s">
        <v>829</v>
      </c>
      <c r="F1101" s="9">
        <f>Source!AU810</f>
        <v>10</v>
      </c>
      <c r="G1101" s="22"/>
      <c r="H1101" s="21"/>
      <c r="I1101" s="9"/>
      <c r="J1101" s="9"/>
      <c r="K1101" s="22">
        <f>SUM(T1096:T1100)</f>
        <v>647.62</v>
      </c>
      <c r="L1101" s="22"/>
    </row>
    <row r="1102" spans="1:22" ht="14.25" x14ac:dyDescent="0.2">
      <c r="A1102" s="19"/>
      <c r="B1102" s="19"/>
      <c r="C1102" s="19"/>
      <c r="D1102" s="19" t="s">
        <v>832</v>
      </c>
      <c r="E1102" s="20" t="s">
        <v>833</v>
      </c>
      <c r="F1102" s="9">
        <f>Source!AQ810</f>
        <v>0.18</v>
      </c>
      <c r="G1102" s="22"/>
      <c r="H1102" s="21" t="str">
        <f>Source!DI810</f>
        <v/>
      </c>
      <c r="I1102" s="9">
        <f>Source!AV810</f>
        <v>1</v>
      </c>
      <c r="J1102" s="9"/>
      <c r="K1102" s="22"/>
      <c r="L1102" s="22">
        <f>Source!U810</f>
        <v>11.52</v>
      </c>
    </row>
    <row r="1103" spans="1:22" ht="15" x14ac:dyDescent="0.25">
      <c r="A1103" s="27"/>
      <c r="B1103" s="27"/>
      <c r="C1103" s="27"/>
      <c r="D1103" s="27"/>
      <c r="E1103" s="27"/>
      <c r="F1103" s="27"/>
      <c r="G1103" s="27"/>
      <c r="H1103" s="27"/>
      <c r="I1103" s="27"/>
      <c r="J1103" s="60">
        <f>K1098+K1099+K1100+K1101</f>
        <v>11737.730000000001</v>
      </c>
      <c r="K1103" s="60"/>
      <c r="L1103" s="28">
        <f>IF(Source!I810&lt;&gt;0, ROUND(J1103/Source!I810, 2), 0)</f>
        <v>183.4</v>
      </c>
      <c r="P1103" s="25">
        <f>J1103</f>
        <v>11737.730000000001</v>
      </c>
    </row>
    <row r="1104" spans="1:22" ht="57" x14ac:dyDescent="0.2">
      <c r="A1104" s="19">
        <v>108</v>
      </c>
      <c r="B1104" s="19">
        <v>108</v>
      </c>
      <c r="C1104" s="19" t="str">
        <f>Source!F812</f>
        <v>1.21-2103-9-2/1</v>
      </c>
      <c r="D1104" s="19" t="str">
        <f>Source!G812</f>
        <v>Техническое обслуживание силовых сетей, проложенных по кирпичным и бетонным основаниям, провод сечением 3х1,5-6 мм2</v>
      </c>
      <c r="E1104" s="20" t="str">
        <f>Source!H812</f>
        <v>100 м</v>
      </c>
      <c r="F1104" s="9">
        <f>Source!I812</f>
        <v>0.432</v>
      </c>
      <c r="G1104" s="22"/>
      <c r="H1104" s="21"/>
      <c r="I1104" s="9"/>
      <c r="J1104" s="9"/>
      <c r="K1104" s="22"/>
      <c r="L1104" s="22"/>
      <c r="Q1104">
        <f>ROUND((Source!BZ812/100)*ROUND((Source!AF812*Source!AV812)*Source!I812, 2), 2)</f>
        <v>1618.79</v>
      </c>
      <c r="R1104">
        <f>Source!X812</f>
        <v>1618.79</v>
      </c>
      <c r="S1104">
        <f>ROUND((Source!CA812/100)*ROUND((Source!AF812*Source!AV812)*Source!I812, 2), 2)</f>
        <v>231.26</v>
      </c>
      <c r="T1104">
        <f>Source!Y812</f>
        <v>231.26</v>
      </c>
      <c r="U1104">
        <f>ROUND((175/100)*ROUND((Source!AE812*Source!AV812)*Source!I812, 2), 2)</f>
        <v>0</v>
      </c>
      <c r="V1104">
        <f>ROUND((108/100)*ROUND(Source!CS812*Source!I812, 2), 2)</f>
        <v>0</v>
      </c>
    </row>
    <row r="1105" spans="1:22" x14ac:dyDescent="0.2">
      <c r="D1105" s="23" t="str">
        <f>"Объем: "&amp;Source!I812&amp;"=(2160)*"&amp;"0,2*"&amp;"0,1/"&amp;"100"</f>
        <v>Объем: 0,432=(2160)*0,2*0,1/100</v>
      </c>
    </row>
    <row r="1106" spans="1:22" ht="14.25" x14ac:dyDescent="0.2">
      <c r="A1106" s="19"/>
      <c r="B1106" s="19"/>
      <c r="C1106" s="19"/>
      <c r="D1106" s="19" t="s">
        <v>825</v>
      </c>
      <c r="E1106" s="20"/>
      <c r="F1106" s="9"/>
      <c r="G1106" s="22">
        <f>Source!AO812</f>
        <v>5353.15</v>
      </c>
      <c r="H1106" s="21" t="str">
        <f>Source!DG812</f>
        <v/>
      </c>
      <c r="I1106" s="9">
        <f>Source!AV812</f>
        <v>1</v>
      </c>
      <c r="J1106" s="9">
        <f>IF(Source!BA812&lt;&gt; 0, Source!BA812, 1)</f>
        <v>1</v>
      </c>
      <c r="K1106" s="22">
        <f>Source!S812</f>
        <v>2312.56</v>
      </c>
      <c r="L1106" s="22"/>
    </row>
    <row r="1107" spans="1:22" ht="14.25" x14ac:dyDescent="0.2">
      <c r="A1107" s="19"/>
      <c r="B1107" s="19"/>
      <c r="C1107" s="19"/>
      <c r="D1107" s="19" t="s">
        <v>834</v>
      </c>
      <c r="E1107" s="20"/>
      <c r="F1107" s="9"/>
      <c r="G1107" s="22">
        <f>Source!AL812</f>
        <v>22.51</v>
      </c>
      <c r="H1107" s="21" t="str">
        <f>Source!DD812</f>
        <v/>
      </c>
      <c r="I1107" s="9">
        <f>Source!AW812</f>
        <v>1</v>
      </c>
      <c r="J1107" s="9">
        <f>IF(Source!BC812&lt;&gt; 0, Source!BC812, 1)</f>
        <v>1</v>
      </c>
      <c r="K1107" s="22">
        <f>Source!P812</f>
        <v>9.7200000000000006</v>
      </c>
      <c r="L1107" s="22"/>
    </row>
    <row r="1108" spans="1:22" ht="14.25" x14ac:dyDescent="0.2">
      <c r="A1108" s="19"/>
      <c r="B1108" s="19"/>
      <c r="C1108" s="19"/>
      <c r="D1108" s="19" t="s">
        <v>828</v>
      </c>
      <c r="E1108" s="20" t="s">
        <v>829</v>
      </c>
      <c r="F1108" s="9">
        <f>Source!AT812</f>
        <v>70</v>
      </c>
      <c r="G1108" s="22"/>
      <c r="H1108" s="21"/>
      <c r="I1108" s="9"/>
      <c r="J1108" s="9"/>
      <c r="K1108" s="22">
        <f>SUM(R1104:R1107)</f>
        <v>1618.79</v>
      </c>
      <c r="L1108" s="22"/>
    </row>
    <row r="1109" spans="1:22" ht="14.25" x14ac:dyDescent="0.2">
      <c r="A1109" s="19"/>
      <c r="B1109" s="19"/>
      <c r="C1109" s="19"/>
      <c r="D1109" s="19" t="s">
        <v>830</v>
      </c>
      <c r="E1109" s="20" t="s">
        <v>829</v>
      </c>
      <c r="F1109" s="9">
        <f>Source!AU812</f>
        <v>10</v>
      </c>
      <c r="G1109" s="22"/>
      <c r="H1109" s="21"/>
      <c r="I1109" s="9"/>
      <c r="J1109" s="9"/>
      <c r="K1109" s="22">
        <f>SUM(T1104:T1108)</f>
        <v>231.26</v>
      </c>
      <c r="L1109" s="22"/>
    </row>
    <row r="1110" spans="1:22" ht="14.25" x14ac:dyDescent="0.2">
      <c r="A1110" s="19"/>
      <c r="B1110" s="19"/>
      <c r="C1110" s="19"/>
      <c r="D1110" s="19" t="s">
        <v>832</v>
      </c>
      <c r="E1110" s="20" t="s">
        <v>833</v>
      </c>
      <c r="F1110" s="9">
        <f>Source!AQ812</f>
        <v>10</v>
      </c>
      <c r="G1110" s="22"/>
      <c r="H1110" s="21" t="str">
        <f>Source!DI812</f>
        <v/>
      </c>
      <c r="I1110" s="9">
        <f>Source!AV812</f>
        <v>1</v>
      </c>
      <c r="J1110" s="9"/>
      <c r="K1110" s="22"/>
      <c r="L1110" s="22">
        <f>Source!U812</f>
        <v>4.32</v>
      </c>
    </row>
    <row r="1111" spans="1:22" ht="15" x14ac:dyDescent="0.25">
      <c r="A1111" s="27"/>
      <c r="B1111" s="27"/>
      <c r="C1111" s="27"/>
      <c r="D1111" s="27"/>
      <c r="E1111" s="27"/>
      <c r="F1111" s="27"/>
      <c r="G1111" s="27"/>
      <c r="H1111" s="27"/>
      <c r="I1111" s="27"/>
      <c r="J1111" s="60">
        <f>K1106+K1107+K1108+K1109</f>
        <v>4172.33</v>
      </c>
      <c r="K1111" s="60"/>
      <c r="L1111" s="28">
        <f>IF(Source!I812&lt;&gt;0, ROUND(J1111/Source!I812, 2), 0)</f>
        <v>9658.17</v>
      </c>
      <c r="P1111" s="25">
        <f>J1111</f>
        <v>4172.33</v>
      </c>
    </row>
    <row r="1113" spans="1:22" ht="15" x14ac:dyDescent="0.25">
      <c r="A1113" s="59" t="str">
        <f>CONCATENATE("Итого по подразделу: ",IF(Source!G816&lt;&gt;"Новый подраздел", Source!G816, ""))</f>
        <v>Итого по подразделу: Архитектурное освещение фасада</v>
      </c>
      <c r="B1113" s="59"/>
      <c r="C1113" s="59"/>
      <c r="D1113" s="59"/>
      <c r="E1113" s="59"/>
      <c r="F1113" s="59"/>
      <c r="G1113" s="59"/>
      <c r="H1113" s="59"/>
      <c r="I1113" s="59"/>
      <c r="J1113" s="57">
        <f>SUM(P1054:P1112)</f>
        <v>112705.79000000001</v>
      </c>
      <c r="K1113" s="58"/>
      <c r="L1113" s="18"/>
    </row>
    <row r="1116" spans="1:22" ht="16.5" x14ac:dyDescent="0.25">
      <c r="A1116" s="55" t="str">
        <f>CONCATENATE("Подраздел: ",IF(Source!G846&lt;&gt;"Новый подраздел", Source!G846, ""))</f>
        <v>Подраздел: Электроснабжение ИТП</v>
      </c>
      <c r="B1116" s="55"/>
      <c r="C1116" s="55"/>
      <c r="D1116" s="55"/>
      <c r="E1116" s="55"/>
      <c r="F1116" s="55"/>
      <c r="G1116" s="55"/>
      <c r="H1116" s="55"/>
      <c r="I1116" s="55"/>
      <c r="J1116" s="55"/>
      <c r="K1116" s="55"/>
      <c r="L1116" s="55"/>
    </row>
    <row r="1118" spans="1:22" ht="15" x14ac:dyDescent="0.25">
      <c r="C1118" s="56" t="str">
        <f>Source!G850</f>
        <v>Корпус  7.2.1, Корпус 7.2.2, Корпус 7.2.3,  Корпус 7.2.4</v>
      </c>
      <c r="D1118" s="56"/>
      <c r="E1118" s="56"/>
      <c r="F1118" s="56"/>
      <c r="G1118" s="56"/>
      <c r="H1118" s="56"/>
      <c r="I1118" s="56"/>
      <c r="J1118" s="56"/>
      <c r="K1118" s="56"/>
    </row>
    <row r="1119" spans="1:22" ht="57" x14ac:dyDescent="0.2">
      <c r="A1119" s="19">
        <v>109</v>
      </c>
      <c r="B1119" s="19">
        <v>109</v>
      </c>
      <c r="C1119" s="19" t="str">
        <f>Source!F851</f>
        <v>1.21-2203-2-4/1</v>
      </c>
      <c r="D1119" s="19" t="str">
        <f>Source!G851</f>
        <v>Техническое обслуживание силового распределительного пункта с установочными автоматами, число групп 10</v>
      </c>
      <c r="E1119" s="20" t="str">
        <f>Source!H851</f>
        <v>шт.</v>
      </c>
      <c r="F1119" s="9">
        <f>Source!I851</f>
        <v>4</v>
      </c>
      <c r="G1119" s="22"/>
      <c r="H1119" s="21"/>
      <c r="I1119" s="9"/>
      <c r="J1119" s="9"/>
      <c r="K1119" s="22"/>
      <c r="L1119" s="22"/>
      <c r="Q1119">
        <f>ROUND((Source!BZ851/100)*ROUND((Source!AF851*Source!AV851)*Source!I851, 2), 2)</f>
        <v>31121.5</v>
      </c>
      <c r="R1119">
        <f>Source!X851</f>
        <v>31121.5</v>
      </c>
      <c r="S1119">
        <f>ROUND((Source!CA851/100)*ROUND((Source!AF851*Source!AV851)*Source!I851, 2), 2)</f>
        <v>4445.93</v>
      </c>
      <c r="T1119">
        <f>Source!Y851</f>
        <v>4445.93</v>
      </c>
      <c r="U1119">
        <f>ROUND((175/100)*ROUND((Source!AE851*Source!AV851)*Source!I851, 2), 2)</f>
        <v>0</v>
      </c>
      <c r="V1119">
        <f>ROUND((108/100)*ROUND(Source!CS851*Source!I851, 2), 2)</f>
        <v>0</v>
      </c>
    </row>
    <row r="1120" spans="1:22" x14ac:dyDescent="0.2">
      <c r="D1120" s="23" t="str">
        <f>"Объем: "&amp;Source!I851&amp;"=1+"&amp;"1+"&amp;"1+"&amp;"1"</f>
        <v>Объем: 4=1+1+1+1</v>
      </c>
    </row>
    <row r="1121" spans="1:22" ht="14.25" x14ac:dyDescent="0.2">
      <c r="A1121" s="19"/>
      <c r="B1121" s="19"/>
      <c r="C1121" s="19"/>
      <c r="D1121" s="19" t="s">
        <v>825</v>
      </c>
      <c r="E1121" s="20"/>
      <c r="F1121" s="9"/>
      <c r="G1121" s="22">
        <f>Source!AO851</f>
        <v>11114.82</v>
      </c>
      <c r="H1121" s="21" t="str">
        <f>Source!DG851</f>
        <v/>
      </c>
      <c r="I1121" s="9">
        <f>Source!AV851</f>
        <v>1</v>
      </c>
      <c r="J1121" s="9">
        <f>IF(Source!BA851&lt;&gt; 0, Source!BA851, 1)</f>
        <v>1</v>
      </c>
      <c r="K1121" s="22">
        <f>Source!S851</f>
        <v>44459.28</v>
      </c>
      <c r="L1121" s="22"/>
    </row>
    <row r="1122" spans="1:22" ht="14.25" x14ac:dyDescent="0.2">
      <c r="A1122" s="19"/>
      <c r="B1122" s="19"/>
      <c r="C1122" s="19"/>
      <c r="D1122" s="19" t="s">
        <v>834</v>
      </c>
      <c r="E1122" s="20"/>
      <c r="F1122" s="9"/>
      <c r="G1122" s="22">
        <f>Source!AL851</f>
        <v>154.13999999999999</v>
      </c>
      <c r="H1122" s="21" t="str">
        <f>Source!DD851</f>
        <v/>
      </c>
      <c r="I1122" s="9">
        <f>Source!AW851</f>
        <v>1</v>
      </c>
      <c r="J1122" s="9">
        <f>IF(Source!BC851&lt;&gt; 0, Source!BC851, 1)</f>
        <v>1</v>
      </c>
      <c r="K1122" s="22">
        <f>Source!P851</f>
        <v>616.55999999999995</v>
      </c>
      <c r="L1122" s="22"/>
    </row>
    <row r="1123" spans="1:22" ht="14.25" x14ac:dyDescent="0.2">
      <c r="A1123" s="19"/>
      <c r="B1123" s="19"/>
      <c r="C1123" s="19"/>
      <c r="D1123" s="19" t="s">
        <v>828</v>
      </c>
      <c r="E1123" s="20" t="s">
        <v>829</v>
      </c>
      <c r="F1123" s="9">
        <f>Source!AT851</f>
        <v>70</v>
      </c>
      <c r="G1123" s="22"/>
      <c r="H1123" s="21"/>
      <c r="I1123" s="9"/>
      <c r="J1123" s="9"/>
      <c r="K1123" s="22">
        <f>SUM(R1119:R1122)</f>
        <v>31121.5</v>
      </c>
      <c r="L1123" s="22"/>
    </row>
    <row r="1124" spans="1:22" ht="14.25" x14ac:dyDescent="0.2">
      <c r="A1124" s="19"/>
      <c r="B1124" s="19"/>
      <c r="C1124" s="19"/>
      <c r="D1124" s="19" t="s">
        <v>830</v>
      </c>
      <c r="E1124" s="20" t="s">
        <v>829</v>
      </c>
      <c r="F1124" s="9">
        <f>Source!AU851</f>
        <v>10</v>
      </c>
      <c r="G1124" s="22"/>
      <c r="H1124" s="21"/>
      <c r="I1124" s="9"/>
      <c r="J1124" s="9"/>
      <c r="K1124" s="22">
        <f>SUM(T1119:T1123)</f>
        <v>4445.93</v>
      </c>
      <c r="L1124" s="22"/>
    </row>
    <row r="1125" spans="1:22" ht="14.25" x14ac:dyDescent="0.2">
      <c r="A1125" s="19"/>
      <c r="B1125" s="19"/>
      <c r="C1125" s="19"/>
      <c r="D1125" s="19" t="s">
        <v>832</v>
      </c>
      <c r="E1125" s="20" t="s">
        <v>833</v>
      </c>
      <c r="F1125" s="9">
        <f>Source!AQ851</f>
        <v>18</v>
      </c>
      <c r="G1125" s="22"/>
      <c r="H1125" s="21" t="str">
        <f>Source!DI851</f>
        <v/>
      </c>
      <c r="I1125" s="9">
        <f>Source!AV851</f>
        <v>1</v>
      </c>
      <c r="J1125" s="9"/>
      <c r="K1125" s="22"/>
      <c r="L1125" s="22">
        <f>Source!U851</f>
        <v>72</v>
      </c>
    </row>
    <row r="1126" spans="1:22" ht="15" x14ac:dyDescent="0.25">
      <c r="A1126" s="27"/>
      <c r="B1126" s="27"/>
      <c r="C1126" s="27"/>
      <c r="D1126" s="27"/>
      <c r="E1126" s="27"/>
      <c r="F1126" s="27"/>
      <c r="G1126" s="27"/>
      <c r="H1126" s="27"/>
      <c r="I1126" s="27"/>
      <c r="J1126" s="60">
        <f>K1121+K1122+K1123+K1124</f>
        <v>80643.26999999999</v>
      </c>
      <c r="K1126" s="60"/>
      <c r="L1126" s="28">
        <f>IF(Source!I851&lt;&gt;0, ROUND(J1126/Source!I851, 2), 0)</f>
        <v>20160.82</v>
      </c>
      <c r="P1126" s="25">
        <f>J1126</f>
        <v>80643.26999999999</v>
      </c>
    </row>
    <row r="1127" spans="1:22" ht="42.75" x14ac:dyDescent="0.2">
      <c r="A1127" s="19">
        <v>110</v>
      </c>
      <c r="B1127" s="19">
        <v>110</v>
      </c>
      <c r="C1127" s="19" t="str">
        <f>Source!F853</f>
        <v>1.23-2203-3-1/1</v>
      </c>
      <c r="D1127" s="19" t="str">
        <f>Source!G853</f>
        <v>Техническое обслуживание светосигнальной арматуры с лампой накаливания, светодиодом</v>
      </c>
      <c r="E1127" s="20" t="str">
        <f>Source!H853</f>
        <v>10 шт.</v>
      </c>
      <c r="F1127" s="9">
        <f>Source!I853</f>
        <v>0.4</v>
      </c>
      <c r="G1127" s="22"/>
      <c r="H1127" s="21"/>
      <c r="I1127" s="9"/>
      <c r="J1127" s="9"/>
      <c r="K1127" s="22"/>
      <c r="L1127" s="22"/>
      <c r="Q1127">
        <f>ROUND((Source!BZ853/100)*ROUND((Source!AF853*Source!AV853)*Source!I853, 2), 2)</f>
        <v>476.89</v>
      </c>
      <c r="R1127">
        <f>Source!X853</f>
        <v>476.89</v>
      </c>
      <c r="S1127">
        <f>ROUND((Source!CA853/100)*ROUND((Source!AF853*Source!AV853)*Source!I853, 2), 2)</f>
        <v>68.13</v>
      </c>
      <c r="T1127">
        <f>Source!Y853</f>
        <v>68.13</v>
      </c>
      <c r="U1127">
        <f>ROUND((175/100)*ROUND((Source!AE853*Source!AV853)*Source!I853, 2), 2)</f>
        <v>0</v>
      </c>
      <c r="V1127">
        <f>ROUND((108/100)*ROUND(Source!CS853*Source!I853, 2), 2)</f>
        <v>0</v>
      </c>
    </row>
    <row r="1128" spans="1:22" x14ac:dyDescent="0.2">
      <c r="D1128" s="23" t="str">
        <f>"Объем: "&amp;Source!I853&amp;"=(1+"&amp;"1+"&amp;"1+"&amp;"1)/"&amp;"10"</f>
        <v>Объем: 0,4=(1+1+1+1)/10</v>
      </c>
    </row>
    <row r="1129" spans="1:22" ht="14.25" x14ac:dyDescent="0.2">
      <c r="A1129" s="19"/>
      <c r="B1129" s="19"/>
      <c r="C1129" s="19"/>
      <c r="D1129" s="19" t="s">
        <v>825</v>
      </c>
      <c r="E1129" s="20"/>
      <c r="F1129" s="9"/>
      <c r="G1129" s="22">
        <f>Source!AO853</f>
        <v>1703.18</v>
      </c>
      <c r="H1129" s="21" t="str">
        <f>Source!DG853</f>
        <v/>
      </c>
      <c r="I1129" s="9">
        <f>Source!AV853</f>
        <v>1</v>
      </c>
      <c r="J1129" s="9">
        <f>IF(Source!BA853&lt;&gt; 0, Source!BA853, 1)</f>
        <v>1</v>
      </c>
      <c r="K1129" s="22">
        <f>Source!S853</f>
        <v>681.27</v>
      </c>
      <c r="L1129" s="22"/>
    </row>
    <row r="1130" spans="1:22" ht="14.25" x14ac:dyDescent="0.2">
      <c r="A1130" s="19"/>
      <c r="B1130" s="19"/>
      <c r="C1130" s="19"/>
      <c r="D1130" s="19" t="s">
        <v>834</v>
      </c>
      <c r="E1130" s="20"/>
      <c r="F1130" s="9"/>
      <c r="G1130" s="22">
        <f>Source!AL853</f>
        <v>80.67</v>
      </c>
      <c r="H1130" s="21" t="str">
        <f>Source!DD853</f>
        <v/>
      </c>
      <c r="I1130" s="9">
        <f>Source!AW853</f>
        <v>1</v>
      </c>
      <c r="J1130" s="9">
        <f>IF(Source!BC853&lt;&gt; 0, Source!BC853, 1)</f>
        <v>1</v>
      </c>
      <c r="K1130" s="22">
        <f>Source!P853</f>
        <v>32.270000000000003</v>
      </c>
      <c r="L1130" s="22"/>
    </row>
    <row r="1131" spans="1:22" ht="14.25" x14ac:dyDescent="0.2">
      <c r="A1131" s="19"/>
      <c r="B1131" s="19"/>
      <c r="C1131" s="19"/>
      <c r="D1131" s="19" t="s">
        <v>828</v>
      </c>
      <c r="E1131" s="20" t="s">
        <v>829</v>
      </c>
      <c r="F1131" s="9">
        <f>Source!AT853</f>
        <v>70</v>
      </c>
      <c r="G1131" s="22"/>
      <c r="H1131" s="21"/>
      <c r="I1131" s="9"/>
      <c r="J1131" s="9"/>
      <c r="K1131" s="22">
        <f>SUM(R1127:R1130)</f>
        <v>476.89</v>
      </c>
      <c r="L1131" s="22"/>
    </row>
    <row r="1132" spans="1:22" ht="14.25" x14ac:dyDescent="0.2">
      <c r="A1132" s="19"/>
      <c r="B1132" s="19"/>
      <c r="C1132" s="19"/>
      <c r="D1132" s="19" t="s">
        <v>830</v>
      </c>
      <c r="E1132" s="20" t="s">
        <v>829</v>
      </c>
      <c r="F1132" s="9">
        <f>Source!AU853</f>
        <v>10</v>
      </c>
      <c r="G1132" s="22"/>
      <c r="H1132" s="21"/>
      <c r="I1132" s="9"/>
      <c r="J1132" s="9"/>
      <c r="K1132" s="22">
        <f>SUM(T1127:T1131)</f>
        <v>68.13</v>
      </c>
      <c r="L1132" s="22"/>
    </row>
    <row r="1133" spans="1:22" ht="14.25" x14ac:dyDescent="0.2">
      <c r="A1133" s="19"/>
      <c r="B1133" s="19"/>
      <c r="C1133" s="19"/>
      <c r="D1133" s="19" t="s">
        <v>832</v>
      </c>
      <c r="E1133" s="20" t="s">
        <v>833</v>
      </c>
      <c r="F1133" s="9">
        <f>Source!AQ853</f>
        <v>2.4</v>
      </c>
      <c r="G1133" s="22"/>
      <c r="H1133" s="21" t="str">
        <f>Source!DI853</f>
        <v/>
      </c>
      <c r="I1133" s="9">
        <f>Source!AV853</f>
        <v>1</v>
      </c>
      <c r="J1133" s="9"/>
      <c r="K1133" s="22"/>
      <c r="L1133" s="22">
        <f>Source!U853</f>
        <v>0.96</v>
      </c>
    </row>
    <row r="1134" spans="1:22" ht="15" x14ac:dyDescent="0.25">
      <c r="A1134" s="27"/>
      <c r="B1134" s="27"/>
      <c r="C1134" s="27"/>
      <c r="D1134" s="27"/>
      <c r="E1134" s="27"/>
      <c r="F1134" s="27"/>
      <c r="G1134" s="27"/>
      <c r="H1134" s="27"/>
      <c r="I1134" s="27"/>
      <c r="J1134" s="60">
        <f>K1129+K1130+K1131+K1132</f>
        <v>1258.56</v>
      </c>
      <c r="K1134" s="60"/>
      <c r="L1134" s="28">
        <f>IF(Source!I853&lt;&gt;0, ROUND(J1134/Source!I853, 2), 0)</f>
        <v>3146.4</v>
      </c>
      <c r="P1134" s="25">
        <f>J1134</f>
        <v>1258.56</v>
      </c>
    </row>
    <row r="1135" spans="1:22" ht="28.5" x14ac:dyDescent="0.2">
      <c r="A1135" s="19">
        <v>111</v>
      </c>
      <c r="B1135" s="19">
        <v>111</v>
      </c>
      <c r="C1135" s="19" t="str">
        <f>Source!F854</f>
        <v>1.23-2103-4-1/1</v>
      </c>
      <c r="D1135" s="19" t="str">
        <f>Source!G854</f>
        <v>Техническое обслуживание реле напряжения, реле промежуточного</v>
      </c>
      <c r="E1135" s="20" t="str">
        <f>Source!H854</f>
        <v>шт.</v>
      </c>
      <c r="F1135" s="9">
        <f>Source!I854</f>
        <v>4</v>
      </c>
      <c r="G1135" s="22"/>
      <c r="H1135" s="21"/>
      <c r="I1135" s="9"/>
      <c r="J1135" s="9"/>
      <c r="K1135" s="22"/>
      <c r="L1135" s="22"/>
      <c r="Q1135">
        <f>ROUND((Source!BZ854/100)*ROUND((Source!AF854*Source!AV854)*Source!I854, 2), 2)</f>
        <v>1037.3699999999999</v>
      </c>
      <c r="R1135">
        <f>Source!X854</f>
        <v>1037.3699999999999</v>
      </c>
      <c r="S1135">
        <f>ROUND((Source!CA854/100)*ROUND((Source!AF854*Source!AV854)*Source!I854, 2), 2)</f>
        <v>148.19999999999999</v>
      </c>
      <c r="T1135">
        <f>Source!Y854</f>
        <v>148.19999999999999</v>
      </c>
      <c r="U1135">
        <f>ROUND((175/100)*ROUND((Source!AE854*Source!AV854)*Source!I854, 2), 2)</f>
        <v>0</v>
      </c>
      <c r="V1135">
        <f>ROUND((108/100)*ROUND(Source!CS854*Source!I854, 2), 2)</f>
        <v>0</v>
      </c>
    </row>
    <row r="1136" spans="1:22" x14ac:dyDescent="0.2">
      <c r="D1136" s="23" t="str">
        <f>"Объем: "&amp;Source!I854&amp;"=1+"&amp;"1+"&amp;"1+"&amp;"1"</f>
        <v>Объем: 4=1+1+1+1</v>
      </c>
    </row>
    <row r="1137" spans="1:22" ht="14.25" x14ac:dyDescent="0.2">
      <c r="A1137" s="19"/>
      <c r="B1137" s="19"/>
      <c r="C1137" s="19"/>
      <c r="D1137" s="19" t="s">
        <v>825</v>
      </c>
      <c r="E1137" s="20"/>
      <c r="F1137" s="9"/>
      <c r="G1137" s="22">
        <f>Source!AO854</f>
        <v>370.49</v>
      </c>
      <c r="H1137" s="21" t="str">
        <f>Source!DG854</f>
        <v/>
      </c>
      <c r="I1137" s="9">
        <f>Source!AV854</f>
        <v>1</v>
      </c>
      <c r="J1137" s="9">
        <f>IF(Source!BA854&lt;&gt; 0, Source!BA854, 1)</f>
        <v>1</v>
      </c>
      <c r="K1137" s="22">
        <f>Source!S854</f>
        <v>1481.96</v>
      </c>
      <c r="L1137" s="22"/>
    </row>
    <row r="1138" spans="1:22" ht="14.25" x14ac:dyDescent="0.2">
      <c r="A1138" s="19"/>
      <c r="B1138" s="19"/>
      <c r="C1138" s="19"/>
      <c r="D1138" s="19" t="s">
        <v>834</v>
      </c>
      <c r="E1138" s="20"/>
      <c r="F1138" s="9"/>
      <c r="G1138" s="22">
        <f>Source!AL854</f>
        <v>0.87</v>
      </c>
      <c r="H1138" s="21" t="str">
        <f>Source!DD854</f>
        <v/>
      </c>
      <c r="I1138" s="9">
        <f>Source!AW854</f>
        <v>1</v>
      </c>
      <c r="J1138" s="9">
        <f>IF(Source!BC854&lt;&gt; 0, Source!BC854, 1)</f>
        <v>1</v>
      </c>
      <c r="K1138" s="22">
        <f>Source!P854</f>
        <v>3.48</v>
      </c>
      <c r="L1138" s="22"/>
    </row>
    <row r="1139" spans="1:22" ht="14.25" x14ac:dyDescent="0.2">
      <c r="A1139" s="19"/>
      <c r="B1139" s="19"/>
      <c r="C1139" s="19"/>
      <c r="D1139" s="19" t="s">
        <v>828</v>
      </c>
      <c r="E1139" s="20" t="s">
        <v>829</v>
      </c>
      <c r="F1139" s="9">
        <f>Source!AT854</f>
        <v>70</v>
      </c>
      <c r="G1139" s="22"/>
      <c r="H1139" s="21"/>
      <c r="I1139" s="9"/>
      <c r="J1139" s="9"/>
      <c r="K1139" s="22">
        <f>SUM(R1135:R1138)</f>
        <v>1037.3699999999999</v>
      </c>
      <c r="L1139" s="22"/>
    </row>
    <row r="1140" spans="1:22" ht="14.25" x14ac:dyDescent="0.2">
      <c r="A1140" s="19"/>
      <c r="B1140" s="19"/>
      <c r="C1140" s="19"/>
      <c r="D1140" s="19" t="s">
        <v>830</v>
      </c>
      <c r="E1140" s="20" t="s">
        <v>829</v>
      </c>
      <c r="F1140" s="9">
        <f>Source!AU854</f>
        <v>10</v>
      </c>
      <c r="G1140" s="22"/>
      <c r="H1140" s="21"/>
      <c r="I1140" s="9"/>
      <c r="J1140" s="9"/>
      <c r="K1140" s="22">
        <f>SUM(T1135:T1139)</f>
        <v>148.19999999999999</v>
      </c>
      <c r="L1140" s="22"/>
    </row>
    <row r="1141" spans="1:22" ht="14.25" x14ac:dyDescent="0.2">
      <c r="A1141" s="19"/>
      <c r="B1141" s="19"/>
      <c r="C1141" s="19"/>
      <c r="D1141" s="19" t="s">
        <v>832</v>
      </c>
      <c r="E1141" s="20" t="s">
        <v>833</v>
      </c>
      <c r="F1141" s="9">
        <f>Source!AQ854</f>
        <v>0.6</v>
      </c>
      <c r="G1141" s="22"/>
      <c r="H1141" s="21" t="str">
        <f>Source!DI854</f>
        <v/>
      </c>
      <c r="I1141" s="9">
        <f>Source!AV854</f>
        <v>1</v>
      </c>
      <c r="J1141" s="9"/>
      <c r="K1141" s="22"/>
      <c r="L1141" s="22">
        <f>Source!U854</f>
        <v>2.4</v>
      </c>
    </row>
    <row r="1142" spans="1:22" ht="15" x14ac:dyDescent="0.25">
      <c r="A1142" s="27"/>
      <c r="B1142" s="27"/>
      <c r="C1142" s="27"/>
      <c r="D1142" s="27"/>
      <c r="E1142" s="27"/>
      <c r="F1142" s="27"/>
      <c r="G1142" s="27"/>
      <c r="H1142" s="27"/>
      <c r="I1142" s="27"/>
      <c r="J1142" s="60">
        <f>K1137+K1138+K1139+K1140</f>
        <v>2671.0099999999998</v>
      </c>
      <c r="K1142" s="60"/>
      <c r="L1142" s="28">
        <f>IF(Source!I854&lt;&gt;0, ROUND(J1142/Source!I854, 2), 0)</f>
        <v>667.75</v>
      </c>
      <c r="P1142" s="25">
        <f>J1142</f>
        <v>2671.0099999999998</v>
      </c>
    </row>
    <row r="1143" spans="1:22" ht="42.75" x14ac:dyDescent="0.2">
      <c r="A1143" s="19">
        <v>112</v>
      </c>
      <c r="B1143" s="19">
        <v>112</v>
      </c>
      <c r="C1143" s="19" t="str">
        <f>Source!F856</f>
        <v>1.21-2203-17-1/1</v>
      </c>
      <c r="D1143" s="19" t="str">
        <f>Source!G856</f>
        <v>Техническое обслуживание ящика с понижающим трансформатором типа ЯТП  / ЯРП-100-54</v>
      </c>
      <c r="E1143" s="20" t="str">
        <f>Source!H856</f>
        <v>шт.</v>
      </c>
      <c r="F1143" s="9">
        <f>Source!I856</f>
        <v>4</v>
      </c>
      <c r="G1143" s="22"/>
      <c r="H1143" s="21"/>
      <c r="I1143" s="9"/>
      <c r="J1143" s="9"/>
      <c r="K1143" s="22"/>
      <c r="L1143" s="22"/>
      <c r="Q1143">
        <f>ROUND((Source!BZ856/100)*ROUND((Source!AF856*Source!AV856)*Source!I856, 2), 2)</f>
        <v>822.08</v>
      </c>
      <c r="R1143">
        <f>Source!X856</f>
        <v>822.08</v>
      </c>
      <c r="S1143">
        <f>ROUND((Source!CA856/100)*ROUND((Source!AF856*Source!AV856)*Source!I856, 2), 2)</f>
        <v>117.44</v>
      </c>
      <c r="T1143">
        <f>Source!Y856</f>
        <v>117.44</v>
      </c>
      <c r="U1143">
        <f>ROUND((175/100)*ROUND((Source!AE856*Source!AV856)*Source!I856, 2), 2)</f>
        <v>231.35</v>
      </c>
      <c r="V1143">
        <f>ROUND((108/100)*ROUND(Source!CS856*Source!I856, 2), 2)</f>
        <v>142.78</v>
      </c>
    </row>
    <row r="1144" spans="1:22" x14ac:dyDescent="0.2">
      <c r="D1144" s="23" t="str">
        <f>"Объем: "&amp;Source!I856&amp;"=1+"&amp;"1+"&amp;"1+"&amp;"1"</f>
        <v>Объем: 4=1+1+1+1</v>
      </c>
    </row>
    <row r="1145" spans="1:22" ht="14.25" x14ac:dyDescent="0.2">
      <c r="A1145" s="19"/>
      <c r="B1145" s="19"/>
      <c r="C1145" s="19"/>
      <c r="D1145" s="19" t="s">
        <v>825</v>
      </c>
      <c r="E1145" s="20"/>
      <c r="F1145" s="9"/>
      <c r="G1145" s="22">
        <f>Source!AO856</f>
        <v>293.60000000000002</v>
      </c>
      <c r="H1145" s="21" t="str">
        <f>Source!DG856</f>
        <v/>
      </c>
      <c r="I1145" s="9">
        <f>Source!AV856</f>
        <v>1</v>
      </c>
      <c r="J1145" s="9">
        <f>IF(Source!BA856&lt;&gt; 0, Source!BA856, 1)</f>
        <v>1</v>
      </c>
      <c r="K1145" s="22">
        <f>Source!S856</f>
        <v>1174.4000000000001</v>
      </c>
      <c r="L1145" s="22"/>
    </row>
    <row r="1146" spans="1:22" ht="14.25" x14ac:dyDescent="0.2">
      <c r="A1146" s="19"/>
      <c r="B1146" s="19"/>
      <c r="C1146" s="19"/>
      <c r="D1146" s="19" t="s">
        <v>826</v>
      </c>
      <c r="E1146" s="20"/>
      <c r="F1146" s="9"/>
      <c r="G1146" s="22">
        <f>Source!AM856</f>
        <v>52.12</v>
      </c>
      <c r="H1146" s="21" t="str">
        <f>Source!DE856</f>
        <v/>
      </c>
      <c r="I1146" s="9">
        <f>Source!AV856</f>
        <v>1</v>
      </c>
      <c r="J1146" s="9">
        <f>IF(Source!BB856&lt;&gt; 0, Source!BB856, 1)</f>
        <v>1</v>
      </c>
      <c r="K1146" s="22">
        <f>Source!Q856</f>
        <v>208.48</v>
      </c>
      <c r="L1146" s="22"/>
    </row>
    <row r="1147" spans="1:22" ht="14.25" x14ac:dyDescent="0.2">
      <c r="A1147" s="19"/>
      <c r="B1147" s="19"/>
      <c r="C1147" s="19"/>
      <c r="D1147" s="19" t="s">
        <v>827</v>
      </c>
      <c r="E1147" s="20"/>
      <c r="F1147" s="9"/>
      <c r="G1147" s="22">
        <f>Source!AN856</f>
        <v>33.049999999999997</v>
      </c>
      <c r="H1147" s="21" t="str">
        <f>Source!DF856</f>
        <v/>
      </c>
      <c r="I1147" s="9">
        <f>Source!AV856</f>
        <v>1</v>
      </c>
      <c r="J1147" s="9">
        <f>IF(Source!BS856&lt;&gt; 0, Source!BS856, 1)</f>
        <v>1</v>
      </c>
      <c r="K1147" s="24">
        <f>Source!R856</f>
        <v>132.19999999999999</v>
      </c>
      <c r="L1147" s="22"/>
    </row>
    <row r="1148" spans="1:22" ht="14.25" x14ac:dyDescent="0.2">
      <c r="A1148" s="19"/>
      <c r="B1148" s="19"/>
      <c r="C1148" s="19"/>
      <c r="D1148" s="19" t="s">
        <v>834</v>
      </c>
      <c r="E1148" s="20"/>
      <c r="F1148" s="9"/>
      <c r="G1148" s="22">
        <f>Source!AL856</f>
        <v>0.13</v>
      </c>
      <c r="H1148" s="21" t="str">
        <f>Source!DD856</f>
        <v/>
      </c>
      <c r="I1148" s="9">
        <f>Source!AW856</f>
        <v>1</v>
      </c>
      <c r="J1148" s="9">
        <f>IF(Source!BC856&lt;&gt; 0, Source!BC856, 1)</f>
        <v>1</v>
      </c>
      <c r="K1148" s="22">
        <f>Source!P856</f>
        <v>0.52</v>
      </c>
      <c r="L1148" s="22"/>
    </row>
    <row r="1149" spans="1:22" ht="14.25" x14ac:dyDescent="0.2">
      <c r="A1149" s="19"/>
      <c r="B1149" s="19"/>
      <c r="C1149" s="19"/>
      <c r="D1149" s="19" t="s">
        <v>828</v>
      </c>
      <c r="E1149" s="20" t="s">
        <v>829</v>
      </c>
      <c r="F1149" s="9">
        <f>Source!AT856</f>
        <v>70</v>
      </c>
      <c r="G1149" s="22"/>
      <c r="H1149" s="21"/>
      <c r="I1149" s="9"/>
      <c r="J1149" s="9"/>
      <c r="K1149" s="22">
        <f>SUM(R1143:R1148)</f>
        <v>822.08</v>
      </c>
      <c r="L1149" s="22"/>
    </row>
    <row r="1150" spans="1:22" ht="14.25" x14ac:dyDescent="0.2">
      <c r="A1150" s="19"/>
      <c r="B1150" s="19"/>
      <c r="C1150" s="19"/>
      <c r="D1150" s="19" t="s">
        <v>830</v>
      </c>
      <c r="E1150" s="20" t="s">
        <v>829</v>
      </c>
      <c r="F1150" s="9">
        <f>Source!AU856</f>
        <v>10</v>
      </c>
      <c r="G1150" s="22"/>
      <c r="H1150" s="21"/>
      <c r="I1150" s="9"/>
      <c r="J1150" s="9"/>
      <c r="K1150" s="22">
        <f>SUM(T1143:T1149)</f>
        <v>117.44</v>
      </c>
      <c r="L1150" s="22"/>
    </row>
    <row r="1151" spans="1:22" ht="14.25" x14ac:dyDescent="0.2">
      <c r="A1151" s="19"/>
      <c r="B1151" s="19"/>
      <c r="C1151" s="19"/>
      <c r="D1151" s="19" t="s">
        <v>831</v>
      </c>
      <c r="E1151" s="20" t="s">
        <v>829</v>
      </c>
      <c r="F1151" s="9">
        <f>108</f>
        <v>108</v>
      </c>
      <c r="G1151" s="22"/>
      <c r="H1151" s="21"/>
      <c r="I1151" s="9"/>
      <c r="J1151" s="9"/>
      <c r="K1151" s="22">
        <f>SUM(V1143:V1150)</f>
        <v>142.78</v>
      </c>
      <c r="L1151" s="22"/>
    </row>
    <row r="1152" spans="1:22" ht="14.25" x14ac:dyDescent="0.2">
      <c r="A1152" s="19"/>
      <c r="B1152" s="19"/>
      <c r="C1152" s="19"/>
      <c r="D1152" s="19" t="s">
        <v>832</v>
      </c>
      <c r="E1152" s="20" t="s">
        <v>833</v>
      </c>
      <c r="F1152" s="9">
        <f>Source!AQ856</f>
        <v>0.55000000000000004</v>
      </c>
      <c r="G1152" s="22"/>
      <c r="H1152" s="21" t="str">
        <f>Source!DI856</f>
        <v/>
      </c>
      <c r="I1152" s="9">
        <f>Source!AV856</f>
        <v>1</v>
      </c>
      <c r="J1152" s="9"/>
      <c r="K1152" s="22"/>
      <c r="L1152" s="22">
        <f>Source!U856</f>
        <v>2.2000000000000002</v>
      </c>
    </row>
    <row r="1153" spans="1:22" ht="15" x14ac:dyDescent="0.25">
      <c r="A1153" s="27"/>
      <c r="B1153" s="27"/>
      <c r="C1153" s="27"/>
      <c r="D1153" s="27"/>
      <c r="E1153" s="27"/>
      <c r="F1153" s="27"/>
      <c r="G1153" s="27"/>
      <c r="H1153" s="27"/>
      <c r="I1153" s="27"/>
      <c r="J1153" s="60">
        <f>K1145+K1146+K1148+K1149+K1150+K1151</f>
        <v>2465.7000000000003</v>
      </c>
      <c r="K1153" s="60"/>
      <c r="L1153" s="28">
        <f>IF(Source!I856&lt;&gt;0, ROUND(J1153/Source!I856, 2), 0)</f>
        <v>616.42999999999995</v>
      </c>
      <c r="P1153" s="25">
        <f>J1153</f>
        <v>2465.7000000000003</v>
      </c>
    </row>
    <row r="1154" spans="1:22" ht="57" x14ac:dyDescent="0.2">
      <c r="A1154" s="19">
        <v>113</v>
      </c>
      <c r="B1154" s="19">
        <v>113</v>
      </c>
      <c r="C1154" s="19" t="str">
        <f>Source!F858</f>
        <v>1.21-2103-9-1/1</v>
      </c>
      <c r="D1154" s="19" t="str">
        <f>Source!G858</f>
        <v>Техническое обслуживание силовых сетей, проложенных по кирпичным и бетонным основаниям, провод сечением 2х1,5-6 мм2</v>
      </c>
      <c r="E1154" s="20" t="str">
        <f>Source!H858</f>
        <v>100 м</v>
      </c>
      <c r="F1154" s="9">
        <f>Source!I858</f>
        <v>2.64E-2</v>
      </c>
      <c r="G1154" s="22"/>
      <c r="H1154" s="21"/>
      <c r="I1154" s="9"/>
      <c r="J1154" s="9"/>
      <c r="K1154" s="22"/>
      <c r="L1154" s="22"/>
      <c r="Q1154">
        <f>ROUND((Source!BZ858/100)*ROUND((Source!AF858*Source!AV858)*Source!I858, 2), 2)</f>
        <v>70.63</v>
      </c>
      <c r="R1154">
        <f>Source!X858</f>
        <v>70.63</v>
      </c>
      <c r="S1154">
        <f>ROUND((Source!CA858/100)*ROUND((Source!AF858*Source!AV858)*Source!I858, 2), 2)</f>
        <v>10.09</v>
      </c>
      <c r="T1154">
        <f>Source!Y858</f>
        <v>10.09</v>
      </c>
      <c r="U1154">
        <f>ROUND((175/100)*ROUND((Source!AE858*Source!AV858)*Source!I858, 2), 2)</f>
        <v>0</v>
      </c>
      <c r="V1154">
        <f>ROUND((108/100)*ROUND(Source!CS858*Source!I858, 2), 2)</f>
        <v>0</v>
      </c>
    </row>
    <row r="1155" spans="1:22" x14ac:dyDescent="0.2">
      <c r="D1155" s="23" t="str">
        <f>"Объем: "&amp;Source!I858&amp;"=(33+"&amp;"33+"&amp;"33+"&amp;"33)*"&amp;"0,2*"&amp;"0,1/"&amp;"100"</f>
        <v>Объем: 0,0264=(33+33+33+33)*0,2*0,1/100</v>
      </c>
    </row>
    <row r="1156" spans="1:22" ht="14.25" x14ac:dyDescent="0.2">
      <c r="A1156" s="19"/>
      <c r="B1156" s="19"/>
      <c r="C1156" s="19"/>
      <c r="D1156" s="19" t="s">
        <v>825</v>
      </c>
      <c r="E1156" s="20"/>
      <c r="F1156" s="9"/>
      <c r="G1156" s="22">
        <f>Source!AO858</f>
        <v>3822.15</v>
      </c>
      <c r="H1156" s="21" t="str">
        <f>Source!DG858</f>
        <v/>
      </c>
      <c r="I1156" s="9">
        <f>Source!AV858</f>
        <v>1</v>
      </c>
      <c r="J1156" s="9">
        <f>IF(Source!BA858&lt;&gt; 0, Source!BA858, 1)</f>
        <v>1</v>
      </c>
      <c r="K1156" s="22">
        <f>Source!S858</f>
        <v>100.9</v>
      </c>
      <c r="L1156" s="22"/>
    </row>
    <row r="1157" spans="1:22" ht="14.25" x14ac:dyDescent="0.2">
      <c r="A1157" s="19"/>
      <c r="B1157" s="19"/>
      <c r="C1157" s="19"/>
      <c r="D1157" s="19" t="s">
        <v>834</v>
      </c>
      <c r="E1157" s="20"/>
      <c r="F1157" s="9"/>
      <c r="G1157" s="22">
        <f>Source!AL858</f>
        <v>22.51</v>
      </c>
      <c r="H1157" s="21" t="str">
        <f>Source!DD858</f>
        <v/>
      </c>
      <c r="I1157" s="9">
        <f>Source!AW858</f>
        <v>1</v>
      </c>
      <c r="J1157" s="9">
        <f>IF(Source!BC858&lt;&gt; 0, Source!BC858, 1)</f>
        <v>1</v>
      </c>
      <c r="K1157" s="22">
        <f>Source!P858</f>
        <v>0.59</v>
      </c>
      <c r="L1157" s="22"/>
    </row>
    <row r="1158" spans="1:22" ht="14.25" x14ac:dyDescent="0.2">
      <c r="A1158" s="19"/>
      <c r="B1158" s="19"/>
      <c r="C1158" s="19"/>
      <c r="D1158" s="19" t="s">
        <v>828</v>
      </c>
      <c r="E1158" s="20" t="s">
        <v>829</v>
      </c>
      <c r="F1158" s="9">
        <f>Source!AT858</f>
        <v>70</v>
      </c>
      <c r="G1158" s="22"/>
      <c r="H1158" s="21"/>
      <c r="I1158" s="9"/>
      <c r="J1158" s="9"/>
      <c r="K1158" s="22">
        <f>SUM(R1154:R1157)</f>
        <v>70.63</v>
      </c>
      <c r="L1158" s="22"/>
    </row>
    <row r="1159" spans="1:22" ht="14.25" x14ac:dyDescent="0.2">
      <c r="A1159" s="19"/>
      <c r="B1159" s="19"/>
      <c r="C1159" s="19"/>
      <c r="D1159" s="19" t="s">
        <v>830</v>
      </c>
      <c r="E1159" s="20" t="s">
        <v>829</v>
      </c>
      <c r="F1159" s="9">
        <f>Source!AU858</f>
        <v>10</v>
      </c>
      <c r="G1159" s="22"/>
      <c r="H1159" s="21"/>
      <c r="I1159" s="9"/>
      <c r="J1159" s="9"/>
      <c r="K1159" s="22">
        <f>SUM(T1154:T1158)</f>
        <v>10.09</v>
      </c>
      <c r="L1159" s="22"/>
    </row>
    <row r="1160" spans="1:22" ht="14.25" x14ac:dyDescent="0.2">
      <c r="A1160" s="19"/>
      <c r="B1160" s="19"/>
      <c r="C1160" s="19"/>
      <c r="D1160" s="19" t="s">
        <v>832</v>
      </c>
      <c r="E1160" s="20" t="s">
        <v>833</v>
      </c>
      <c r="F1160" s="9">
        <f>Source!AQ858</f>
        <v>7.14</v>
      </c>
      <c r="G1160" s="22"/>
      <c r="H1160" s="21" t="str">
        <f>Source!DI858</f>
        <v/>
      </c>
      <c r="I1160" s="9">
        <f>Source!AV858</f>
        <v>1</v>
      </c>
      <c r="J1160" s="9"/>
      <c r="K1160" s="22"/>
      <c r="L1160" s="22">
        <f>Source!U858</f>
        <v>0.188496</v>
      </c>
    </row>
    <row r="1161" spans="1:22" ht="15" x14ac:dyDescent="0.25">
      <c r="A1161" s="27"/>
      <c r="B1161" s="27"/>
      <c r="C1161" s="27"/>
      <c r="D1161" s="27"/>
      <c r="E1161" s="27"/>
      <c r="F1161" s="27"/>
      <c r="G1161" s="27"/>
      <c r="H1161" s="27"/>
      <c r="I1161" s="27"/>
      <c r="J1161" s="60">
        <f>K1156+K1157+K1158+K1159</f>
        <v>182.21</v>
      </c>
      <c r="K1161" s="60"/>
      <c r="L1161" s="28">
        <f>IF(Source!I858&lt;&gt;0, ROUND(J1161/Source!I858, 2), 0)</f>
        <v>6901.89</v>
      </c>
      <c r="P1161" s="25">
        <f>J1161</f>
        <v>182.21</v>
      </c>
    </row>
    <row r="1162" spans="1:22" ht="57" x14ac:dyDescent="0.2">
      <c r="A1162" s="19">
        <v>114</v>
      </c>
      <c r="B1162" s="19">
        <v>114</v>
      </c>
      <c r="C1162" s="19" t="str">
        <f>Source!F860</f>
        <v>1.21-2103-9-2/1</v>
      </c>
      <c r="D1162" s="19" t="str">
        <f>Source!G860</f>
        <v>Техническое обслуживание силовых сетей, проложенных по кирпичным и бетонным основаниям, провод сечением 3х1,5-6 мм2</v>
      </c>
      <c r="E1162" s="20" t="str">
        <f>Source!H860</f>
        <v>100 м</v>
      </c>
      <c r="F1162" s="9">
        <f>Source!I860</f>
        <v>1.2E-2</v>
      </c>
      <c r="G1162" s="22"/>
      <c r="H1162" s="21"/>
      <c r="I1162" s="9"/>
      <c r="J1162" s="9"/>
      <c r="K1162" s="22"/>
      <c r="L1162" s="22"/>
      <c r="Q1162">
        <f>ROUND((Source!BZ860/100)*ROUND((Source!AF860*Source!AV860)*Source!I860, 2), 2)</f>
        <v>44.97</v>
      </c>
      <c r="R1162">
        <f>Source!X860</f>
        <v>44.97</v>
      </c>
      <c r="S1162">
        <f>ROUND((Source!CA860/100)*ROUND((Source!AF860*Source!AV860)*Source!I860, 2), 2)</f>
        <v>6.42</v>
      </c>
      <c r="T1162">
        <f>Source!Y860</f>
        <v>6.42</v>
      </c>
      <c r="U1162">
        <f>ROUND((175/100)*ROUND((Source!AE860*Source!AV860)*Source!I860, 2), 2)</f>
        <v>0</v>
      </c>
      <c r="V1162">
        <f>ROUND((108/100)*ROUND(Source!CS860*Source!I860, 2), 2)</f>
        <v>0</v>
      </c>
    </row>
    <row r="1163" spans="1:22" x14ac:dyDescent="0.2">
      <c r="D1163" s="23" t="str">
        <f>"Объем: "&amp;Source!I860&amp;"=(15+"&amp;"15+"&amp;"15+"&amp;"15)*"&amp;"0,2*"&amp;"0,1/"&amp;"100"</f>
        <v>Объем: 0,012=(15+15+15+15)*0,2*0,1/100</v>
      </c>
    </row>
    <row r="1164" spans="1:22" ht="14.25" x14ac:dyDescent="0.2">
      <c r="A1164" s="19"/>
      <c r="B1164" s="19"/>
      <c r="C1164" s="19"/>
      <c r="D1164" s="19" t="s">
        <v>825</v>
      </c>
      <c r="E1164" s="20"/>
      <c r="F1164" s="9"/>
      <c r="G1164" s="22">
        <f>Source!AO860</f>
        <v>5353.15</v>
      </c>
      <c r="H1164" s="21" t="str">
        <f>Source!DG860</f>
        <v/>
      </c>
      <c r="I1164" s="9">
        <f>Source!AV860</f>
        <v>1</v>
      </c>
      <c r="J1164" s="9">
        <f>IF(Source!BA860&lt;&gt; 0, Source!BA860, 1)</f>
        <v>1</v>
      </c>
      <c r="K1164" s="22">
        <f>Source!S860</f>
        <v>64.239999999999995</v>
      </c>
      <c r="L1164" s="22"/>
    </row>
    <row r="1165" spans="1:22" ht="14.25" x14ac:dyDescent="0.2">
      <c r="A1165" s="19"/>
      <c r="B1165" s="19"/>
      <c r="C1165" s="19"/>
      <c r="D1165" s="19" t="s">
        <v>834</v>
      </c>
      <c r="E1165" s="20"/>
      <c r="F1165" s="9"/>
      <c r="G1165" s="22">
        <f>Source!AL860</f>
        <v>22.51</v>
      </c>
      <c r="H1165" s="21" t="str">
        <f>Source!DD860</f>
        <v/>
      </c>
      <c r="I1165" s="9">
        <f>Source!AW860</f>
        <v>1</v>
      </c>
      <c r="J1165" s="9">
        <f>IF(Source!BC860&lt;&gt; 0, Source!BC860, 1)</f>
        <v>1</v>
      </c>
      <c r="K1165" s="22">
        <f>Source!P860</f>
        <v>0.27</v>
      </c>
      <c r="L1165" s="22"/>
    </row>
    <row r="1166" spans="1:22" ht="14.25" x14ac:dyDescent="0.2">
      <c r="A1166" s="19"/>
      <c r="B1166" s="19"/>
      <c r="C1166" s="19"/>
      <c r="D1166" s="19" t="s">
        <v>828</v>
      </c>
      <c r="E1166" s="20" t="s">
        <v>829</v>
      </c>
      <c r="F1166" s="9">
        <f>Source!AT860</f>
        <v>70</v>
      </c>
      <c r="G1166" s="22"/>
      <c r="H1166" s="21"/>
      <c r="I1166" s="9"/>
      <c r="J1166" s="9"/>
      <c r="K1166" s="22">
        <f>SUM(R1162:R1165)</f>
        <v>44.97</v>
      </c>
      <c r="L1166" s="22"/>
    </row>
    <row r="1167" spans="1:22" ht="14.25" x14ac:dyDescent="0.2">
      <c r="A1167" s="19"/>
      <c r="B1167" s="19"/>
      <c r="C1167" s="19"/>
      <c r="D1167" s="19" t="s">
        <v>830</v>
      </c>
      <c r="E1167" s="20" t="s">
        <v>829</v>
      </c>
      <c r="F1167" s="9">
        <f>Source!AU860</f>
        <v>10</v>
      </c>
      <c r="G1167" s="22"/>
      <c r="H1167" s="21"/>
      <c r="I1167" s="9"/>
      <c r="J1167" s="9"/>
      <c r="K1167" s="22">
        <f>SUM(T1162:T1166)</f>
        <v>6.42</v>
      </c>
      <c r="L1167" s="22"/>
    </row>
    <row r="1168" spans="1:22" ht="14.25" x14ac:dyDescent="0.2">
      <c r="A1168" s="19"/>
      <c r="B1168" s="19"/>
      <c r="C1168" s="19"/>
      <c r="D1168" s="19" t="s">
        <v>832</v>
      </c>
      <c r="E1168" s="20" t="s">
        <v>833</v>
      </c>
      <c r="F1168" s="9">
        <f>Source!AQ860</f>
        <v>10</v>
      </c>
      <c r="G1168" s="22"/>
      <c r="H1168" s="21" t="str">
        <f>Source!DI860</f>
        <v/>
      </c>
      <c r="I1168" s="9">
        <f>Source!AV860</f>
        <v>1</v>
      </c>
      <c r="J1168" s="9"/>
      <c r="K1168" s="22"/>
      <c r="L1168" s="22">
        <f>Source!U860</f>
        <v>0.12</v>
      </c>
    </row>
    <row r="1169" spans="1:22" ht="15" x14ac:dyDescent="0.25">
      <c r="A1169" s="27"/>
      <c r="B1169" s="27"/>
      <c r="C1169" s="27"/>
      <c r="D1169" s="27"/>
      <c r="E1169" s="27"/>
      <c r="F1169" s="27"/>
      <c r="G1169" s="27"/>
      <c r="H1169" s="27"/>
      <c r="I1169" s="27"/>
      <c r="J1169" s="60">
        <f>K1164+K1165+K1166+K1167</f>
        <v>115.89999999999999</v>
      </c>
      <c r="K1169" s="60"/>
      <c r="L1169" s="28">
        <f>IF(Source!I860&lt;&gt;0, ROUND(J1169/Source!I860, 2), 0)</f>
        <v>9658.33</v>
      </c>
      <c r="P1169" s="25">
        <f>J1169</f>
        <v>115.89999999999999</v>
      </c>
    </row>
    <row r="1170" spans="1:22" ht="57" x14ac:dyDescent="0.2">
      <c r="A1170" s="19">
        <v>115</v>
      </c>
      <c r="B1170" s="19">
        <v>115</v>
      </c>
      <c r="C1170" s="19" t="str">
        <f>Source!F862</f>
        <v>1.21-2103-9-3/1</v>
      </c>
      <c r="D1170" s="19" t="str">
        <f>Source!G862</f>
        <v>Техническое обслуживание силовых сетей, проложенных по кирпичным и бетонным основаниям, провод сечением 4х1,5-6 мм2</v>
      </c>
      <c r="E1170" s="20" t="str">
        <f>Source!H862</f>
        <v>100 м</v>
      </c>
      <c r="F1170" s="9">
        <f>Source!I862</f>
        <v>2.9600000000000001E-2</v>
      </c>
      <c r="G1170" s="22"/>
      <c r="H1170" s="21"/>
      <c r="I1170" s="9"/>
      <c r="J1170" s="9"/>
      <c r="K1170" s="22"/>
      <c r="L1170" s="22"/>
      <c r="Q1170">
        <f>ROUND((Source!BZ862/100)*ROUND((Source!AF862*Source!AV862)*Source!I862, 2), 2)</f>
        <v>124.45</v>
      </c>
      <c r="R1170">
        <f>Source!X862</f>
        <v>124.45</v>
      </c>
      <c r="S1170">
        <f>ROUND((Source!CA862/100)*ROUND((Source!AF862*Source!AV862)*Source!I862, 2), 2)</f>
        <v>17.78</v>
      </c>
      <c r="T1170">
        <f>Source!Y862</f>
        <v>17.78</v>
      </c>
      <c r="U1170">
        <f>ROUND((175/100)*ROUND((Source!AE862*Source!AV862)*Source!I862, 2), 2)</f>
        <v>0</v>
      </c>
      <c r="V1170">
        <f>ROUND((108/100)*ROUND(Source!CS862*Source!I862, 2), 2)</f>
        <v>0</v>
      </c>
    </row>
    <row r="1171" spans="1:22" ht="25.5" x14ac:dyDescent="0.2">
      <c r="D1171" s="23" t="str">
        <f>"Объем: "&amp;Source!I862&amp;"=(33+"&amp;"4+"&amp;"33+"&amp;"4+"&amp;"33+"&amp;"4+"&amp;"33+"&amp;"4)*"&amp;"0,2*"&amp;"0,1/"&amp;"100"</f>
        <v>Объем: 0,0296=(33+4+33+4+33+4+33+4)*0,2*0,1/100</v>
      </c>
    </row>
    <row r="1172" spans="1:22" ht="14.25" x14ac:dyDescent="0.2">
      <c r="A1172" s="19"/>
      <c r="B1172" s="19"/>
      <c r="C1172" s="19"/>
      <c r="D1172" s="19" t="s">
        <v>825</v>
      </c>
      <c r="E1172" s="20"/>
      <c r="F1172" s="9"/>
      <c r="G1172" s="22">
        <f>Source!AO862</f>
        <v>6006.24</v>
      </c>
      <c r="H1172" s="21" t="str">
        <f>Source!DG862</f>
        <v/>
      </c>
      <c r="I1172" s="9">
        <f>Source!AV862</f>
        <v>1</v>
      </c>
      <c r="J1172" s="9">
        <f>IF(Source!BA862&lt;&gt; 0, Source!BA862, 1)</f>
        <v>1</v>
      </c>
      <c r="K1172" s="22">
        <f>Source!S862</f>
        <v>177.78</v>
      </c>
      <c r="L1172" s="22"/>
    </row>
    <row r="1173" spans="1:22" ht="14.25" x14ac:dyDescent="0.2">
      <c r="A1173" s="19"/>
      <c r="B1173" s="19"/>
      <c r="C1173" s="19"/>
      <c r="D1173" s="19" t="s">
        <v>834</v>
      </c>
      <c r="E1173" s="20"/>
      <c r="F1173" s="9"/>
      <c r="G1173" s="22">
        <f>Source!AL862</f>
        <v>14.63</v>
      </c>
      <c r="H1173" s="21" t="str">
        <f>Source!DD862</f>
        <v/>
      </c>
      <c r="I1173" s="9">
        <f>Source!AW862</f>
        <v>1</v>
      </c>
      <c r="J1173" s="9">
        <f>IF(Source!BC862&lt;&gt; 0, Source!BC862, 1)</f>
        <v>1</v>
      </c>
      <c r="K1173" s="22">
        <f>Source!P862</f>
        <v>0.43</v>
      </c>
      <c r="L1173" s="22"/>
    </row>
    <row r="1174" spans="1:22" ht="14.25" x14ac:dyDescent="0.2">
      <c r="A1174" s="19"/>
      <c r="B1174" s="19"/>
      <c r="C1174" s="19"/>
      <c r="D1174" s="19" t="s">
        <v>828</v>
      </c>
      <c r="E1174" s="20" t="s">
        <v>829</v>
      </c>
      <c r="F1174" s="9">
        <f>Source!AT862</f>
        <v>70</v>
      </c>
      <c r="G1174" s="22"/>
      <c r="H1174" s="21"/>
      <c r="I1174" s="9"/>
      <c r="J1174" s="9"/>
      <c r="K1174" s="22">
        <f>SUM(R1170:R1173)</f>
        <v>124.45</v>
      </c>
      <c r="L1174" s="22"/>
    </row>
    <row r="1175" spans="1:22" ht="14.25" x14ac:dyDescent="0.2">
      <c r="A1175" s="19"/>
      <c r="B1175" s="19"/>
      <c r="C1175" s="19"/>
      <c r="D1175" s="19" t="s">
        <v>830</v>
      </c>
      <c r="E1175" s="20" t="s">
        <v>829</v>
      </c>
      <c r="F1175" s="9">
        <f>Source!AU862</f>
        <v>10</v>
      </c>
      <c r="G1175" s="22"/>
      <c r="H1175" s="21"/>
      <c r="I1175" s="9"/>
      <c r="J1175" s="9"/>
      <c r="K1175" s="22">
        <f>SUM(T1170:T1174)</f>
        <v>17.78</v>
      </c>
      <c r="L1175" s="22"/>
    </row>
    <row r="1176" spans="1:22" ht="14.25" x14ac:dyDescent="0.2">
      <c r="A1176" s="19"/>
      <c r="B1176" s="19"/>
      <c r="C1176" s="19"/>
      <c r="D1176" s="19" t="s">
        <v>832</v>
      </c>
      <c r="E1176" s="20" t="s">
        <v>833</v>
      </c>
      <c r="F1176" s="9">
        <f>Source!AQ862</f>
        <v>11.22</v>
      </c>
      <c r="G1176" s="22"/>
      <c r="H1176" s="21" t="str">
        <f>Source!DI862</f>
        <v/>
      </c>
      <c r="I1176" s="9">
        <f>Source!AV862</f>
        <v>1</v>
      </c>
      <c r="J1176" s="9"/>
      <c r="K1176" s="22"/>
      <c r="L1176" s="22">
        <f>Source!U862</f>
        <v>0.33211200000000002</v>
      </c>
    </row>
    <row r="1177" spans="1:22" ht="15" x14ac:dyDescent="0.25">
      <c r="A1177" s="27"/>
      <c r="B1177" s="27"/>
      <c r="C1177" s="27"/>
      <c r="D1177" s="27"/>
      <c r="E1177" s="27"/>
      <c r="F1177" s="27"/>
      <c r="G1177" s="27"/>
      <c r="H1177" s="27"/>
      <c r="I1177" s="27"/>
      <c r="J1177" s="60">
        <f>K1172+K1173+K1174+K1175</f>
        <v>320.44000000000005</v>
      </c>
      <c r="K1177" s="60"/>
      <c r="L1177" s="28">
        <f>IF(Source!I862&lt;&gt;0, ROUND(J1177/Source!I862, 2), 0)</f>
        <v>10825.68</v>
      </c>
      <c r="P1177" s="25">
        <f>J1177</f>
        <v>320.44000000000005</v>
      </c>
    </row>
    <row r="1178" spans="1:22" ht="28.5" x14ac:dyDescent="0.2">
      <c r="A1178" s="19">
        <v>116</v>
      </c>
      <c r="B1178" s="19">
        <v>116</v>
      </c>
      <c r="C1178" s="19" t="str">
        <f>Source!F864</f>
        <v>1.21-2103-3-1/1</v>
      </c>
      <c r="D1178" s="19" t="str">
        <f>Source!G864</f>
        <v>Техническое обслуживание сетей заземления магистральных,</v>
      </c>
      <c r="E1178" s="20" t="str">
        <f>Source!H864</f>
        <v>100 м</v>
      </c>
      <c r="F1178" s="9">
        <f>Source!I864</f>
        <v>0.184</v>
      </c>
      <c r="G1178" s="22"/>
      <c r="H1178" s="21"/>
      <c r="I1178" s="9"/>
      <c r="J1178" s="9"/>
      <c r="K1178" s="22"/>
      <c r="L1178" s="22"/>
      <c r="Q1178">
        <f>ROUND((Source!BZ864/100)*ROUND((Source!AF864*Source!AV864)*Source!I864, 2), 2)</f>
        <v>765.33</v>
      </c>
      <c r="R1178">
        <f>Source!X864</f>
        <v>765.33</v>
      </c>
      <c r="S1178">
        <f>ROUND((Source!CA864/100)*ROUND((Source!AF864*Source!AV864)*Source!I864, 2), 2)</f>
        <v>109.33</v>
      </c>
      <c r="T1178">
        <f>Source!Y864</f>
        <v>109.33</v>
      </c>
      <c r="U1178">
        <f>ROUND((175/100)*ROUND((Source!AE864*Source!AV864)*Source!I864, 2), 2)</f>
        <v>0</v>
      </c>
      <c r="V1178">
        <f>ROUND((108/100)*ROUND(Source!CS864*Source!I864, 2), 2)</f>
        <v>0</v>
      </c>
    </row>
    <row r="1179" spans="1:22" ht="25.5" x14ac:dyDescent="0.2">
      <c r="D1179" s="23" t="str">
        <f>"Объем: "&amp;Source!I864&amp;"=(41+"&amp;"5+"&amp;"41+"&amp;"5+"&amp;"41+"&amp;"5+"&amp;"41+"&amp;"5)*"&amp;"0,1/"&amp;"100"</f>
        <v>Объем: 0,184=(41+5+41+5+41+5+41+5)*0,1/100</v>
      </c>
    </row>
    <row r="1180" spans="1:22" ht="14.25" x14ac:dyDescent="0.2">
      <c r="A1180" s="19"/>
      <c r="B1180" s="19"/>
      <c r="C1180" s="19"/>
      <c r="D1180" s="19" t="s">
        <v>825</v>
      </c>
      <c r="E1180" s="20"/>
      <c r="F1180" s="9"/>
      <c r="G1180" s="22">
        <f>Source!AO864</f>
        <v>5942</v>
      </c>
      <c r="H1180" s="21" t="str">
        <f>Source!DG864</f>
        <v/>
      </c>
      <c r="I1180" s="9">
        <f>Source!AV864</f>
        <v>1</v>
      </c>
      <c r="J1180" s="9">
        <f>IF(Source!BA864&lt;&gt; 0, Source!BA864, 1)</f>
        <v>1</v>
      </c>
      <c r="K1180" s="22">
        <f>Source!S864</f>
        <v>1093.33</v>
      </c>
      <c r="L1180" s="22"/>
    </row>
    <row r="1181" spans="1:22" ht="14.25" x14ac:dyDescent="0.2">
      <c r="A1181" s="19"/>
      <c r="B1181" s="19"/>
      <c r="C1181" s="19"/>
      <c r="D1181" s="19" t="s">
        <v>834</v>
      </c>
      <c r="E1181" s="20"/>
      <c r="F1181" s="9"/>
      <c r="G1181" s="22">
        <f>Source!AL864</f>
        <v>22.51</v>
      </c>
      <c r="H1181" s="21" t="str">
        <f>Source!DD864</f>
        <v/>
      </c>
      <c r="I1181" s="9">
        <f>Source!AW864</f>
        <v>1</v>
      </c>
      <c r="J1181" s="9">
        <f>IF(Source!BC864&lt;&gt; 0, Source!BC864, 1)</f>
        <v>1</v>
      </c>
      <c r="K1181" s="22">
        <f>Source!P864</f>
        <v>4.1399999999999997</v>
      </c>
      <c r="L1181" s="22"/>
    </row>
    <row r="1182" spans="1:22" ht="14.25" x14ac:dyDescent="0.2">
      <c r="A1182" s="19"/>
      <c r="B1182" s="19"/>
      <c r="C1182" s="19"/>
      <c r="D1182" s="19" t="s">
        <v>828</v>
      </c>
      <c r="E1182" s="20" t="s">
        <v>829</v>
      </c>
      <c r="F1182" s="9">
        <f>Source!AT864</f>
        <v>70</v>
      </c>
      <c r="G1182" s="22"/>
      <c r="H1182" s="21"/>
      <c r="I1182" s="9"/>
      <c r="J1182" s="9"/>
      <c r="K1182" s="22">
        <f>SUM(R1178:R1181)</f>
        <v>765.33</v>
      </c>
      <c r="L1182" s="22"/>
    </row>
    <row r="1183" spans="1:22" ht="14.25" x14ac:dyDescent="0.2">
      <c r="A1183" s="19"/>
      <c r="B1183" s="19"/>
      <c r="C1183" s="19"/>
      <c r="D1183" s="19" t="s">
        <v>830</v>
      </c>
      <c r="E1183" s="20" t="s">
        <v>829</v>
      </c>
      <c r="F1183" s="9">
        <f>Source!AU864</f>
        <v>10</v>
      </c>
      <c r="G1183" s="22"/>
      <c r="H1183" s="21"/>
      <c r="I1183" s="9"/>
      <c r="J1183" s="9"/>
      <c r="K1183" s="22">
        <f>SUM(T1178:T1182)</f>
        <v>109.33</v>
      </c>
      <c r="L1183" s="22"/>
    </row>
    <row r="1184" spans="1:22" ht="14.25" x14ac:dyDescent="0.2">
      <c r="A1184" s="19"/>
      <c r="B1184" s="19"/>
      <c r="C1184" s="19"/>
      <c r="D1184" s="19" t="s">
        <v>832</v>
      </c>
      <c r="E1184" s="20" t="s">
        <v>833</v>
      </c>
      <c r="F1184" s="9">
        <f>Source!AQ864</f>
        <v>11.1</v>
      </c>
      <c r="G1184" s="22"/>
      <c r="H1184" s="21" t="str">
        <f>Source!DI864</f>
        <v/>
      </c>
      <c r="I1184" s="9">
        <f>Source!AV864</f>
        <v>1</v>
      </c>
      <c r="J1184" s="9"/>
      <c r="K1184" s="22"/>
      <c r="L1184" s="22">
        <f>Source!U864</f>
        <v>2.0423999999999998</v>
      </c>
    </row>
    <row r="1185" spans="1:16" ht="15" x14ac:dyDescent="0.25">
      <c r="A1185" s="27"/>
      <c r="B1185" s="27"/>
      <c r="C1185" s="27"/>
      <c r="D1185" s="27"/>
      <c r="E1185" s="27"/>
      <c r="F1185" s="27"/>
      <c r="G1185" s="27"/>
      <c r="H1185" s="27"/>
      <c r="I1185" s="27"/>
      <c r="J1185" s="60">
        <f>K1180+K1181+K1182+K1183</f>
        <v>1972.13</v>
      </c>
      <c r="K1185" s="60"/>
      <c r="L1185" s="28">
        <f>IF(Source!I864&lt;&gt;0, ROUND(J1185/Source!I864, 2), 0)</f>
        <v>10718.1</v>
      </c>
      <c r="P1185" s="25">
        <f>J1185</f>
        <v>1972.13</v>
      </c>
    </row>
    <row r="1187" spans="1:16" ht="15" x14ac:dyDescent="0.25">
      <c r="A1187" s="59" t="str">
        <f>CONCATENATE("Итого по подразделу: ",IF(Source!G867&lt;&gt;"Новый подраздел", Source!G867, ""))</f>
        <v>Итого по подразделу: Электроснабжение ИТП</v>
      </c>
      <c r="B1187" s="59"/>
      <c r="C1187" s="59"/>
      <c r="D1187" s="59"/>
      <c r="E1187" s="59"/>
      <c r="F1187" s="59"/>
      <c r="G1187" s="59"/>
      <c r="H1187" s="59"/>
      <c r="I1187" s="59"/>
      <c r="J1187" s="57">
        <f>SUM(P1116:P1186)</f>
        <v>89629.219999999987</v>
      </c>
      <c r="K1187" s="58"/>
      <c r="L1187" s="18"/>
    </row>
    <row r="1190" spans="1:16" ht="15" x14ac:dyDescent="0.25">
      <c r="A1190" s="59" t="str">
        <f>CONCATENATE("Итого по разделу: ",IF(Source!G897&lt;&gt;"Новый раздел", Source!G897, ""))</f>
        <v>Итого по разделу: Раздел: 4. Системы электроснабжения</v>
      </c>
      <c r="B1190" s="59"/>
      <c r="C1190" s="59"/>
      <c r="D1190" s="59"/>
      <c r="E1190" s="59"/>
      <c r="F1190" s="59"/>
      <c r="G1190" s="59"/>
      <c r="H1190" s="59"/>
      <c r="I1190" s="59"/>
      <c r="J1190" s="57">
        <f>SUM(P768:P1189)</f>
        <v>1093888.6799999997</v>
      </c>
      <c r="K1190" s="58"/>
      <c r="L1190" s="18"/>
    </row>
    <row r="1193" spans="1:16" ht="15" hidden="1" x14ac:dyDescent="0.25">
      <c r="A1193" s="59" t="str">
        <f>CONCATENATE("Итого по локальной смете: ",IF(Source!G927&lt;&gt;"Новая локальная смета", Source!G927, ""))</f>
        <v xml:space="preserve">Итого по локальной смете: </v>
      </c>
      <c r="B1193" s="59"/>
      <c r="C1193" s="59"/>
      <c r="D1193" s="59"/>
      <c r="E1193" s="59"/>
      <c r="F1193" s="59"/>
      <c r="G1193" s="59"/>
      <c r="H1193" s="59"/>
      <c r="I1193" s="59"/>
      <c r="J1193" s="57">
        <f>SUM(P38:P1192)</f>
        <v>2641814.9299999997</v>
      </c>
      <c r="K1193" s="58"/>
      <c r="L1193" s="18"/>
    </row>
    <row r="1196" spans="1:16" ht="15" x14ac:dyDescent="0.25">
      <c r="A1196" s="59" t="s">
        <v>886</v>
      </c>
      <c r="B1196" s="59"/>
      <c r="C1196" s="59"/>
      <c r="D1196" s="59"/>
      <c r="E1196" s="59"/>
      <c r="F1196" s="59"/>
      <c r="G1196" s="59"/>
      <c r="H1196" s="59"/>
      <c r="I1196" s="59"/>
      <c r="J1196" s="57">
        <f>SUM(P1:P1195)</f>
        <v>2641814.9299999997</v>
      </c>
      <c r="K1196" s="58"/>
      <c r="L1196" s="18"/>
    </row>
  </sheetData>
  <mergeCells count="250">
    <mergeCell ref="J1193:K1193"/>
    <mergeCell ref="A1193:I1193"/>
    <mergeCell ref="J1196:K1196"/>
    <mergeCell ref="A1196:I1196"/>
    <mergeCell ref="J1177:K1177"/>
    <mergeCell ref="J1185:K1185"/>
    <mergeCell ref="J1187:K1187"/>
    <mergeCell ref="A1187:I1187"/>
    <mergeCell ref="J1190:K1190"/>
    <mergeCell ref="A1190:I1190"/>
    <mergeCell ref="J1126:K1126"/>
    <mergeCell ref="J1134:K1134"/>
    <mergeCell ref="J1142:K1142"/>
    <mergeCell ref="J1153:K1153"/>
    <mergeCell ref="J1161:K1161"/>
    <mergeCell ref="J1169:K1169"/>
    <mergeCell ref="J1103:K1103"/>
    <mergeCell ref="J1111:K1111"/>
    <mergeCell ref="J1113:K1113"/>
    <mergeCell ref="A1113:I1113"/>
    <mergeCell ref="A1116:L1116"/>
    <mergeCell ref="C1118:K1118"/>
    <mergeCell ref="C1056:K1056"/>
    <mergeCell ref="J1064:K1064"/>
    <mergeCell ref="J1072:K1072"/>
    <mergeCell ref="J1079:K1079"/>
    <mergeCell ref="J1087:K1087"/>
    <mergeCell ref="J1095:K1095"/>
    <mergeCell ref="A1039:L1039"/>
    <mergeCell ref="C1041:K1041"/>
    <mergeCell ref="J1049:K1049"/>
    <mergeCell ref="J1051:K1051"/>
    <mergeCell ref="A1051:I1051"/>
    <mergeCell ref="A1054:L1054"/>
    <mergeCell ref="C1003:K1003"/>
    <mergeCell ref="J1010:K1010"/>
    <mergeCell ref="J1018:K1018"/>
    <mergeCell ref="J1026:K1026"/>
    <mergeCell ref="J1034:K1034"/>
    <mergeCell ref="J1036:K1036"/>
    <mergeCell ref="A1036:I1036"/>
    <mergeCell ref="J981:K981"/>
    <mergeCell ref="J989:K989"/>
    <mergeCell ref="J996:K996"/>
    <mergeCell ref="J998:K998"/>
    <mergeCell ref="A998:I998"/>
    <mergeCell ref="A1001:L1001"/>
    <mergeCell ref="J933:K933"/>
    <mergeCell ref="J941:K941"/>
    <mergeCell ref="J949:K949"/>
    <mergeCell ref="J957:K957"/>
    <mergeCell ref="J965:K965"/>
    <mergeCell ref="J973:K973"/>
    <mergeCell ref="J910:K910"/>
    <mergeCell ref="J912:K912"/>
    <mergeCell ref="A912:I912"/>
    <mergeCell ref="A915:L915"/>
    <mergeCell ref="C917:K917"/>
    <mergeCell ref="J925:K925"/>
    <mergeCell ref="J863:K863"/>
    <mergeCell ref="J871:K871"/>
    <mergeCell ref="J879:K879"/>
    <mergeCell ref="J887:K887"/>
    <mergeCell ref="J895:K895"/>
    <mergeCell ref="J903:K903"/>
    <mergeCell ref="J827:K827"/>
    <mergeCell ref="C829:K829"/>
    <mergeCell ref="J837:K837"/>
    <mergeCell ref="J845:K845"/>
    <mergeCell ref="C847:K847"/>
    <mergeCell ref="J855:K855"/>
    <mergeCell ref="J788:K788"/>
    <mergeCell ref="J796:K796"/>
    <mergeCell ref="C798:K798"/>
    <mergeCell ref="J805:K805"/>
    <mergeCell ref="J812:K812"/>
    <mergeCell ref="J819:K819"/>
    <mergeCell ref="J765:K765"/>
    <mergeCell ref="A765:I765"/>
    <mergeCell ref="A768:L768"/>
    <mergeCell ref="A770:L770"/>
    <mergeCell ref="C772:K772"/>
    <mergeCell ref="J780:K780"/>
    <mergeCell ref="C719:K719"/>
    <mergeCell ref="J729:K729"/>
    <mergeCell ref="J739:K739"/>
    <mergeCell ref="J749:K749"/>
    <mergeCell ref="J760:K760"/>
    <mergeCell ref="J762:K762"/>
    <mergeCell ref="A762:I762"/>
    <mergeCell ref="J690:K690"/>
    <mergeCell ref="A690:I690"/>
    <mergeCell ref="A693:L693"/>
    <mergeCell ref="C695:K695"/>
    <mergeCell ref="J706:K706"/>
    <mergeCell ref="J717:K717"/>
    <mergeCell ref="J652:K652"/>
    <mergeCell ref="J659:K659"/>
    <mergeCell ref="C661:K661"/>
    <mergeCell ref="J671:K671"/>
    <mergeCell ref="J678:K678"/>
    <mergeCell ref="J688:K688"/>
    <mergeCell ref="A613:L613"/>
    <mergeCell ref="A615:L615"/>
    <mergeCell ref="C617:K617"/>
    <mergeCell ref="J628:K628"/>
    <mergeCell ref="J636:K636"/>
    <mergeCell ref="J644:K644"/>
    <mergeCell ref="C603:K603"/>
    <mergeCell ref="C605:K605"/>
    <mergeCell ref="J607:K607"/>
    <mergeCell ref="A607:I607"/>
    <mergeCell ref="J610:K610"/>
    <mergeCell ref="A610:I610"/>
    <mergeCell ref="J565:K565"/>
    <mergeCell ref="J576:K576"/>
    <mergeCell ref="J584:K584"/>
    <mergeCell ref="J591:K591"/>
    <mergeCell ref="J599:K599"/>
    <mergeCell ref="C601:K601"/>
    <mergeCell ref="J502:K502"/>
    <mergeCell ref="J512:K512"/>
    <mergeCell ref="J523:K523"/>
    <mergeCell ref="J534:K534"/>
    <mergeCell ref="J543:K543"/>
    <mergeCell ref="J554:K554"/>
    <mergeCell ref="J454:K454"/>
    <mergeCell ref="J465:K465"/>
    <mergeCell ref="J474:K474"/>
    <mergeCell ref="J481:K481"/>
    <mergeCell ref="J489:K489"/>
    <mergeCell ref="C491:K491"/>
    <mergeCell ref="A405:I405"/>
    <mergeCell ref="A408:L408"/>
    <mergeCell ref="C410:K410"/>
    <mergeCell ref="J421:K421"/>
    <mergeCell ref="J432:K432"/>
    <mergeCell ref="J443:K443"/>
    <mergeCell ref="J372:K372"/>
    <mergeCell ref="J379:K379"/>
    <mergeCell ref="J387:K387"/>
    <mergeCell ref="J395:K395"/>
    <mergeCell ref="J403:K403"/>
    <mergeCell ref="J405:K405"/>
    <mergeCell ref="C355:K355"/>
    <mergeCell ref="C357:K357"/>
    <mergeCell ref="J359:K359"/>
    <mergeCell ref="A359:I359"/>
    <mergeCell ref="A362:L362"/>
    <mergeCell ref="C364:K364"/>
    <mergeCell ref="J321:K321"/>
    <mergeCell ref="J331:K331"/>
    <mergeCell ref="J341:K341"/>
    <mergeCell ref="J349:K349"/>
    <mergeCell ref="C351:K351"/>
    <mergeCell ref="C353:K353"/>
    <mergeCell ref="J273:K273"/>
    <mergeCell ref="J280:K280"/>
    <mergeCell ref="J289:K289"/>
    <mergeCell ref="J299:K299"/>
    <mergeCell ref="J306:K306"/>
    <mergeCell ref="J313:K313"/>
    <mergeCell ref="J223:K223"/>
    <mergeCell ref="J231:K231"/>
    <mergeCell ref="J241:K241"/>
    <mergeCell ref="J248:K248"/>
    <mergeCell ref="J258:K258"/>
    <mergeCell ref="J266:K266"/>
    <mergeCell ref="J204:K204"/>
    <mergeCell ref="A204:I204"/>
    <mergeCell ref="A207:L207"/>
    <mergeCell ref="A209:L209"/>
    <mergeCell ref="C211:K211"/>
    <mergeCell ref="C213:K213"/>
    <mergeCell ref="A192:I192"/>
    <mergeCell ref="A195:L195"/>
    <mergeCell ref="C197:K197"/>
    <mergeCell ref="C199:K199"/>
    <mergeCell ref="J201:K201"/>
    <mergeCell ref="A201:I201"/>
    <mergeCell ref="J155:K155"/>
    <mergeCell ref="J166:K166"/>
    <mergeCell ref="J175:K175"/>
    <mergeCell ref="J182:K182"/>
    <mergeCell ref="J190:K190"/>
    <mergeCell ref="J192:K192"/>
    <mergeCell ref="J106:K106"/>
    <mergeCell ref="J117:K117"/>
    <mergeCell ref="J127:K127"/>
    <mergeCell ref="J134:K134"/>
    <mergeCell ref="J142:K142"/>
    <mergeCell ref="C144:K144"/>
    <mergeCell ref="J78:K78"/>
    <mergeCell ref="J88:K88"/>
    <mergeCell ref="J90:K90"/>
    <mergeCell ref="A90:I90"/>
    <mergeCell ref="A93:L93"/>
    <mergeCell ref="C95:K95"/>
    <mergeCell ref="A42:L42"/>
    <mergeCell ref="C44:K44"/>
    <mergeCell ref="J54:K54"/>
    <mergeCell ref="J61:K61"/>
    <mergeCell ref="J69:K69"/>
    <mergeCell ref="C71:K71"/>
    <mergeCell ref="J33:J35"/>
    <mergeCell ref="K33:K35"/>
    <mergeCell ref="A34:A35"/>
    <mergeCell ref="B34:B35"/>
    <mergeCell ref="A38:L38"/>
    <mergeCell ref="A40:L40"/>
    <mergeCell ref="H31:I31"/>
    <mergeCell ref="A33:B33"/>
    <mergeCell ref="C33:C35"/>
    <mergeCell ref="D33:D35"/>
    <mergeCell ref="E33:E35"/>
    <mergeCell ref="F33:F35"/>
    <mergeCell ref="G33:G35"/>
    <mergeCell ref="H33:H35"/>
    <mergeCell ref="I33:I35"/>
    <mergeCell ref="J22:L22"/>
    <mergeCell ref="G24:G25"/>
    <mergeCell ref="H24:H25"/>
    <mergeCell ref="I24:J24"/>
    <mergeCell ref="A28:L28"/>
    <mergeCell ref="A29:L29"/>
    <mergeCell ref="C18:H18"/>
    <mergeCell ref="G19:I19"/>
    <mergeCell ref="J19:L19"/>
    <mergeCell ref="G20:H20"/>
    <mergeCell ref="J20:L20"/>
    <mergeCell ref="J21:L21"/>
    <mergeCell ref="C16:H16"/>
    <mergeCell ref="J16:L17"/>
    <mergeCell ref="C17:H17"/>
    <mergeCell ref="C9:H9"/>
    <mergeCell ref="C10:H10"/>
    <mergeCell ref="J10:L11"/>
    <mergeCell ref="C11:H11"/>
    <mergeCell ref="C12:H12"/>
    <mergeCell ref="J12:L13"/>
    <mergeCell ref="C13:H13"/>
    <mergeCell ref="I2:L2"/>
    <mergeCell ref="I3:L3"/>
    <mergeCell ref="I4:L4"/>
    <mergeCell ref="J6:L6"/>
    <mergeCell ref="J7:L7"/>
    <mergeCell ref="J8:L9"/>
    <mergeCell ref="C14:H14"/>
    <mergeCell ref="J14:L15"/>
    <mergeCell ref="C15:H15"/>
  </mergeCells>
  <pageMargins left="0.4" right="0.2" top="0.2" bottom="0.4" header="0.2" footer="0.2"/>
  <pageSetup paperSize="9" scale="57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K1000"/>
  <sheetViews>
    <sheetView workbookViewId="0">
      <selection activeCell="A996" sqref="A996:O996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996</v>
      </c>
      <c r="C12" s="1">
        <v>0</v>
      </c>
      <c r="D12" s="1">
        <f>ROW(A957)</f>
        <v>957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B957</f>
        <v>996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объект_(Копия)_(Копия)</v>
      </c>
      <c r="G18" s="2" t="str">
        <f t="shared" si="0"/>
        <v>СН_7.2_на 4 мес. (10%) испр.</v>
      </c>
      <c r="H18" s="2"/>
      <c r="I18" s="2"/>
      <c r="J18" s="2"/>
      <c r="K18" s="2"/>
      <c r="L18" s="2"/>
      <c r="M18" s="2"/>
      <c r="N18" s="2"/>
      <c r="O18" s="2">
        <f t="shared" ref="O18:AT18" si="1">O957</f>
        <v>1479506.74</v>
      </c>
      <c r="P18" s="2">
        <f t="shared" si="1"/>
        <v>18897.810000000001</v>
      </c>
      <c r="Q18" s="2">
        <f t="shared" si="1"/>
        <v>49277.29</v>
      </c>
      <c r="R18" s="2">
        <f t="shared" si="1"/>
        <v>30780.400000000001</v>
      </c>
      <c r="S18" s="2">
        <f t="shared" si="1"/>
        <v>1411331.64</v>
      </c>
      <c r="T18" s="2">
        <f t="shared" si="1"/>
        <v>0</v>
      </c>
      <c r="U18" s="2">
        <f t="shared" si="1"/>
        <v>2347.5673999999999</v>
      </c>
      <c r="V18" s="2">
        <f t="shared" si="1"/>
        <v>0</v>
      </c>
      <c r="W18" s="2">
        <f t="shared" si="1"/>
        <v>0</v>
      </c>
      <c r="X18" s="2">
        <f t="shared" si="1"/>
        <v>987932.15</v>
      </c>
      <c r="Y18" s="2">
        <f t="shared" si="1"/>
        <v>141133.20000000001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2641814.9300000002</v>
      </c>
      <c r="AS18" s="2">
        <f t="shared" si="1"/>
        <v>0</v>
      </c>
      <c r="AT18" s="2">
        <f t="shared" si="1"/>
        <v>0</v>
      </c>
      <c r="AU18" s="2">
        <f t="shared" ref="AU18:BZ18" si="2">AU957</f>
        <v>2641814.9300000002</v>
      </c>
      <c r="AV18" s="2">
        <f t="shared" si="2"/>
        <v>18897.810000000001</v>
      </c>
      <c r="AW18" s="2">
        <f t="shared" si="2"/>
        <v>18897.810000000001</v>
      </c>
      <c r="AX18" s="2">
        <f t="shared" si="2"/>
        <v>0</v>
      </c>
      <c r="AY18" s="2">
        <f t="shared" si="2"/>
        <v>18897.810000000001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CA957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DG957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EM957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FS957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ROW(A927)</f>
        <v>927</v>
      </c>
      <c r="E20" s="1"/>
      <c r="F20" s="1" t="s">
        <v>3</v>
      </c>
      <c r="G20" s="1" t="s">
        <v>12</v>
      </c>
      <c r="H20" s="1" t="s">
        <v>3</v>
      </c>
      <c r="I20" s="1">
        <v>0</v>
      </c>
      <c r="J20" s="1" t="s">
        <v>3</v>
      </c>
      <c r="K20" s="1">
        <v>0</v>
      </c>
      <c r="L20" s="1" t="s">
        <v>12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B927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O927</f>
        <v>1479506.74</v>
      </c>
      <c r="P22" s="2">
        <f t="shared" si="8"/>
        <v>18897.810000000001</v>
      </c>
      <c r="Q22" s="2">
        <f t="shared" si="8"/>
        <v>49277.29</v>
      </c>
      <c r="R22" s="2">
        <f t="shared" si="8"/>
        <v>30780.400000000001</v>
      </c>
      <c r="S22" s="2">
        <f t="shared" si="8"/>
        <v>1411331.64</v>
      </c>
      <c r="T22" s="2">
        <f t="shared" si="8"/>
        <v>0</v>
      </c>
      <c r="U22" s="2">
        <f t="shared" si="8"/>
        <v>2347.5673999999999</v>
      </c>
      <c r="V22" s="2">
        <f t="shared" si="8"/>
        <v>0</v>
      </c>
      <c r="W22" s="2">
        <f t="shared" si="8"/>
        <v>0</v>
      </c>
      <c r="X22" s="2">
        <f t="shared" si="8"/>
        <v>987932.15</v>
      </c>
      <c r="Y22" s="2">
        <f t="shared" si="8"/>
        <v>141133.20000000001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2641814.9300000002</v>
      </c>
      <c r="AS22" s="2">
        <f t="shared" si="8"/>
        <v>0</v>
      </c>
      <c r="AT22" s="2">
        <f t="shared" si="8"/>
        <v>0</v>
      </c>
      <c r="AU22" s="2">
        <f t="shared" ref="AU22:BZ22" si="9">AU927</f>
        <v>2641814.9300000002</v>
      </c>
      <c r="AV22" s="2">
        <f t="shared" si="9"/>
        <v>18897.810000000001</v>
      </c>
      <c r="AW22" s="2">
        <f t="shared" si="9"/>
        <v>18897.810000000001</v>
      </c>
      <c r="AX22" s="2">
        <f t="shared" si="9"/>
        <v>0</v>
      </c>
      <c r="AY22" s="2">
        <f t="shared" si="9"/>
        <v>18897.810000000001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CA927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DG927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EM927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FS927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ROW(A172)</f>
        <v>172</v>
      </c>
      <c r="E24" s="1"/>
      <c r="F24" s="1" t="s">
        <v>13</v>
      </c>
      <c r="G24" s="1" t="s">
        <v>14</v>
      </c>
      <c r="H24" s="1" t="s">
        <v>3</v>
      </c>
      <c r="I24" s="1">
        <v>0</v>
      </c>
      <c r="J24" s="1"/>
      <c r="K24" s="1">
        <v>-1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B172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1.Водоснабжение и водоотведение</v>
      </c>
      <c r="H26" s="2"/>
      <c r="I26" s="2"/>
      <c r="J26" s="2"/>
      <c r="K26" s="2"/>
      <c r="L26" s="2"/>
      <c r="M26" s="2"/>
      <c r="N26" s="2"/>
      <c r="O26" s="2">
        <f t="shared" ref="O26:AT26" si="15">O172</f>
        <v>342932.85</v>
      </c>
      <c r="P26" s="2">
        <f t="shared" si="15"/>
        <v>2232.92</v>
      </c>
      <c r="Q26" s="2">
        <f t="shared" si="15"/>
        <v>22625.9</v>
      </c>
      <c r="R26" s="2">
        <f t="shared" si="15"/>
        <v>14277.4</v>
      </c>
      <c r="S26" s="2">
        <f t="shared" si="15"/>
        <v>318074.03000000003</v>
      </c>
      <c r="T26" s="2">
        <f t="shared" si="15"/>
        <v>0</v>
      </c>
      <c r="U26" s="2">
        <f t="shared" si="15"/>
        <v>592.88079999999991</v>
      </c>
      <c r="V26" s="2">
        <f t="shared" si="15"/>
        <v>0</v>
      </c>
      <c r="W26" s="2">
        <f t="shared" si="15"/>
        <v>0</v>
      </c>
      <c r="X26" s="2">
        <f t="shared" si="15"/>
        <v>222651.82</v>
      </c>
      <c r="Y26" s="2">
        <f t="shared" si="15"/>
        <v>31807.41</v>
      </c>
      <c r="Z26" s="2">
        <f t="shared" si="15"/>
        <v>0</v>
      </c>
      <c r="AA26" s="2">
        <f t="shared" si="15"/>
        <v>0</v>
      </c>
      <c r="AB26" s="2">
        <f t="shared" si="15"/>
        <v>0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612811.67000000004</v>
      </c>
      <c r="AS26" s="2">
        <f t="shared" si="15"/>
        <v>0</v>
      </c>
      <c r="AT26" s="2">
        <f t="shared" si="15"/>
        <v>0</v>
      </c>
      <c r="AU26" s="2">
        <f t="shared" ref="AU26:BZ26" si="16">AU172</f>
        <v>612811.67000000004</v>
      </c>
      <c r="AV26" s="2">
        <f t="shared" si="16"/>
        <v>2232.92</v>
      </c>
      <c r="AW26" s="2">
        <f t="shared" si="16"/>
        <v>2232.92</v>
      </c>
      <c r="AX26" s="2">
        <f t="shared" si="16"/>
        <v>0</v>
      </c>
      <c r="AY26" s="2">
        <f t="shared" si="16"/>
        <v>2232.92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CA172</f>
        <v>0</v>
      </c>
      <c r="CB26" s="2">
        <f t="shared" si="17"/>
        <v>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DG172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EM172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FS172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 s="1">
        <v>5</v>
      </c>
      <c r="B28" s="1">
        <v>1</v>
      </c>
      <c r="C28" s="1"/>
      <c r="D28" s="1">
        <f>ROW(A44)</f>
        <v>44</v>
      </c>
      <c r="E28" s="1"/>
      <c r="F28" s="1" t="s">
        <v>15</v>
      </c>
      <c r="G28" s="1" t="s">
        <v>16</v>
      </c>
      <c r="H28" s="1" t="s">
        <v>3</v>
      </c>
      <c r="I28" s="1">
        <v>0</v>
      </c>
      <c r="J28" s="1"/>
      <c r="K28" s="1">
        <v>-1</v>
      </c>
      <c r="L28" s="1"/>
      <c r="M28" s="1" t="s">
        <v>3</v>
      </c>
      <c r="N28" s="1"/>
      <c r="O28" s="1"/>
      <c r="P28" s="1"/>
      <c r="Q28" s="1"/>
      <c r="R28" s="1"/>
      <c r="S28" s="1">
        <v>0</v>
      </c>
      <c r="T28" s="1"/>
      <c r="U28" s="1" t="s">
        <v>3</v>
      </c>
      <c r="V28" s="1">
        <v>0</v>
      </c>
      <c r="W28" s="1"/>
      <c r="X28" s="1"/>
      <c r="Y28" s="1"/>
      <c r="Z28" s="1"/>
      <c r="AA28" s="1"/>
      <c r="AB28" s="1" t="s">
        <v>3</v>
      </c>
      <c r="AC28" s="1" t="s">
        <v>3</v>
      </c>
      <c r="AD28" s="1" t="s">
        <v>3</v>
      </c>
      <c r="AE28" s="1" t="s">
        <v>3</v>
      </c>
      <c r="AF28" s="1" t="s">
        <v>3</v>
      </c>
      <c r="AG28" s="1" t="s">
        <v>3</v>
      </c>
      <c r="AH28" s="1"/>
      <c r="AI28" s="1"/>
      <c r="AJ28" s="1"/>
      <c r="AK28" s="1"/>
      <c r="AL28" s="1"/>
      <c r="AM28" s="1"/>
      <c r="AN28" s="1"/>
      <c r="AO28" s="1"/>
      <c r="AP28" s="1" t="s">
        <v>3</v>
      </c>
      <c r="AQ28" s="1" t="s">
        <v>3</v>
      </c>
      <c r="AR28" s="1" t="s">
        <v>3</v>
      </c>
      <c r="AS28" s="1"/>
      <c r="AT28" s="1"/>
      <c r="AU28" s="1"/>
      <c r="AV28" s="1"/>
      <c r="AW28" s="1"/>
      <c r="AX28" s="1"/>
      <c r="AY28" s="1"/>
      <c r="AZ28" s="1" t="s">
        <v>3</v>
      </c>
      <c r="BA28" s="1"/>
      <c r="BB28" s="1" t="s">
        <v>3</v>
      </c>
      <c r="BC28" s="1" t="s">
        <v>3</v>
      </c>
      <c r="BD28" s="1" t="s">
        <v>3</v>
      </c>
      <c r="BE28" s="1" t="s">
        <v>3</v>
      </c>
      <c r="BF28" s="1" t="s">
        <v>3</v>
      </c>
      <c r="BG28" s="1" t="s">
        <v>3</v>
      </c>
      <c r="BH28" s="1" t="s">
        <v>3</v>
      </c>
      <c r="BI28" s="1" t="s">
        <v>3</v>
      </c>
      <c r="BJ28" s="1" t="s">
        <v>3</v>
      </c>
      <c r="BK28" s="1" t="s">
        <v>3</v>
      </c>
      <c r="BL28" s="1" t="s">
        <v>3</v>
      </c>
      <c r="BM28" s="1" t="s">
        <v>3</v>
      </c>
      <c r="BN28" s="1" t="s">
        <v>3</v>
      </c>
      <c r="BO28" s="1" t="s">
        <v>3</v>
      </c>
      <c r="BP28" s="1" t="s">
        <v>3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45" x14ac:dyDescent="0.2">
      <c r="A30" s="2">
        <v>52</v>
      </c>
      <c r="B30" s="2">
        <f t="shared" ref="B30:G30" si="21">B44</f>
        <v>1</v>
      </c>
      <c r="C30" s="2">
        <f t="shared" si="21"/>
        <v>5</v>
      </c>
      <c r="D30" s="2">
        <f t="shared" si="21"/>
        <v>28</v>
      </c>
      <c r="E30" s="2">
        <f t="shared" si="21"/>
        <v>0</v>
      </c>
      <c r="F30" s="2" t="str">
        <f t="shared" si="21"/>
        <v>Новый подраздел</v>
      </c>
      <c r="G30" s="2" t="str">
        <f t="shared" si="21"/>
        <v>Водопровод</v>
      </c>
      <c r="H30" s="2"/>
      <c r="I30" s="2"/>
      <c r="J30" s="2"/>
      <c r="K30" s="2"/>
      <c r="L30" s="2"/>
      <c r="M30" s="2"/>
      <c r="N30" s="2"/>
      <c r="O30" s="2">
        <f t="shared" ref="O30:AT30" si="22">O44</f>
        <v>137661.9</v>
      </c>
      <c r="P30" s="2">
        <f t="shared" si="22"/>
        <v>42</v>
      </c>
      <c r="Q30" s="2">
        <f t="shared" si="22"/>
        <v>15166.92</v>
      </c>
      <c r="R30" s="2">
        <f t="shared" si="22"/>
        <v>9616.58</v>
      </c>
      <c r="S30" s="2">
        <f t="shared" si="22"/>
        <v>122452.98</v>
      </c>
      <c r="T30" s="2">
        <f t="shared" si="22"/>
        <v>0</v>
      </c>
      <c r="U30" s="2">
        <f t="shared" si="22"/>
        <v>214.685</v>
      </c>
      <c r="V30" s="2">
        <f t="shared" si="22"/>
        <v>0</v>
      </c>
      <c r="W30" s="2">
        <f t="shared" si="22"/>
        <v>0</v>
      </c>
      <c r="X30" s="2">
        <f t="shared" si="22"/>
        <v>85717.09</v>
      </c>
      <c r="Y30" s="2">
        <f t="shared" si="22"/>
        <v>12245.3</v>
      </c>
      <c r="Z30" s="2">
        <f t="shared" si="22"/>
        <v>0</v>
      </c>
      <c r="AA30" s="2">
        <f t="shared" si="22"/>
        <v>0</v>
      </c>
      <c r="AB30" s="2">
        <f t="shared" si="22"/>
        <v>137661.9</v>
      </c>
      <c r="AC30" s="2">
        <f t="shared" si="22"/>
        <v>42</v>
      </c>
      <c r="AD30" s="2">
        <f t="shared" si="22"/>
        <v>15166.92</v>
      </c>
      <c r="AE30" s="2">
        <f t="shared" si="22"/>
        <v>9616.58</v>
      </c>
      <c r="AF30" s="2">
        <f t="shared" si="22"/>
        <v>122452.98</v>
      </c>
      <c r="AG30" s="2">
        <f t="shared" si="22"/>
        <v>0</v>
      </c>
      <c r="AH30" s="2">
        <f t="shared" si="22"/>
        <v>214.685</v>
      </c>
      <c r="AI30" s="2">
        <f t="shared" si="22"/>
        <v>0</v>
      </c>
      <c r="AJ30" s="2">
        <f t="shared" si="22"/>
        <v>0</v>
      </c>
      <c r="AK30" s="2">
        <f t="shared" si="22"/>
        <v>85717.09</v>
      </c>
      <c r="AL30" s="2">
        <f t="shared" si="22"/>
        <v>12245.3</v>
      </c>
      <c r="AM30" s="2">
        <f t="shared" si="22"/>
        <v>0</v>
      </c>
      <c r="AN30" s="2">
        <f t="shared" si="22"/>
        <v>0</v>
      </c>
      <c r="AO30" s="2">
        <f t="shared" si="22"/>
        <v>0</v>
      </c>
      <c r="AP30" s="2">
        <f t="shared" si="22"/>
        <v>0</v>
      </c>
      <c r="AQ30" s="2">
        <f t="shared" si="22"/>
        <v>0</v>
      </c>
      <c r="AR30" s="2">
        <f t="shared" si="22"/>
        <v>246010.2</v>
      </c>
      <c r="AS30" s="2">
        <f t="shared" si="22"/>
        <v>0</v>
      </c>
      <c r="AT30" s="2">
        <f t="shared" si="22"/>
        <v>0</v>
      </c>
      <c r="AU30" s="2">
        <f t="shared" ref="AU30:BZ30" si="23">AU44</f>
        <v>246010.2</v>
      </c>
      <c r="AV30" s="2">
        <f t="shared" si="23"/>
        <v>42</v>
      </c>
      <c r="AW30" s="2">
        <f t="shared" si="23"/>
        <v>42</v>
      </c>
      <c r="AX30" s="2">
        <f t="shared" si="23"/>
        <v>0</v>
      </c>
      <c r="AY30" s="2">
        <f t="shared" si="23"/>
        <v>42</v>
      </c>
      <c r="AZ30" s="2">
        <f t="shared" si="23"/>
        <v>0</v>
      </c>
      <c r="BA30" s="2">
        <f t="shared" si="23"/>
        <v>0</v>
      </c>
      <c r="BB30" s="2">
        <f t="shared" si="23"/>
        <v>0</v>
      </c>
      <c r="BC30" s="2">
        <f t="shared" si="23"/>
        <v>0</v>
      </c>
      <c r="BD30" s="2">
        <f t="shared" si="23"/>
        <v>0</v>
      </c>
      <c r="BE30" s="2">
        <f t="shared" si="23"/>
        <v>0</v>
      </c>
      <c r="BF30" s="2">
        <f t="shared" si="23"/>
        <v>0</v>
      </c>
      <c r="BG30" s="2">
        <f t="shared" si="23"/>
        <v>0</v>
      </c>
      <c r="BH30" s="2">
        <f t="shared" si="23"/>
        <v>0</v>
      </c>
      <c r="BI30" s="2">
        <f t="shared" si="23"/>
        <v>0</v>
      </c>
      <c r="BJ30" s="2">
        <f t="shared" si="23"/>
        <v>0</v>
      </c>
      <c r="BK30" s="2">
        <f t="shared" si="23"/>
        <v>0</v>
      </c>
      <c r="BL30" s="2">
        <f t="shared" si="23"/>
        <v>0</v>
      </c>
      <c r="BM30" s="2">
        <f t="shared" si="23"/>
        <v>0</v>
      </c>
      <c r="BN30" s="2">
        <f t="shared" si="23"/>
        <v>0</v>
      </c>
      <c r="BO30" s="2">
        <f t="shared" si="23"/>
        <v>0</v>
      </c>
      <c r="BP30" s="2">
        <f t="shared" si="23"/>
        <v>0</v>
      </c>
      <c r="BQ30" s="2">
        <f t="shared" si="23"/>
        <v>0</v>
      </c>
      <c r="BR30" s="2">
        <f t="shared" si="23"/>
        <v>0</v>
      </c>
      <c r="BS30" s="2">
        <f t="shared" si="23"/>
        <v>0</v>
      </c>
      <c r="BT30" s="2">
        <f t="shared" si="23"/>
        <v>0</v>
      </c>
      <c r="BU30" s="2">
        <f t="shared" si="23"/>
        <v>0</v>
      </c>
      <c r="BV30" s="2">
        <f t="shared" si="23"/>
        <v>0</v>
      </c>
      <c r="BW30" s="2">
        <f t="shared" si="23"/>
        <v>0</v>
      </c>
      <c r="BX30" s="2">
        <f t="shared" si="23"/>
        <v>0</v>
      </c>
      <c r="BY30" s="2">
        <f t="shared" si="23"/>
        <v>0</v>
      </c>
      <c r="BZ30" s="2">
        <f t="shared" si="23"/>
        <v>0</v>
      </c>
      <c r="CA30" s="2">
        <f t="shared" ref="CA30:DF30" si="24">CA44</f>
        <v>246010.2</v>
      </c>
      <c r="CB30" s="2">
        <f t="shared" si="24"/>
        <v>0</v>
      </c>
      <c r="CC30" s="2">
        <f t="shared" si="24"/>
        <v>0</v>
      </c>
      <c r="CD30" s="2">
        <f t="shared" si="24"/>
        <v>246010.2</v>
      </c>
      <c r="CE30" s="2">
        <f t="shared" si="24"/>
        <v>42</v>
      </c>
      <c r="CF30" s="2">
        <f t="shared" si="24"/>
        <v>42</v>
      </c>
      <c r="CG30" s="2">
        <f t="shared" si="24"/>
        <v>0</v>
      </c>
      <c r="CH30" s="2">
        <f t="shared" si="24"/>
        <v>42</v>
      </c>
      <c r="CI30" s="2">
        <f t="shared" si="24"/>
        <v>0</v>
      </c>
      <c r="CJ30" s="2">
        <f t="shared" si="24"/>
        <v>0</v>
      </c>
      <c r="CK30" s="2">
        <f t="shared" si="24"/>
        <v>0</v>
      </c>
      <c r="CL30" s="2">
        <f t="shared" si="24"/>
        <v>0</v>
      </c>
      <c r="CM30" s="2">
        <f t="shared" si="24"/>
        <v>0</v>
      </c>
      <c r="CN30" s="2">
        <f t="shared" si="24"/>
        <v>0</v>
      </c>
      <c r="CO30" s="2">
        <f t="shared" si="24"/>
        <v>0</v>
      </c>
      <c r="CP30" s="2">
        <f t="shared" si="24"/>
        <v>0</v>
      </c>
      <c r="CQ30" s="2">
        <f t="shared" si="24"/>
        <v>0</v>
      </c>
      <c r="CR30" s="2">
        <f t="shared" si="24"/>
        <v>0</v>
      </c>
      <c r="CS30" s="2">
        <f t="shared" si="24"/>
        <v>0</v>
      </c>
      <c r="CT30" s="2">
        <f t="shared" si="24"/>
        <v>0</v>
      </c>
      <c r="CU30" s="2">
        <f t="shared" si="24"/>
        <v>0</v>
      </c>
      <c r="CV30" s="2">
        <f t="shared" si="24"/>
        <v>0</v>
      </c>
      <c r="CW30" s="2">
        <f t="shared" si="24"/>
        <v>0</v>
      </c>
      <c r="CX30" s="2">
        <f t="shared" si="24"/>
        <v>0</v>
      </c>
      <c r="CY30" s="2">
        <f t="shared" si="24"/>
        <v>0</v>
      </c>
      <c r="CZ30" s="2">
        <f t="shared" si="24"/>
        <v>0</v>
      </c>
      <c r="DA30" s="2">
        <f t="shared" si="24"/>
        <v>0</v>
      </c>
      <c r="DB30" s="2">
        <f t="shared" si="24"/>
        <v>0</v>
      </c>
      <c r="DC30" s="2">
        <f t="shared" si="24"/>
        <v>0</v>
      </c>
      <c r="DD30" s="2">
        <f t="shared" si="24"/>
        <v>0</v>
      </c>
      <c r="DE30" s="2">
        <f t="shared" si="24"/>
        <v>0</v>
      </c>
      <c r="DF30" s="2">
        <f t="shared" si="24"/>
        <v>0</v>
      </c>
      <c r="DG30" s="3">
        <f t="shared" ref="DG30:EL30" si="25">DG44</f>
        <v>0</v>
      </c>
      <c r="DH30" s="3">
        <f t="shared" si="25"/>
        <v>0</v>
      </c>
      <c r="DI30" s="3">
        <f t="shared" si="25"/>
        <v>0</v>
      </c>
      <c r="DJ30" s="3">
        <f t="shared" si="25"/>
        <v>0</v>
      </c>
      <c r="DK30" s="3">
        <f t="shared" si="25"/>
        <v>0</v>
      </c>
      <c r="DL30" s="3">
        <f t="shared" si="25"/>
        <v>0</v>
      </c>
      <c r="DM30" s="3">
        <f t="shared" si="25"/>
        <v>0</v>
      </c>
      <c r="DN30" s="3">
        <f t="shared" si="25"/>
        <v>0</v>
      </c>
      <c r="DO30" s="3">
        <f t="shared" si="25"/>
        <v>0</v>
      </c>
      <c r="DP30" s="3">
        <f t="shared" si="25"/>
        <v>0</v>
      </c>
      <c r="DQ30" s="3">
        <f t="shared" si="25"/>
        <v>0</v>
      </c>
      <c r="DR30" s="3">
        <f t="shared" si="25"/>
        <v>0</v>
      </c>
      <c r="DS30" s="3">
        <f t="shared" si="25"/>
        <v>0</v>
      </c>
      <c r="DT30" s="3">
        <f t="shared" si="25"/>
        <v>0</v>
      </c>
      <c r="DU30" s="3">
        <f t="shared" si="25"/>
        <v>0</v>
      </c>
      <c r="DV30" s="3">
        <f t="shared" si="25"/>
        <v>0</v>
      </c>
      <c r="DW30" s="3">
        <f t="shared" si="25"/>
        <v>0</v>
      </c>
      <c r="DX30" s="3">
        <f t="shared" si="25"/>
        <v>0</v>
      </c>
      <c r="DY30" s="3">
        <f t="shared" si="25"/>
        <v>0</v>
      </c>
      <c r="DZ30" s="3">
        <f t="shared" si="25"/>
        <v>0</v>
      </c>
      <c r="EA30" s="3">
        <f t="shared" si="25"/>
        <v>0</v>
      </c>
      <c r="EB30" s="3">
        <f t="shared" si="25"/>
        <v>0</v>
      </c>
      <c r="EC30" s="3">
        <f t="shared" si="25"/>
        <v>0</v>
      </c>
      <c r="ED30" s="3">
        <f t="shared" si="25"/>
        <v>0</v>
      </c>
      <c r="EE30" s="3">
        <f t="shared" si="25"/>
        <v>0</v>
      </c>
      <c r="EF30" s="3">
        <f t="shared" si="25"/>
        <v>0</v>
      </c>
      <c r="EG30" s="3">
        <f t="shared" si="25"/>
        <v>0</v>
      </c>
      <c r="EH30" s="3">
        <f t="shared" si="25"/>
        <v>0</v>
      </c>
      <c r="EI30" s="3">
        <f t="shared" si="25"/>
        <v>0</v>
      </c>
      <c r="EJ30" s="3">
        <f t="shared" si="25"/>
        <v>0</v>
      </c>
      <c r="EK30" s="3">
        <f t="shared" si="25"/>
        <v>0</v>
      </c>
      <c r="EL30" s="3">
        <f t="shared" si="25"/>
        <v>0</v>
      </c>
      <c r="EM30" s="3">
        <f t="shared" ref="EM30:FR30" si="26">EM44</f>
        <v>0</v>
      </c>
      <c r="EN30" s="3">
        <f t="shared" si="26"/>
        <v>0</v>
      </c>
      <c r="EO30" s="3">
        <f t="shared" si="26"/>
        <v>0</v>
      </c>
      <c r="EP30" s="3">
        <f t="shared" si="26"/>
        <v>0</v>
      </c>
      <c r="EQ30" s="3">
        <f t="shared" si="26"/>
        <v>0</v>
      </c>
      <c r="ER30" s="3">
        <f t="shared" si="26"/>
        <v>0</v>
      </c>
      <c r="ES30" s="3">
        <f t="shared" si="26"/>
        <v>0</v>
      </c>
      <c r="ET30" s="3">
        <f t="shared" si="26"/>
        <v>0</v>
      </c>
      <c r="EU30" s="3">
        <f t="shared" si="26"/>
        <v>0</v>
      </c>
      <c r="EV30" s="3">
        <f t="shared" si="26"/>
        <v>0</v>
      </c>
      <c r="EW30" s="3">
        <f t="shared" si="26"/>
        <v>0</v>
      </c>
      <c r="EX30" s="3">
        <f t="shared" si="26"/>
        <v>0</v>
      </c>
      <c r="EY30" s="3">
        <f t="shared" si="26"/>
        <v>0</v>
      </c>
      <c r="EZ30" s="3">
        <f t="shared" si="26"/>
        <v>0</v>
      </c>
      <c r="FA30" s="3">
        <f t="shared" si="26"/>
        <v>0</v>
      </c>
      <c r="FB30" s="3">
        <f t="shared" si="26"/>
        <v>0</v>
      </c>
      <c r="FC30" s="3">
        <f t="shared" si="26"/>
        <v>0</v>
      </c>
      <c r="FD30" s="3">
        <f t="shared" si="26"/>
        <v>0</v>
      </c>
      <c r="FE30" s="3">
        <f t="shared" si="26"/>
        <v>0</v>
      </c>
      <c r="FF30" s="3">
        <f t="shared" si="26"/>
        <v>0</v>
      </c>
      <c r="FG30" s="3">
        <f t="shared" si="26"/>
        <v>0</v>
      </c>
      <c r="FH30" s="3">
        <f t="shared" si="26"/>
        <v>0</v>
      </c>
      <c r="FI30" s="3">
        <f t="shared" si="26"/>
        <v>0</v>
      </c>
      <c r="FJ30" s="3">
        <f t="shared" si="26"/>
        <v>0</v>
      </c>
      <c r="FK30" s="3">
        <f t="shared" si="26"/>
        <v>0</v>
      </c>
      <c r="FL30" s="3">
        <f t="shared" si="26"/>
        <v>0</v>
      </c>
      <c r="FM30" s="3">
        <f t="shared" si="26"/>
        <v>0</v>
      </c>
      <c r="FN30" s="3">
        <f t="shared" si="26"/>
        <v>0</v>
      </c>
      <c r="FO30" s="3">
        <f t="shared" si="26"/>
        <v>0</v>
      </c>
      <c r="FP30" s="3">
        <f t="shared" si="26"/>
        <v>0</v>
      </c>
      <c r="FQ30" s="3">
        <f t="shared" si="26"/>
        <v>0</v>
      </c>
      <c r="FR30" s="3">
        <f t="shared" si="26"/>
        <v>0</v>
      </c>
      <c r="FS30" s="3">
        <f t="shared" ref="FS30:GX30" si="27">FS44</f>
        <v>0</v>
      </c>
      <c r="FT30" s="3">
        <f t="shared" si="27"/>
        <v>0</v>
      </c>
      <c r="FU30" s="3">
        <f t="shared" si="27"/>
        <v>0</v>
      </c>
      <c r="FV30" s="3">
        <f t="shared" si="27"/>
        <v>0</v>
      </c>
      <c r="FW30" s="3">
        <f t="shared" si="27"/>
        <v>0</v>
      </c>
      <c r="FX30" s="3">
        <f t="shared" si="27"/>
        <v>0</v>
      </c>
      <c r="FY30" s="3">
        <f t="shared" si="27"/>
        <v>0</v>
      </c>
      <c r="FZ30" s="3">
        <f t="shared" si="27"/>
        <v>0</v>
      </c>
      <c r="GA30" s="3">
        <f t="shared" si="27"/>
        <v>0</v>
      </c>
      <c r="GB30" s="3">
        <f t="shared" si="27"/>
        <v>0</v>
      </c>
      <c r="GC30" s="3">
        <f t="shared" si="27"/>
        <v>0</v>
      </c>
      <c r="GD30" s="3">
        <f t="shared" si="27"/>
        <v>0</v>
      </c>
      <c r="GE30" s="3">
        <f t="shared" si="27"/>
        <v>0</v>
      </c>
      <c r="GF30" s="3">
        <f t="shared" si="27"/>
        <v>0</v>
      </c>
      <c r="GG30" s="3">
        <f t="shared" si="27"/>
        <v>0</v>
      </c>
      <c r="GH30" s="3">
        <f t="shared" si="27"/>
        <v>0</v>
      </c>
      <c r="GI30" s="3">
        <f t="shared" si="27"/>
        <v>0</v>
      </c>
      <c r="GJ30" s="3">
        <f t="shared" si="27"/>
        <v>0</v>
      </c>
      <c r="GK30" s="3">
        <f t="shared" si="27"/>
        <v>0</v>
      </c>
      <c r="GL30" s="3">
        <f t="shared" si="27"/>
        <v>0</v>
      </c>
      <c r="GM30" s="3">
        <f t="shared" si="27"/>
        <v>0</v>
      </c>
      <c r="GN30" s="3">
        <f t="shared" si="27"/>
        <v>0</v>
      </c>
      <c r="GO30" s="3">
        <f t="shared" si="27"/>
        <v>0</v>
      </c>
      <c r="GP30" s="3">
        <f t="shared" si="27"/>
        <v>0</v>
      </c>
      <c r="GQ30" s="3">
        <f t="shared" si="27"/>
        <v>0</v>
      </c>
      <c r="GR30" s="3">
        <f t="shared" si="27"/>
        <v>0</v>
      </c>
      <c r="GS30" s="3">
        <f t="shared" si="27"/>
        <v>0</v>
      </c>
      <c r="GT30" s="3">
        <f t="shared" si="27"/>
        <v>0</v>
      </c>
      <c r="GU30" s="3">
        <f t="shared" si="27"/>
        <v>0</v>
      </c>
      <c r="GV30" s="3">
        <f t="shared" si="27"/>
        <v>0</v>
      </c>
      <c r="GW30" s="3">
        <f t="shared" si="27"/>
        <v>0</v>
      </c>
      <c r="GX30" s="3">
        <f t="shared" si="27"/>
        <v>0</v>
      </c>
    </row>
    <row r="32" spans="1:245" x14ac:dyDescent="0.2">
      <c r="A32">
        <v>19</v>
      </c>
      <c r="B32">
        <v>1</v>
      </c>
      <c r="F32" t="s">
        <v>3</v>
      </c>
      <c r="G32" t="s">
        <v>17</v>
      </c>
      <c r="H32" t="s">
        <v>3</v>
      </c>
      <c r="AA32">
        <v>1</v>
      </c>
      <c r="IK32">
        <v>0</v>
      </c>
    </row>
    <row r="33" spans="1:245" x14ac:dyDescent="0.2">
      <c r="A33">
        <v>17</v>
      </c>
      <c r="B33">
        <v>1</v>
      </c>
      <c r="D33">
        <f>ROW(EtalonRes!A1)</f>
        <v>1</v>
      </c>
      <c r="E33" t="s">
        <v>3</v>
      </c>
      <c r="F33" t="s">
        <v>18</v>
      </c>
      <c r="G33" t="s">
        <v>19</v>
      </c>
      <c r="H33" t="s">
        <v>20</v>
      </c>
      <c r="I33">
        <f>ROUND(ROUND(((320+322+80+80)*0.25)*3*0.1/100,9),9)</f>
        <v>0.60150000000000003</v>
      </c>
      <c r="J33">
        <v>0</v>
      </c>
      <c r="K33">
        <f>ROUND(ROUND(((320+322+80+80)*0.25)*3*0.1/100,9),9)</f>
        <v>0.60150000000000003</v>
      </c>
      <c r="O33">
        <f>ROUND(CP33,2)</f>
        <v>1217.32</v>
      </c>
      <c r="P33">
        <f>ROUND(CQ33*I33,2)</f>
        <v>0</v>
      </c>
      <c r="Q33">
        <f>ROUND(CR33*I33,2)</f>
        <v>0</v>
      </c>
      <c r="R33">
        <f>ROUND(CS33*I33,2)</f>
        <v>0</v>
      </c>
      <c r="S33">
        <f>ROUND(CT33*I33,2)</f>
        <v>1217.32</v>
      </c>
      <c r="T33">
        <f>ROUND(CU33*I33,2)</f>
        <v>0</v>
      </c>
      <c r="U33">
        <f>CV33*I33</f>
        <v>2.1654</v>
      </c>
      <c r="V33">
        <f>CW33*I33</f>
        <v>0</v>
      </c>
      <c r="W33">
        <f>ROUND(CX33*I33,2)</f>
        <v>0</v>
      </c>
      <c r="X33">
        <f t="shared" ref="X33:Y37" si="28">ROUND(CY33,2)</f>
        <v>852.12</v>
      </c>
      <c r="Y33">
        <f t="shared" si="28"/>
        <v>121.73</v>
      </c>
      <c r="AA33">
        <v>-1</v>
      </c>
      <c r="AB33">
        <f>ROUND((AC33+AD33+AF33),6)</f>
        <v>2023.8</v>
      </c>
      <c r="AC33">
        <f>ROUND(((ES33*4)),6)</f>
        <v>0</v>
      </c>
      <c r="AD33">
        <f>ROUND(((((ET33*4))-((EU33*4)))+AE33),6)</f>
        <v>0</v>
      </c>
      <c r="AE33">
        <f>ROUND(((EU33*4)),6)</f>
        <v>0</v>
      </c>
      <c r="AF33">
        <f>ROUND(((EV33*4)),6)</f>
        <v>2023.8</v>
      </c>
      <c r="AG33">
        <f>ROUND((AP33),6)</f>
        <v>0</v>
      </c>
      <c r="AH33">
        <f>((EW33*4))</f>
        <v>3.6</v>
      </c>
      <c r="AI33">
        <f>((EX33*4))</f>
        <v>0</v>
      </c>
      <c r="AJ33">
        <f>(AS33)</f>
        <v>0</v>
      </c>
      <c r="AK33">
        <v>505.95</v>
      </c>
      <c r="AL33">
        <v>0</v>
      </c>
      <c r="AM33">
        <v>0</v>
      </c>
      <c r="AN33">
        <v>0</v>
      </c>
      <c r="AO33">
        <v>505.95</v>
      </c>
      <c r="AP33">
        <v>0</v>
      </c>
      <c r="AQ33">
        <v>0.9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21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>(P33+Q33+S33)</f>
        <v>1217.32</v>
      </c>
      <c r="CQ33">
        <f>(AC33*BC33*AW33)</f>
        <v>0</v>
      </c>
      <c r="CR33">
        <f>(((((ET33*4))*BB33-((EU33*4))*BS33)+AE33*BS33)*AV33)</f>
        <v>0</v>
      </c>
      <c r="CS33">
        <f>(AE33*BS33*AV33)</f>
        <v>0</v>
      </c>
      <c r="CT33">
        <f>(AF33*BA33*AV33)</f>
        <v>2023.8</v>
      </c>
      <c r="CU33">
        <f>AG33</f>
        <v>0</v>
      </c>
      <c r="CV33">
        <f>(AH33*AV33)</f>
        <v>3.6</v>
      </c>
      <c r="CW33">
        <f t="shared" ref="CW33:CX37" si="29">AI33</f>
        <v>0</v>
      </c>
      <c r="CX33">
        <f t="shared" si="29"/>
        <v>0</v>
      </c>
      <c r="CY33">
        <f>((S33*BZ33)/100)</f>
        <v>852.12399999999991</v>
      </c>
      <c r="CZ33">
        <f>((S33*CA33)/100)</f>
        <v>121.73199999999999</v>
      </c>
      <c r="DC33" t="s">
        <v>3</v>
      </c>
      <c r="DD33" t="s">
        <v>22</v>
      </c>
      <c r="DE33" t="s">
        <v>22</v>
      </c>
      <c r="DF33" t="s">
        <v>22</v>
      </c>
      <c r="DG33" t="s">
        <v>22</v>
      </c>
      <c r="DH33" t="s">
        <v>3</v>
      </c>
      <c r="DI33" t="s">
        <v>22</v>
      </c>
      <c r="DJ33" t="s">
        <v>22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1003</v>
      </c>
      <c r="DV33" t="s">
        <v>20</v>
      </c>
      <c r="DW33" t="s">
        <v>20</v>
      </c>
      <c r="DX33">
        <v>100</v>
      </c>
      <c r="DZ33" t="s">
        <v>3</v>
      </c>
      <c r="EA33" t="s">
        <v>3</v>
      </c>
      <c r="EB33" t="s">
        <v>3</v>
      </c>
      <c r="EC33" t="s">
        <v>3</v>
      </c>
      <c r="EE33">
        <v>1441815344</v>
      </c>
      <c r="EF33">
        <v>1</v>
      </c>
      <c r="EG33" t="s">
        <v>23</v>
      </c>
      <c r="EH33">
        <v>0</v>
      </c>
      <c r="EI33" t="s">
        <v>3</v>
      </c>
      <c r="EJ33">
        <v>4</v>
      </c>
      <c r="EK33">
        <v>0</v>
      </c>
      <c r="EL33" t="s">
        <v>24</v>
      </c>
      <c r="EM33" t="s">
        <v>25</v>
      </c>
      <c r="EO33" t="s">
        <v>3</v>
      </c>
      <c r="EQ33">
        <v>1024</v>
      </c>
      <c r="ER33">
        <v>505.95</v>
      </c>
      <c r="ES33">
        <v>0</v>
      </c>
      <c r="ET33">
        <v>0</v>
      </c>
      <c r="EU33">
        <v>0</v>
      </c>
      <c r="EV33">
        <v>505.95</v>
      </c>
      <c r="EW33">
        <v>0.9</v>
      </c>
      <c r="EX33">
        <v>0</v>
      </c>
      <c r="EY33">
        <v>0</v>
      </c>
      <c r="FQ33">
        <v>0</v>
      </c>
      <c r="FR33">
        <f>ROUND(IF(BI33=3,GM33,0),2)</f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-341239612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>ROUND(IF(AND(BH33=3,BI33=3,FS33&lt;&gt;0),P33,0),2)</f>
        <v>0</v>
      </c>
      <c r="GM33">
        <f>ROUND(O33+X33+Y33+GK33,2)+GX33</f>
        <v>2191.17</v>
      </c>
      <c r="GN33">
        <f>IF(OR(BI33=0,BI33=1),GM33-GX33,0)</f>
        <v>0</v>
      </c>
      <c r="GO33">
        <f>IF(BI33=2,GM33-GX33,0)</f>
        <v>0</v>
      </c>
      <c r="GP33">
        <f>IF(BI33=4,GM33-GX33,0)</f>
        <v>2191.17</v>
      </c>
      <c r="GR33">
        <v>0</v>
      </c>
      <c r="GS33">
        <v>3</v>
      </c>
      <c r="GT33">
        <v>0</v>
      </c>
      <c r="GU33" t="s">
        <v>3</v>
      </c>
      <c r="GV33">
        <f>ROUND((GT33),6)</f>
        <v>0</v>
      </c>
      <c r="GW33">
        <v>1</v>
      </c>
      <c r="GX33">
        <f>ROUND(HC33*I33,2)</f>
        <v>0</v>
      </c>
      <c r="HA33">
        <v>0</v>
      </c>
      <c r="HB33">
        <v>0</v>
      </c>
      <c r="HC33">
        <f>GV33*GW33</f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1</v>
      </c>
      <c r="D34">
        <f>ROW(EtalonRes!A2)</f>
        <v>2</v>
      </c>
      <c r="E34" t="s">
        <v>3</v>
      </c>
      <c r="F34" t="s">
        <v>26</v>
      </c>
      <c r="G34" t="s">
        <v>27</v>
      </c>
      <c r="H34" t="s">
        <v>20</v>
      </c>
      <c r="I34">
        <f>ROUND(ROUND(((320+322+80+80)*0.75)*3*0.1/100,9),9)</f>
        <v>1.8045</v>
      </c>
      <c r="J34">
        <v>0</v>
      </c>
      <c r="K34">
        <f>ROUND(ROUND(((320+322+80+80)*0.75)*3*0.1/100,9),9)</f>
        <v>1.8045</v>
      </c>
      <c r="O34">
        <f>ROUND(CP34,2)</f>
        <v>19639.53</v>
      </c>
      <c r="P34">
        <f>ROUND(CQ34*I34,2)</f>
        <v>0</v>
      </c>
      <c r="Q34">
        <f>ROUND(CR34*I34,2)</f>
        <v>0</v>
      </c>
      <c r="R34">
        <f>ROUND(CS34*I34,2)</f>
        <v>0</v>
      </c>
      <c r="S34">
        <f>ROUND(CT34*I34,2)</f>
        <v>19639.53</v>
      </c>
      <c r="T34">
        <f>ROUND(CU34*I34,2)</f>
        <v>0</v>
      </c>
      <c r="U34">
        <f>CV34*I34</f>
        <v>34.935119999999998</v>
      </c>
      <c r="V34">
        <f>CW34*I34</f>
        <v>0</v>
      </c>
      <c r="W34">
        <f>ROUND(CX34*I34,2)</f>
        <v>0</v>
      </c>
      <c r="X34">
        <f t="shared" si="28"/>
        <v>13747.67</v>
      </c>
      <c r="Y34">
        <f t="shared" si="28"/>
        <v>1963.95</v>
      </c>
      <c r="AA34">
        <v>-1</v>
      </c>
      <c r="AB34">
        <f>ROUND((AC34+AD34+AF34),6)</f>
        <v>10883.64</v>
      </c>
      <c r="AC34">
        <f>ROUND(((ES34*4)),6)</f>
        <v>0</v>
      </c>
      <c r="AD34">
        <f>ROUND(((((ET34*4))-((EU34*4)))+AE34),6)</f>
        <v>0</v>
      </c>
      <c r="AE34">
        <f>ROUND(((EU34*4)),6)</f>
        <v>0</v>
      </c>
      <c r="AF34">
        <f>ROUND(((EV34*4)),6)</f>
        <v>10883.64</v>
      </c>
      <c r="AG34">
        <f>ROUND((AP34),6)</f>
        <v>0</v>
      </c>
      <c r="AH34">
        <f>((EW34*4))</f>
        <v>19.36</v>
      </c>
      <c r="AI34">
        <f>((EX34*4))</f>
        <v>0</v>
      </c>
      <c r="AJ34">
        <f>(AS34)</f>
        <v>0</v>
      </c>
      <c r="AK34">
        <v>2720.91</v>
      </c>
      <c r="AL34">
        <v>0</v>
      </c>
      <c r="AM34">
        <v>0</v>
      </c>
      <c r="AN34">
        <v>0</v>
      </c>
      <c r="AO34">
        <v>2720.91</v>
      </c>
      <c r="AP34">
        <v>0</v>
      </c>
      <c r="AQ34">
        <v>4.84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28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>(P34+Q34+S34)</f>
        <v>19639.53</v>
      </c>
      <c r="CQ34">
        <f>(AC34*BC34*AW34)</f>
        <v>0</v>
      </c>
      <c r="CR34">
        <f>(((((ET34*4))*BB34-((EU34*4))*BS34)+AE34*BS34)*AV34)</f>
        <v>0</v>
      </c>
      <c r="CS34">
        <f>(AE34*BS34*AV34)</f>
        <v>0</v>
      </c>
      <c r="CT34">
        <f>(AF34*BA34*AV34)</f>
        <v>10883.64</v>
      </c>
      <c r="CU34">
        <f>AG34</f>
        <v>0</v>
      </c>
      <c r="CV34">
        <f>(AH34*AV34)</f>
        <v>19.36</v>
      </c>
      <c r="CW34">
        <f t="shared" si="29"/>
        <v>0</v>
      </c>
      <c r="CX34">
        <f t="shared" si="29"/>
        <v>0</v>
      </c>
      <c r="CY34">
        <f>((S34*BZ34)/100)</f>
        <v>13747.670999999998</v>
      </c>
      <c r="CZ34">
        <f>((S34*CA34)/100)</f>
        <v>1963.953</v>
      </c>
      <c r="DC34" t="s">
        <v>3</v>
      </c>
      <c r="DD34" t="s">
        <v>22</v>
      </c>
      <c r="DE34" t="s">
        <v>22</v>
      </c>
      <c r="DF34" t="s">
        <v>22</v>
      </c>
      <c r="DG34" t="s">
        <v>22</v>
      </c>
      <c r="DH34" t="s">
        <v>3</v>
      </c>
      <c r="DI34" t="s">
        <v>22</v>
      </c>
      <c r="DJ34" t="s">
        <v>22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1003</v>
      </c>
      <c r="DV34" t="s">
        <v>20</v>
      </c>
      <c r="DW34" t="s">
        <v>20</v>
      </c>
      <c r="DX34">
        <v>100</v>
      </c>
      <c r="DZ34" t="s">
        <v>3</v>
      </c>
      <c r="EA34" t="s">
        <v>3</v>
      </c>
      <c r="EB34" t="s">
        <v>3</v>
      </c>
      <c r="EC34" t="s">
        <v>3</v>
      </c>
      <c r="EE34">
        <v>1441815344</v>
      </c>
      <c r="EF34">
        <v>1</v>
      </c>
      <c r="EG34" t="s">
        <v>23</v>
      </c>
      <c r="EH34">
        <v>0</v>
      </c>
      <c r="EI34" t="s">
        <v>3</v>
      </c>
      <c r="EJ34">
        <v>4</v>
      </c>
      <c r="EK34">
        <v>0</v>
      </c>
      <c r="EL34" t="s">
        <v>24</v>
      </c>
      <c r="EM34" t="s">
        <v>25</v>
      </c>
      <c r="EO34" t="s">
        <v>3</v>
      </c>
      <c r="EQ34">
        <v>1024</v>
      </c>
      <c r="ER34">
        <v>2720.91</v>
      </c>
      <c r="ES34">
        <v>0</v>
      </c>
      <c r="ET34">
        <v>0</v>
      </c>
      <c r="EU34">
        <v>0</v>
      </c>
      <c r="EV34">
        <v>2720.91</v>
      </c>
      <c r="EW34">
        <v>4.84</v>
      </c>
      <c r="EX34">
        <v>0</v>
      </c>
      <c r="EY34">
        <v>0</v>
      </c>
      <c r="FQ34">
        <v>0</v>
      </c>
      <c r="FR34">
        <f>ROUND(IF(BI34=3,GM34,0),2)</f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-1706933960</v>
      </c>
      <c r="GG34">
        <v>2</v>
      </c>
      <c r="GH34">
        <v>1</v>
      </c>
      <c r="GI34">
        <v>-2</v>
      </c>
      <c r="GJ34">
        <v>0</v>
      </c>
      <c r="GK34">
        <f>ROUND(R34*(R12)/100,2)</f>
        <v>0</v>
      </c>
      <c r="GL34">
        <f>ROUND(IF(AND(BH34=3,BI34=3,FS34&lt;&gt;0),P34,0),2)</f>
        <v>0</v>
      </c>
      <c r="GM34">
        <f>ROUND(O34+X34+Y34+GK34,2)+GX34</f>
        <v>35351.15</v>
      </c>
      <c r="GN34">
        <f>IF(OR(BI34=0,BI34=1),GM34-GX34,0)</f>
        <v>0</v>
      </c>
      <c r="GO34">
        <f>IF(BI34=2,GM34-GX34,0)</f>
        <v>0</v>
      </c>
      <c r="GP34">
        <f>IF(BI34=4,GM34-GX34,0)</f>
        <v>35351.15</v>
      </c>
      <c r="GR34">
        <v>0</v>
      </c>
      <c r="GS34">
        <v>3</v>
      </c>
      <c r="GT34">
        <v>0</v>
      </c>
      <c r="GU34" t="s">
        <v>3</v>
      </c>
      <c r="GV34">
        <f>ROUND((GT34),6)</f>
        <v>0</v>
      </c>
      <c r="GW34">
        <v>1</v>
      </c>
      <c r="GX34">
        <f>ROUND(HC34*I34,2)</f>
        <v>0</v>
      </c>
      <c r="HA34">
        <v>0</v>
      </c>
      <c r="HB34">
        <v>0</v>
      </c>
      <c r="HC34">
        <f>GV34*GW34</f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17</v>
      </c>
      <c r="B35">
        <v>1</v>
      </c>
      <c r="D35">
        <f>ROW(EtalonRes!A4)</f>
        <v>4</v>
      </c>
      <c r="E35" t="s">
        <v>29</v>
      </c>
      <c r="F35" t="s">
        <v>30</v>
      </c>
      <c r="G35" t="s">
        <v>31</v>
      </c>
      <c r="H35" t="s">
        <v>32</v>
      </c>
      <c r="I35">
        <f>ROUND(ROUND((24*2)*3,9),9)</f>
        <v>144</v>
      </c>
      <c r="J35">
        <v>0</v>
      </c>
      <c r="K35">
        <f>ROUND(ROUND((24*2)*3,9),9)</f>
        <v>144</v>
      </c>
      <c r="O35">
        <f>ROUND(CP35,2)</f>
        <v>41209.919999999998</v>
      </c>
      <c r="P35">
        <f>ROUND(CQ35*I35,2)</f>
        <v>0</v>
      </c>
      <c r="Q35">
        <f>ROUND(CR35*I35,2)</f>
        <v>11257.92</v>
      </c>
      <c r="R35">
        <f>ROUND(CS35*I35,2)</f>
        <v>7138.08</v>
      </c>
      <c r="S35">
        <f>ROUND(CT35*I35,2)</f>
        <v>29952</v>
      </c>
      <c r="T35">
        <f>ROUND(CU35*I35,2)</f>
        <v>0</v>
      </c>
      <c r="U35">
        <f>CV35*I35</f>
        <v>53.28</v>
      </c>
      <c r="V35">
        <f>CW35*I35</f>
        <v>0</v>
      </c>
      <c r="W35">
        <f>ROUND(CX35*I35,2)</f>
        <v>0</v>
      </c>
      <c r="X35">
        <f t="shared" si="28"/>
        <v>20966.400000000001</v>
      </c>
      <c r="Y35">
        <f t="shared" si="28"/>
        <v>2995.2</v>
      </c>
      <c r="AA35">
        <v>1472224561</v>
      </c>
      <c r="AB35">
        <f>ROUND((AC35+AD35+AF35),6)</f>
        <v>286.18</v>
      </c>
      <c r="AC35">
        <f>ROUND((ES35),6)</f>
        <v>0</v>
      </c>
      <c r="AD35">
        <f>ROUND((((ET35)-(EU35))+AE35),6)</f>
        <v>78.180000000000007</v>
      </c>
      <c r="AE35">
        <f t="shared" ref="AE35:AF37" si="30">ROUND((EU35),6)</f>
        <v>49.57</v>
      </c>
      <c r="AF35">
        <f t="shared" si="30"/>
        <v>208</v>
      </c>
      <c r="AG35">
        <f>ROUND((AP35),6)</f>
        <v>0</v>
      </c>
      <c r="AH35">
        <f t="shared" ref="AH35:AI37" si="31">(EW35)</f>
        <v>0.37</v>
      </c>
      <c r="AI35">
        <f t="shared" si="31"/>
        <v>0</v>
      </c>
      <c r="AJ35">
        <f>(AS35)</f>
        <v>0</v>
      </c>
      <c r="AK35">
        <v>286.18</v>
      </c>
      <c r="AL35">
        <v>0</v>
      </c>
      <c r="AM35">
        <v>78.180000000000007</v>
      </c>
      <c r="AN35">
        <v>49.57</v>
      </c>
      <c r="AO35">
        <v>208</v>
      </c>
      <c r="AP35">
        <v>0</v>
      </c>
      <c r="AQ35">
        <v>0.37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33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>(P35+Q35+S35)</f>
        <v>41209.919999999998</v>
      </c>
      <c r="CQ35">
        <f>(AC35*BC35*AW35)</f>
        <v>0</v>
      </c>
      <c r="CR35">
        <f>((((ET35)*BB35-(EU35)*BS35)+AE35*BS35)*AV35)</f>
        <v>78.180000000000007</v>
      </c>
      <c r="CS35">
        <f>(AE35*BS35*AV35)</f>
        <v>49.57</v>
      </c>
      <c r="CT35">
        <f>(AF35*BA35*AV35)</f>
        <v>208</v>
      </c>
      <c r="CU35">
        <f>AG35</f>
        <v>0</v>
      </c>
      <c r="CV35">
        <f>(AH35*AV35)</f>
        <v>0.37</v>
      </c>
      <c r="CW35">
        <f t="shared" si="29"/>
        <v>0</v>
      </c>
      <c r="CX35">
        <f t="shared" si="29"/>
        <v>0</v>
      </c>
      <c r="CY35">
        <f>((S35*BZ35)/100)</f>
        <v>20966.400000000001</v>
      </c>
      <c r="CZ35">
        <f>((S35*CA35)/100)</f>
        <v>2995.2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16987630</v>
      </c>
      <c r="DV35" t="s">
        <v>32</v>
      </c>
      <c r="DW35" t="s">
        <v>32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1441815344</v>
      </c>
      <c r="EF35">
        <v>1</v>
      </c>
      <c r="EG35" t="s">
        <v>23</v>
      </c>
      <c r="EH35">
        <v>0</v>
      </c>
      <c r="EI35" t="s">
        <v>3</v>
      </c>
      <c r="EJ35">
        <v>4</v>
      </c>
      <c r="EK35">
        <v>0</v>
      </c>
      <c r="EL35" t="s">
        <v>24</v>
      </c>
      <c r="EM35" t="s">
        <v>25</v>
      </c>
      <c r="EO35" t="s">
        <v>3</v>
      </c>
      <c r="EQ35">
        <v>0</v>
      </c>
      <c r="ER35">
        <v>286.18</v>
      </c>
      <c r="ES35">
        <v>0</v>
      </c>
      <c r="ET35">
        <v>78.180000000000007</v>
      </c>
      <c r="EU35">
        <v>49.57</v>
      </c>
      <c r="EV35">
        <v>208</v>
      </c>
      <c r="EW35">
        <v>0.37</v>
      </c>
      <c r="EX35">
        <v>0</v>
      </c>
      <c r="EY35">
        <v>0</v>
      </c>
      <c r="FQ35">
        <v>0</v>
      </c>
      <c r="FR35">
        <f>ROUND(IF(BI35=3,GM35,0),2)</f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-1948497039</v>
      </c>
      <c r="GG35">
        <v>2</v>
      </c>
      <c r="GH35">
        <v>1</v>
      </c>
      <c r="GI35">
        <v>-2</v>
      </c>
      <c r="GJ35">
        <v>0</v>
      </c>
      <c r="GK35">
        <f>ROUND(R35*(R12)/100,2)</f>
        <v>7709.13</v>
      </c>
      <c r="GL35">
        <f>ROUND(IF(AND(BH35=3,BI35=3,FS35&lt;&gt;0),P35,0),2)</f>
        <v>0</v>
      </c>
      <c r="GM35">
        <f>ROUND(O35+X35+Y35+GK35,2)+GX35</f>
        <v>72880.649999999994</v>
      </c>
      <c r="GN35">
        <f>IF(OR(BI35=0,BI35=1),GM35-GX35,0)</f>
        <v>0</v>
      </c>
      <c r="GO35">
        <f>IF(BI35=2,GM35-GX35,0)</f>
        <v>0</v>
      </c>
      <c r="GP35">
        <f>IF(BI35=4,GM35-GX35,0)</f>
        <v>72880.649999999994</v>
      </c>
      <c r="GR35">
        <v>0</v>
      </c>
      <c r="GS35">
        <v>3</v>
      </c>
      <c r="GT35">
        <v>0</v>
      </c>
      <c r="GU35" t="s">
        <v>3</v>
      </c>
      <c r="GV35">
        <f>ROUND((GT35),6)</f>
        <v>0</v>
      </c>
      <c r="GW35">
        <v>1</v>
      </c>
      <c r="GX35">
        <f>ROUND(HC35*I35,2)</f>
        <v>0</v>
      </c>
      <c r="HA35">
        <v>0</v>
      </c>
      <c r="HB35">
        <v>0</v>
      </c>
      <c r="HC35">
        <f>GV35*GW35</f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17</v>
      </c>
      <c r="B36">
        <v>1</v>
      </c>
      <c r="D36">
        <f>ROW(EtalonRes!A5)</f>
        <v>5</v>
      </c>
      <c r="E36" t="s">
        <v>34</v>
      </c>
      <c r="F36" t="s">
        <v>35</v>
      </c>
      <c r="G36" t="s">
        <v>36</v>
      </c>
      <c r="H36" t="s">
        <v>37</v>
      </c>
      <c r="I36">
        <f>ROUND(ROUND((75+125)*3/10,9),9)</f>
        <v>60</v>
      </c>
      <c r="J36">
        <v>0</v>
      </c>
      <c r="K36">
        <f>ROUND(ROUND((75+125)*3/10,9),9)</f>
        <v>60</v>
      </c>
      <c r="O36">
        <f>ROUND(CP36,2)</f>
        <v>16672.2</v>
      </c>
      <c r="P36">
        <f>ROUND(CQ36*I36,2)</f>
        <v>0</v>
      </c>
      <c r="Q36">
        <f>ROUND(CR36*I36,2)</f>
        <v>0</v>
      </c>
      <c r="R36">
        <f>ROUND(CS36*I36,2)</f>
        <v>0</v>
      </c>
      <c r="S36">
        <f>ROUND(CT36*I36,2)</f>
        <v>16672.2</v>
      </c>
      <c r="T36">
        <f>ROUND(CU36*I36,2)</f>
        <v>0</v>
      </c>
      <c r="U36">
        <f>CV36*I36</f>
        <v>27</v>
      </c>
      <c r="V36">
        <f>CW36*I36</f>
        <v>0</v>
      </c>
      <c r="W36">
        <f>ROUND(CX36*I36,2)</f>
        <v>0</v>
      </c>
      <c r="X36">
        <f t="shared" si="28"/>
        <v>11670.54</v>
      </c>
      <c r="Y36">
        <f t="shared" si="28"/>
        <v>1667.22</v>
      </c>
      <c r="AA36">
        <v>1472224561</v>
      </c>
      <c r="AB36">
        <f>ROUND((AC36+AD36+AF36),6)</f>
        <v>277.87</v>
      </c>
      <c r="AC36">
        <f>ROUND((ES36),6)</f>
        <v>0</v>
      </c>
      <c r="AD36">
        <f>ROUND((((ET36)-(EU36))+AE36),6)</f>
        <v>0</v>
      </c>
      <c r="AE36">
        <f t="shared" si="30"/>
        <v>0</v>
      </c>
      <c r="AF36">
        <f t="shared" si="30"/>
        <v>277.87</v>
      </c>
      <c r="AG36">
        <f>ROUND((AP36),6)</f>
        <v>0</v>
      </c>
      <c r="AH36">
        <f t="shared" si="31"/>
        <v>0.45</v>
      </c>
      <c r="AI36">
        <f t="shared" si="31"/>
        <v>0</v>
      </c>
      <c r="AJ36">
        <f>(AS36)</f>
        <v>0</v>
      </c>
      <c r="AK36">
        <v>277.87</v>
      </c>
      <c r="AL36">
        <v>0</v>
      </c>
      <c r="AM36">
        <v>0</v>
      </c>
      <c r="AN36">
        <v>0</v>
      </c>
      <c r="AO36">
        <v>277.87</v>
      </c>
      <c r="AP36">
        <v>0</v>
      </c>
      <c r="AQ36">
        <v>0.45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38</v>
      </c>
      <c r="BM36">
        <v>0</v>
      </c>
      <c r="BN36">
        <v>0</v>
      </c>
      <c r="BO36" t="s">
        <v>3</v>
      </c>
      <c r="BP36">
        <v>0</v>
      </c>
      <c r="BQ36">
        <v>1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>(P36+Q36+S36)</f>
        <v>16672.2</v>
      </c>
      <c r="CQ36">
        <f>(AC36*BC36*AW36)</f>
        <v>0</v>
      </c>
      <c r="CR36">
        <f>((((ET36)*BB36-(EU36)*BS36)+AE36*BS36)*AV36)</f>
        <v>0</v>
      </c>
      <c r="CS36">
        <f>(AE36*BS36*AV36)</f>
        <v>0</v>
      </c>
      <c r="CT36">
        <f>(AF36*BA36*AV36)</f>
        <v>277.87</v>
      </c>
      <c r="CU36">
        <f>AG36</f>
        <v>0</v>
      </c>
      <c r="CV36">
        <f>(AH36*AV36)</f>
        <v>0.45</v>
      </c>
      <c r="CW36">
        <f t="shared" si="29"/>
        <v>0</v>
      </c>
      <c r="CX36">
        <f t="shared" si="29"/>
        <v>0</v>
      </c>
      <c r="CY36">
        <f>((S36*BZ36)/100)</f>
        <v>11670.54</v>
      </c>
      <c r="CZ36">
        <f>((S36*CA36)/100)</f>
        <v>1667.22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16987630</v>
      </c>
      <c r="DV36" t="s">
        <v>37</v>
      </c>
      <c r="DW36" t="s">
        <v>37</v>
      </c>
      <c r="DX36">
        <v>10</v>
      </c>
      <c r="DZ36" t="s">
        <v>3</v>
      </c>
      <c r="EA36" t="s">
        <v>3</v>
      </c>
      <c r="EB36" t="s">
        <v>3</v>
      </c>
      <c r="EC36" t="s">
        <v>3</v>
      </c>
      <c r="EE36">
        <v>1441815344</v>
      </c>
      <c r="EF36">
        <v>1</v>
      </c>
      <c r="EG36" t="s">
        <v>23</v>
      </c>
      <c r="EH36">
        <v>0</v>
      </c>
      <c r="EI36" t="s">
        <v>3</v>
      </c>
      <c r="EJ36">
        <v>4</v>
      </c>
      <c r="EK36">
        <v>0</v>
      </c>
      <c r="EL36" t="s">
        <v>24</v>
      </c>
      <c r="EM36" t="s">
        <v>25</v>
      </c>
      <c r="EO36" t="s">
        <v>3</v>
      </c>
      <c r="EQ36">
        <v>0</v>
      </c>
      <c r="ER36">
        <v>277.87</v>
      </c>
      <c r="ES36">
        <v>0</v>
      </c>
      <c r="ET36">
        <v>0</v>
      </c>
      <c r="EU36">
        <v>0</v>
      </c>
      <c r="EV36">
        <v>277.87</v>
      </c>
      <c r="EW36">
        <v>0.45</v>
      </c>
      <c r="EX36">
        <v>0</v>
      </c>
      <c r="EY36">
        <v>0</v>
      </c>
      <c r="FQ36">
        <v>0</v>
      </c>
      <c r="FR36">
        <f>ROUND(IF(BI36=3,GM36,0),2)</f>
        <v>0</v>
      </c>
      <c r="FS36">
        <v>0</v>
      </c>
      <c r="FX36">
        <v>70</v>
      </c>
      <c r="FY36">
        <v>10</v>
      </c>
      <c r="GA36" t="s">
        <v>3</v>
      </c>
      <c r="GD36">
        <v>0</v>
      </c>
      <c r="GF36">
        <v>-559430364</v>
      </c>
      <c r="GG36">
        <v>2</v>
      </c>
      <c r="GH36">
        <v>1</v>
      </c>
      <c r="GI36">
        <v>-2</v>
      </c>
      <c r="GJ36">
        <v>0</v>
      </c>
      <c r="GK36">
        <f>ROUND(R36*(R12)/100,2)</f>
        <v>0</v>
      </c>
      <c r="GL36">
        <f>ROUND(IF(AND(BH36=3,BI36=3,FS36&lt;&gt;0),P36,0),2)</f>
        <v>0</v>
      </c>
      <c r="GM36">
        <f>ROUND(O36+X36+Y36+GK36,2)+GX36</f>
        <v>30009.96</v>
      </c>
      <c r="GN36">
        <f>IF(OR(BI36=0,BI36=1),GM36-GX36,0)</f>
        <v>0</v>
      </c>
      <c r="GO36">
        <f>IF(BI36=2,GM36-GX36,0)</f>
        <v>0</v>
      </c>
      <c r="GP36">
        <f>IF(BI36=4,GM36-GX36,0)</f>
        <v>30009.96</v>
      </c>
      <c r="GR36">
        <v>0</v>
      </c>
      <c r="GS36">
        <v>3</v>
      </c>
      <c r="GT36">
        <v>0</v>
      </c>
      <c r="GU36" t="s">
        <v>3</v>
      </c>
      <c r="GV36">
        <f>ROUND((GT36),6)</f>
        <v>0</v>
      </c>
      <c r="GW36">
        <v>1</v>
      </c>
      <c r="GX36">
        <f>ROUND(HC36*I36,2)</f>
        <v>0</v>
      </c>
      <c r="HA36">
        <v>0</v>
      </c>
      <c r="HB36">
        <v>0</v>
      </c>
      <c r="HC36">
        <f>GV36*GW36</f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17</v>
      </c>
      <c r="B37">
        <v>1</v>
      </c>
      <c r="D37">
        <f>ROW(EtalonRes!A8)</f>
        <v>8</v>
      </c>
      <c r="E37" t="s">
        <v>39</v>
      </c>
      <c r="F37" t="s">
        <v>40</v>
      </c>
      <c r="G37" t="s">
        <v>41</v>
      </c>
      <c r="H37" t="s">
        <v>32</v>
      </c>
      <c r="I37">
        <f>ROUND(ROUND(50*3,9),9)</f>
        <v>150</v>
      </c>
      <c r="J37">
        <v>0</v>
      </c>
      <c r="K37">
        <f>ROUND(ROUND(50*3,9),9)</f>
        <v>150</v>
      </c>
      <c r="O37">
        <f>ROUND(CP37,2)</f>
        <v>62442</v>
      </c>
      <c r="P37">
        <f>ROUND(CQ37*I37,2)</f>
        <v>42</v>
      </c>
      <c r="Q37">
        <f>ROUND(CR37*I37,2)</f>
        <v>0</v>
      </c>
      <c r="R37">
        <f>ROUND(CS37*I37,2)</f>
        <v>0</v>
      </c>
      <c r="S37">
        <f>ROUND(CT37*I37,2)</f>
        <v>62400</v>
      </c>
      <c r="T37">
        <f>ROUND(CU37*I37,2)</f>
        <v>0</v>
      </c>
      <c r="U37">
        <f>CV37*I37</f>
        <v>111</v>
      </c>
      <c r="V37">
        <f>CW37*I37</f>
        <v>0</v>
      </c>
      <c r="W37">
        <f>ROUND(CX37*I37,2)</f>
        <v>0</v>
      </c>
      <c r="X37">
        <f t="shared" si="28"/>
        <v>43680</v>
      </c>
      <c r="Y37">
        <f t="shared" si="28"/>
        <v>6240</v>
      </c>
      <c r="AA37">
        <v>1472224561</v>
      </c>
      <c r="AB37">
        <f>ROUND((AC37+AD37+AF37),6)</f>
        <v>416.28</v>
      </c>
      <c r="AC37">
        <f>ROUND((ES37),6)</f>
        <v>0.28000000000000003</v>
      </c>
      <c r="AD37">
        <f>ROUND((((ET37)-(EU37))+AE37),6)</f>
        <v>0</v>
      </c>
      <c r="AE37">
        <f t="shared" si="30"/>
        <v>0</v>
      </c>
      <c r="AF37">
        <f t="shared" si="30"/>
        <v>416</v>
      </c>
      <c r="AG37">
        <f>ROUND((AP37),6)</f>
        <v>0</v>
      </c>
      <c r="AH37">
        <f t="shared" si="31"/>
        <v>0.74</v>
      </c>
      <c r="AI37">
        <f t="shared" si="31"/>
        <v>0</v>
      </c>
      <c r="AJ37">
        <f>(AS37)</f>
        <v>0</v>
      </c>
      <c r="AK37">
        <v>416.28</v>
      </c>
      <c r="AL37">
        <v>0.28000000000000003</v>
      </c>
      <c r="AM37">
        <v>0</v>
      </c>
      <c r="AN37">
        <v>0</v>
      </c>
      <c r="AO37">
        <v>416</v>
      </c>
      <c r="AP37">
        <v>0</v>
      </c>
      <c r="AQ37">
        <v>0.74</v>
      </c>
      <c r="AR37">
        <v>0</v>
      </c>
      <c r="AS37">
        <v>0</v>
      </c>
      <c r="AT37">
        <v>70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42</v>
      </c>
      <c r="BM37">
        <v>0</v>
      </c>
      <c r="BN37">
        <v>0</v>
      </c>
      <c r="BO37" t="s">
        <v>3</v>
      </c>
      <c r="BP37">
        <v>0</v>
      </c>
      <c r="BQ37">
        <v>1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70</v>
      </c>
      <c r="CA37">
        <v>10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>(P37+Q37+S37)</f>
        <v>62442</v>
      </c>
      <c r="CQ37">
        <f>(AC37*BC37*AW37)</f>
        <v>0.28000000000000003</v>
      </c>
      <c r="CR37">
        <f>((((ET37)*BB37-(EU37)*BS37)+AE37*BS37)*AV37)</f>
        <v>0</v>
      </c>
      <c r="CS37">
        <f>(AE37*BS37*AV37)</f>
        <v>0</v>
      </c>
      <c r="CT37">
        <f>(AF37*BA37*AV37)</f>
        <v>416</v>
      </c>
      <c r="CU37">
        <f>AG37</f>
        <v>0</v>
      </c>
      <c r="CV37">
        <f>(AH37*AV37)</f>
        <v>0.74</v>
      </c>
      <c r="CW37">
        <f t="shared" si="29"/>
        <v>0</v>
      </c>
      <c r="CX37">
        <f t="shared" si="29"/>
        <v>0</v>
      </c>
      <c r="CY37">
        <f>((S37*BZ37)/100)</f>
        <v>43680</v>
      </c>
      <c r="CZ37">
        <f>((S37*CA37)/100)</f>
        <v>6240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16987630</v>
      </c>
      <c r="DV37" t="s">
        <v>32</v>
      </c>
      <c r="DW37" t="s">
        <v>32</v>
      </c>
      <c r="DX37">
        <v>1</v>
      </c>
      <c r="DZ37" t="s">
        <v>3</v>
      </c>
      <c r="EA37" t="s">
        <v>3</v>
      </c>
      <c r="EB37" t="s">
        <v>3</v>
      </c>
      <c r="EC37" t="s">
        <v>3</v>
      </c>
      <c r="EE37">
        <v>1441815344</v>
      </c>
      <c r="EF37">
        <v>1</v>
      </c>
      <c r="EG37" t="s">
        <v>23</v>
      </c>
      <c r="EH37">
        <v>0</v>
      </c>
      <c r="EI37" t="s">
        <v>3</v>
      </c>
      <c r="EJ37">
        <v>4</v>
      </c>
      <c r="EK37">
        <v>0</v>
      </c>
      <c r="EL37" t="s">
        <v>24</v>
      </c>
      <c r="EM37" t="s">
        <v>25</v>
      </c>
      <c r="EO37" t="s">
        <v>3</v>
      </c>
      <c r="EQ37">
        <v>0</v>
      </c>
      <c r="ER37">
        <v>416.28</v>
      </c>
      <c r="ES37">
        <v>0.28000000000000003</v>
      </c>
      <c r="ET37">
        <v>0</v>
      </c>
      <c r="EU37">
        <v>0</v>
      </c>
      <c r="EV37">
        <v>416</v>
      </c>
      <c r="EW37">
        <v>0.74</v>
      </c>
      <c r="EX37">
        <v>0</v>
      </c>
      <c r="EY37">
        <v>0</v>
      </c>
      <c r="FQ37">
        <v>0</v>
      </c>
      <c r="FR37">
        <f>ROUND(IF(BI37=3,GM37,0),2)</f>
        <v>0</v>
      </c>
      <c r="FS37">
        <v>0</v>
      </c>
      <c r="FX37">
        <v>70</v>
      </c>
      <c r="FY37">
        <v>10</v>
      </c>
      <c r="GA37" t="s">
        <v>3</v>
      </c>
      <c r="GD37">
        <v>0</v>
      </c>
      <c r="GF37">
        <v>2123598163</v>
      </c>
      <c r="GG37">
        <v>2</v>
      </c>
      <c r="GH37">
        <v>1</v>
      </c>
      <c r="GI37">
        <v>-2</v>
      </c>
      <c r="GJ37">
        <v>0</v>
      </c>
      <c r="GK37">
        <f>ROUND(R37*(R12)/100,2)</f>
        <v>0</v>
      </c>
      <c r="GL37">
        <f>ROUND(IF(AND(BH37=3,BI37=3,FS37&lt;&gt;0),P37,0),2)</f>
        <v>0</v>
      </c>
      <c r="GM37">
        <f>ROUND(O37+X37+Y37+GK37,2)+GX37</f>
        <v>112362</v>
      </c>
      <c r="GN37">
        <f>IF(OR(BI37=0,BI37=1),GM37-GX37,0)</f>
        <v>0</v>
      </c>
      <c r="GO37">
        <f>IF(BI37=2,GM37-GX37,0)</f>
        <v>0</v>
      </c>
      <c r="GP37">
        <f>IF(BI37=4,GM37-GX37,0)</f>
        <v>112362</v>
      </c>
      <c r="GR37">
        <v>0</v>
      </c>
      <c r="GS37">
        <v>3</v>
      </c>
      <c r="GT37">
        <v>0</v>
      </c>
      <c r="GU37" t="s">
        <v>3</v>
      </c>
      <c r="GV37">
        <f>ROUND((GT37),6)</f>
        <v>0</v>
      </c>
      <c r="GW37">
        <v>1</v>
      </c>
      <c r="GX37">
        <f>ROUND(HC37*I37,2)</f>
        <v>0</v>
      </c>
      <c r="HA37">
        <v>0</v>
      </c>
      <c r="HB37">
        <v>0</v>
      </c>
      <c r="HC37">
        <f>GV37*GW37</f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8" spans="1:245" x14ac:dyDescent="0.2">
      <c r="A38">
        <v>19</v>
      </c>
      <c r="B38">
        <v>1</v>
      </c>
      <c r="F38" t="s">
        <v>3</v>
      </c>
      <c r="G38" t="s">
        <v>43</v>
      </c>
      <c r="H38" t="s">
        <v>3</v>
      </c>
      <c r="AA38">
        <v>1</v>
      </c>
      <c r="IK38">
        <v>0</v>
      </c>
    </row>
    <row r="39" spans="1:245" x14ac:dyDescent="0.2">
      <c r="A39">
        <v>17</v>
      </c>
      <c r="B39">
        <v>1</v>
      </c>
      <c r="D39">
        <f>ROW(EtalonRes!A9)</f>
        <v>9</v>
      </c>
      <c r="E39" t="s">
        <v>3</v>
      </c>
      <c r="F39" t="s">
        <v>18</v>
      </c>
      <c r="G39" t="s">
        <v>19</v>
      </c>
      <c r="H39" t="s">
        <v>20</v>
      </c>
      <c r="I39">
        <f>ROUND(ROUND((230+25+180+68+70)*0.25*0.1/100,9),9)</f>
        <v>0.14324999999999999</v>
      </c>
      <c r="J39">
        <v>0</v>
      </c>
      <c r="K39">
        <f>ROUND(ROUND((230+25+180+68+70)*0.25*0.1/100,9),9)</f>
        <v>0.14324999999999999</v>
      </c>
      <c r="O39">
        <f>ROUND(CP39,2)</f>
        <v>289.91000000000003</v>
      </c>
      <c r="P39">
        <f>ROUND(CQ39*I39,2)</f>
        <v>0</v>
      </c>
      <c r="Q39">
        <f>ROUND(CR39*I39,2)</f>
        <v>0</v>
      </c>
      <c r="R39">
        <f>ROUND(CS39*I39,2)</f>
        <v>0</v>
      </c>
      <c r="S39">
        <f>ROUND(CT39*I39,2)</f>
        <v>289.91000000000003</v>
      </c>
      <c r="T39">
        <f>ROUND(CU39*I39,2)</f>
        <v>0</v>
      </c>
      <c r="U39">
        <f>CV39*I39</f>
        <v>0.51569999999999994</v>
      </c>
      <c r="V39">
        <f>CW39*I39</f>
        <v>0</v>
      </c>
      <c r="W39">
        <f>ROUND(CX39*I39,2)</f>
        <v>0</v>
      </c>
      <c r="X39">
        <f t="shared" ref="X39:Y42" si="32">ROUND(CY39,2)</f>
        <v>202.94</v>
      </c>
      <c r="Y39">
        <f t="shared" si="32"/>
        <v>28.99</v>
      </c>
      <c r="AA39">
        <v>-1</v>
      </c>
      <c r="AB39">
        <f>ROUND((AC39+AD39+AF39),6)</f>
        <v>2023.8</v>
      </c>
      <c r="AC39">
        <f>ROUND(((ES39*4)),6)</f>
        <v>0</v>
      </c>
      <c r="AD39">
        <f>ROUND(((((ET39*4))-((EU39*4)))+AE39),6)</f>
        <v>0</v>
      </c>
      <c r="AE39">
        <f>ROUND(((EU39*4)),6)</f>
        <v>0</v>
      </c>
      <c r="AF39">
        <f>ROUND(((EV39*4)),6)</f>
        <v>2023.8</v>
      </c>
      <c r="AG39">
        <f>ROUND((AP39),6)</f>
        <v>0</v>
      </c>
      <c r="AH39">
        <f>((EW39*4))</f>
        <v>3.6</v>
      </c>
      <c r="AI39">
        <f>((EX39*4))</f>
        <v>0</v>
      </c>
      <c r="AJ39">
        <f>(AS39)</f>
        <v>0</v>
      </c>
      <c r="AK39">
        <v>505.95</v>
      </c>
      <c r="AL39">
        <v>0</v>
      </c>
      <c r="AM39">
        <v>0</v>
      </c>
      <c r="AN39">
        <v>0</v>
      </c>
      <c r="AO39">
        <v>505.95</v>
      </c>
      <c r="AP39">
        <v>0</v>
      </c>
      <c r="AQ39">
        <v>0.9</v>
      </c>
      <c r="AR39">
        <v>0</v>
      </c>
      <c r="AS39">
        <v>0</v>
      </c>
      <c r="AT39">
        <v>70</v>
      </c>
      <c r="AU39">
        <v>10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4</v>
      </c>
      <c r="BJ39" t="s">
        <v>21</v>
      </c>
      <c r="BM39">
        <v>0</v>
      </c>
      <c r="BN39">
        <v>0</v>
      </c>
      <c r="BO39" t="s">
        <v>3</v>
      </c>
      <c r="BP39">
        <v>0</v>
      </c>
      <c r="BQ39">
        <v>1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70</v>
      </c>
      <c r="CA39">
        <v>10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>(P39+Q39+S39)</f>
        <v>289.91000000000003</v>
      </c>
      <c r="CQ39">
        <f>(AC39*BC39*AW39)</f>
        <v>0</v>
      </c>
      <c r="CR39">
        <f>(((((ET39*4))*BB39-((EU39*4))*BS39)+AE39*BS39)*AV39)</f>
        <v>0</v>
      </c>
      <c r="CS39">
        <f>(AE39*BS39*AV39)</f>
        <v>0</v>
      </c>
      <c r="CT39">
        <f>(AF39*BA39*AV39)</f>
        <v>2023.8</v>
      </c>
      <c r="CU39">
        <f>AG39</f>
        <v>0</v>
      </c>
      <c r="CV39">
        <f>(AH39*AV39)</f>
        <v>3.6</v>
      </c>
      <c r="CW39">
        <f t="shared" ref="CW39:CX42" si="33">AI39</f>
        <v>0</v>
      </c>
      <c r="CX39">
        <f t="shared" si="33"/>
        <v>0</v>
      </c>
      <c r="CY39">
        <f>((S39*BZ39)/100)</f>
        <v>202.93700000000001</v>
      </c>
      <c r="CZ39">
        <f>((S39*CA39)/100)</f>
        <v>28.991000000000003</v>
      </c>
      <c r="DC39" t="s">
        <v>3</v>
      </c>
      <c r="DD39" t="s">
        <v>22</v>
      </c>
      <c r="DE39" t="s">
        <v>22</v>
      </c>
      <c r="DF39" t="s">
        <v>22</v>
      </c>
      <c r="DG39" t="s">
        <v>22</v>
      </c>
      <c r="DH39" t="s">
        <v>3</v>
      </c>
      <c r="DI39" t="s">
        <v>22</v>
      </c>
      <c r="DJ39" t="s">
        <v>22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1003</v>
      </c>
      <c r="DV39" t="s">
        <v>20</v>
      </c>
      <c r="DW39" t="s">
        <v>20</v>
      </c>
      <c r="DX39">
        <v>100</v>
      </c>
      <c r="DZ39" t="s">
        <v>3</v>
      </c>
      <c r="EA39" t="s">
        <v>3</v>
      </c>
      <c r="EB39" t="s">
        <v>3</v>
      </c>
      <c r="EC39" t="s">
        <v>3</v>
      </c>
      <c r="EE39">
        <v>1441815344</v>
      </c>
      <c r="EF39">
        <v>1</v>
      </c>
      <c r="EG39" t="s">
        <v>23</v>
      </c>
      <c r="EH39">
        <v>0</v>
      </c>
      <c r="EI39" t="s">
        <v>3</v>
      </c>
      <c r="EJ39">
        <v>4</v>
      </c>
      <c r="EK39">
        <v>0</v>
      </c>
      <c r="EL39" t="s">
        <v>24</v>
      </c>
      <c r="EM39" t="s">
        <v>25</v>
      </c>
      <c r="EO39" t="s">
        <v>3</v>
      </c>
      <c r="EQ39">
        <v>1024</v>
      </c>
      <c r="ER39">
        <v>505.95</v>
      </c>
      <c r="ES39">
        <v>0</v>
      </c>
      <c r="ET39">
        <v>0</v>
      </c>
      <c r="EU39">
        <v>0</v>
      </c>
      <c r="EV39">
        <v>505.95</v>
      </c>
      <c r="EW39">
        <v>0.9</v>
      </c>
      <c r="EX39">
        <v>0</v>
      </c>
      <c r="EY39">
        <v>0</v>
      </c>
      <c r="FQ39">
        <v>0</v>
      </c>
      <c r="FR39">
        <f>ROUND(IF(BI39=3,GM39,0),2)</f>
        <v>0</v>
      </c>
      <c r="FS39">
        <v>0</v>
      </c>
      <c r="FX39">
        <v>70</v>
      </c>
      <c r="FY39">
        <v>10</v>
      </c>
      <c r="GA39" t="s">
        <v>3</v>
      </c>
      <c r="GD39">
        <v>0</v>
      </c>
      <c r="GF39">
        <v>-341239612</v>
      </c>
      <c r="GG39">
        <v>2</v>
      </c>
      <c r="GH39">
        <v>1</v>
      </c>
      <c r="GI39">
        <v>-2</v>
      </c>
      <c r="GJ39">
        <v>0</v>
      </c>
      <c r="GK39">
        <f>ROUND(R39*(R12)/100,2)</f>
        <v>0</v>
      </c>
      <c r="GL39">
        <f>ROUND(IF(AND(BH39=3,BI39=3,FS39&lt;&gt;0),P39,0),2)</f>
        <v>0</v>
      </c>
      <c r="GM39">
        <f>ROUND(O39+X39+Y39+GK39,2)+GX39</f>
        <v>521.84</v>
      </c>
      <c r="GN39">
        <f>IF(OR(BI39=0,BI39=1),GM39-GX39,0)</f>
        <v>0</v>
      </c>
      <c r="GO39">
        <f>IF(BI39=2,GM39-GX39,0)</f>
        <v>0</v>
      </c>
      <c r="GP39">
        <f>IF(BI39=4,GM39-GX39,0)</f>
        <v>521.84</v>
      </c>
      <c r="GR39">
        <v>0</v>
      </c>
      <c r="GS39">
        <v>3</v>
      </c>
      <c r="GT39">
        <v>0</v>
      </c>
      <c r="GU39" t="s">
        <v>3</v>
      </c>
      <c r="GV39">
        <f>ROUND((GT39),6)</f>
        <v>0</v>
      </c>
      <c r="GW39">
        <v>1</v>
      </c>
      <c r="GX39">
        <f>ROUND(HC39*I39,2)</f>
        <v>0</v>
      </c>
      <c r="HA39">
        <v>0</v>
      </c>
      <c r="HB39">
        <v>0</v>
      </c>
      <c r="HC39">
        <f>GV39*GW39</f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45" x14ac:dyDescent="0.2">
      <c r="A40">
        <v>17</v>
      </c>
      <c r="B40">
        <v>1</v>
      </c>
      <c r="D40">
        <f>ROW(EtalonRes!A10)</f>
        <v>10</v>
      </c>
      <c r="E40" t="s">
        <v>3</v>
      </c>
      <c r="F40" t="s">
        <v>26</v>
      </c>
      <c r="G40" t="s">
        <v>27</v>
      </c>
      <c r="H40" t="s">
        <v>20</v>
      </c>
      <c r="I40">
        <f>ROUND(ROUND((230+25+180+68+70)*0.75*0.1/100,9),9)</f>
        <v>0.42975000000000002</v>
      </c>
      <c r="J40">
        <v>0</v>
      </c>
      <c r="K40">
        <f>ROUND(ROUND((230+25+180+68+70)*0.75*0.1/100,9),9)</f>
        <v>0.42975000000000002</v>
      </c>
      <c r="O40">
        <f>ROUND(CP40,2)</f>
        <v>4677.24</v>
      </c>
      <c r="P40">
        <f>ROUND(CQ40*I40,2)</f>
        <v>0</v>
      </c>
      <c r="Q40">
        <f>ROUND(CR40*I40,2)</f>
        <v>0</v>
      </c>
      <c r="R40">
        <f>ROUND(CS40*I40,2)</f>
        <v>0</v>
      </c>
      <c r="S40">
        <f>ROUND(CT40*I40,2)</f>
        <v>4677.24</v>
      </c>
      <c r="T40">
        <f>ROUND(CU40*I40,2)</f>
        <v>0</v>
      </c>
      <c r="U40">
        <f>CV40*I40</f>
        <v>8.31996</v>
      </c>
      <c r="V40">
        <f>CW40*I40</f>
        <v>0</v>
      </c>
      <c r="W40">
        <f>ROUND(CX40*I40,2)</f>
        <v>0</v>
      </c>
      <c r="X40">
        <f t="shared" si="32"/>
        <v>3274.07</v>
      </c>
      <c r="Y40">
        <f t="shared" si="32"/>
        <v>467.72</v>
      </c>
      <c r="AA40">
        <v>-1</v>
      </c>
      <c r="AB40">
        <f>ROUND((AC40+AD40+AF40),6)</f>
        <v>10883.64</v>
      </c>
      <c r="AC40">
        <f>ROUND(((ES40*4)),6)</f>
        <v>0</v>
      </c>
      <c r="AD40">
        <f>ROUND(((((ET40*4))-((EU40*4)))+AE40),6)</f>
        <v>0</v>
      </c>
      <c r="AE40">
        <f>ROUND(((EU40*4)),6)</f>
        <v>0</v>
      </c>
      <c r="AF40">
        <f>ROUND(((EV40*4)),6)</f>
        <v>10883.64</v>
      </c>
      <c r="AG40">
        <f>ROUND((AP40),6)</f>
        <v>0</v>
      </c>
      <c r="AH40">
        <f>((EW40*4))</f>
        <v>19.36</v>
      </c>
      <c r="AI40">
        <f>((EX40*4))</f>
        <v>0</v>
      </c>
      <c r="AJ40">
        <f>(AS40)</f>
        <v>0</v>
      </c>
      <c r="AK40">
        <v>2720.91</v>
      </c>
      <c r="AL40">
        <v>0</v>
      </c>
      <c r="AM40">
        <v>0</v>
      </c>
      <c r="AN40">
        <v>0</v>
      </c>
      <c r="AO40">
        <v>2720.91</v>
      </c>
      <c r="AP40">
        <v>0</v>
      </c>
      <c r="AQ40">
        <v>4.84</v>
      </c>
      <c r="AR40">
        <v>0</v>
      </c>
      <c r="AS40">
        <v>0</v>
      </c>
      <c r="AT40">
        <v>70</v>
      </c>
      <c r="AU40">
        <v>10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4</v>
      </c>
      <c r="BJ40" t="s">
        <v>28</v>
      </c>
      <c r="BM40">
        <v>0</v>
      </c>
      <c r="BN40">
        <v>0</v>
      </c>
      <c r="BO40" t="s">
        <v>3</v>
      </c>
      <c r="BP40">
        <v>0</v>
      </c>
      <c r="BQ40">
        <v>1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70</v>
      </c>
      <c r="CA40">
        <v>10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>(P40+Q40+S40)</f>
        <v>4677.24</v>
      </c>
      <c r="CQ40">
        <f>(AC40*BC40*AW40)</f>
        <v>0</v>
      </c>
      <c r="CR40">
        <f>(((((ET40*4))*BB40-((EU40*4))*BS40)+AE40*BS40)*AV40)</f>
        <v>0</v>
      </c>
      <c r="CS40">
        <f>(AE40*BS40*AV40)</f>
        <v>0</v>
      </c>
      <c r="CT40">
        <f>(AF40*BA40*AV40)</f>
        <v>10883.64</v>
      </c>
      <c r="CU40">
        <f>AG40</f>
        <v>0</v>
      </c>
      <c r="CV40">
        <f>(AH40*AV40)</f>
        <v>19.36</v>
      </c>
      <c r="CW40">
        <f t="shared" si="33"/>
        <v>0</v>
      </c>
      <c r="CX40">
        <f t="shared" si="33"/>
        <v>0</v>
      </c>
      <c r="CY40">
        <f>((S40*BZ40)/100)</f>
        <v>3274.0679999999998</v>
      </c>
      <c r="CZ40">
        <f>((S40*CA40)/100)</f>
        <v>467.72399999999993</v>
      </c>
      <c r="DC40" t="s">
        <v>3</v>
      </c>
      <c r="DD40" t="s">
        <v>22</v>
      </c>
      <c r="DE40" t="s">
        <v>22</v>
      </c>
      <c r="DF40" t="s">
        <v>22</v>
      </c>
      <c r="DG40" t="s">
        <v>22</v>
      </c>
      <c r="DH40" t="s">
        <v>3</v>
      </c>
      <c r="DI40" t="s">
        <v>22</v>
      </c>
      <c r="DJ40" t="s">
        <v>22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1003</v>
      </c>
      <c r="DV40" t="s">
        <v>20</v>
      </c>
      <c r="DW40" t="s">
        <v>20</v>
      </c>
      <c r="DX40">
        <v>100</v>
      </c>
      <c r="DZ40" t="s">
        <v>3</v>
      </c>
      <c r="EA40" t="s">
        <v>3</v>
      </c>
      <c r="EB40" t="s">
        <v>3</v>
      </c>
      <c r="EC40" t="s">
        <v>3</v>
      </c>
      <c r="EE40">
        <v>1441815344</v>
      </c>
      <c r="EF40">
        <v>1</v>
      </c>
      <c r="EG40" t="s">
        <v>23</v>
      </c>
      <c r="EH40">
        <v>0</v>
      </c>
      <c r="EI40" t="s">
        <v>3</v>
      </c>
      <c r="EJ40">
        <v>4</v>
      </c>
      <c r="EK40">
        <v>0</v>
      </c>
      <c r="EL40" t="s">
        <v>24</v>
      </c>
      <c r="EM40" t="s">
        <v>25</v>
      </c>
      <c r="EO40" t="s">
        <v>3</v>
      </c>
      <c r="EQ40">
        <v>1024</v>
      </c>
      <c r="ER40">
        <v>2720.91</v>
      </c>
      <c r="ES40">
        <v>0</v>
      </c>
      <c r="ET40">
        <v>0</v>
      </c>
      <c r="EU40">
        <v>0</v>
      </c>
      <c r="EV40">
        <v>2720.91</v>
      </c>
      <c r="EW40">
        <v>4.84</v>
      </c>
      <c r="EX40">
        <v>0</v>
      </c>
      <c r="EY40">
        <v>0</v>
      </c>
      <c r="FQ40">
        <v>0</v>
      </c>
      <c r="FR40">
        <f>ROUND(IF(BI40=3,GM40,0),2)</f>
        <v>0</v>
      </c>
      <c r="FS40">
        <v>0</v>
      </c>
      <c r="FX40">
        <v>70</v>
      </c>
      <c r="FY40">
        <v>10</v>
      </c>
      <c r="GA40" t="s">
        <v>3</v>
      </c>
      <c r="GD40">
        <v>0</v>
      </c>
      <c r="GF40">
        <v>-1706933960</v>
      </c>
      <c r="GG40">
        <v>2</v>
      </c>
      <c r="GH40">
        <v>1</v>
      </c>
      <c r="GI40">
        <v>-2</v>
      </c>
      <c r="GJ40">
        <v>0</v>
      </c>
      <c r="GK40">
        <f>ROUND(R40*(R12)/100,2)</f>
        <v>0</v>
      </c>
      <c r="GL40">
        <f>ROUND(IF(AND(BH40=3,BI40=3,FS40&lt;&gt;0),P40,0),2)</f>
        <v>0</v>
      </c>
      <c r="GM40">
        <f>ROUND(O40+X40+Y40+GK40,2)+GX40</f>
        <v>8419.0300000000007</v>
      </c>
      <c r="GN40">
        <f>IF(OR(BI40=0,BI40=1),GM40-GX40,0)</f>
        <v>0</v>
      </c>
      <c r="GO40">
        <f>IF(BI40=2,GM40-GX40,0)</f>
        <v>0</v>
      </c>
      <c r="GP40">
        <f>IF(BI40=4,GM40-GX40,0)</f>
        <v>8419.0300000000007</v>
      </c>
      <c r="GR40">
        <v>0</v>
      </c>
      <c r="GS40">
        <v>3</v>
      </c>
      <c r="GT40">
        <v>0</v>
      </c>
      <c r="GU40" t="s">
        <v>3</v>
      </c>
      <c r="GV40">
        <f>ROUND((GT40),6)</f>
        <v>0</v>
      </c>
      <c r="GW40">
        <v>1</v>
      </c>
      <c r="GX40">
        <f>ROUND(HC40*I40,2)</f>
        <v>0</v>
      </c>
      <c r="HA40">
        <v>0</v>
      </c>
      <c r="HB40">
        <v>0</v>
      </c>
      <c r="HC40">
        <f>GV40*GW40</f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17</v>
      </c>
      <c r="B41">
        <v>1</v>
      </c>
      <c r="D41">
        <f>ROW(EtalonRes!A11)</f>
        <v>11</v>
      </c>
      <c r="E41" t="s">
        <v>44</v>
      </c>
      <c r="F41" t="s">
        <v>35</v>
      </c>
      <c r="G41" t="s">
        <v>36</v>
      </c>
      <c r="H41" t="s">
        <v>37</v>
      </c>
      <c r="I41">
        <f>ROUND(ROUND((21+88)/10,9),9)</f>
        <v>10.9</v>
      </c>
      <c r="J41">
        <v>0</v>
      </c>
      <c r="K41">
        <f>ROUND(ROUND((21+88)/10,9),9)</f>
        <v>10.9</v>
      </c>
      <c r="O41">
        <f>ROUND(CP41,2)</f>
        <v>3028.78</v>
      </c>
      <c r="P41">
        <f>ROUND(CQ41*I41,2)</f>
        <v>0</v>
      </c>
      <c r="Q41">
        <f>ROUND(CR41*I41,2)</f>
        <v>0</v>
      </c>
      <c r="R41">
        <f>ROUND(CS41*I41,2)</f>
        <v>0</v>
      </c>
      <c r="S41">
        <f>ROUND(CT41*I41,2)</f>
        <v>3028.78</v>
      </c>
      <c r="T41">
        <f>ROUND(CU41*I41,2)</f>
        <v>0</v>
      </c>
      <c r="U41">
        <f>CV41*I41</f>
        <v>4.9050000000000002</v>
      </c>
      <c r="V41">
        <f>CW41*I41</f>
        <v>0</v>
      </c>
      <c r="W41">
        <f>ROUND(CX41*I41,2)</f>
        <v>0</v>
      </c>
      <c r="X41">
        <f t="shared" si="32"/>
        <v>2120.15</v>
      </c>
      <c r="Y41">
        <f t="shared" si="32"/>
        <v>302.88</v>
      </c>
      <c r="AA41">
        <v>1472224561</v>
      </c>
      <c r="AB41">
        <f>ROUND((AC41+AD41+AF41),6)</f>
        <v>277.87</v>
      </c>
      <c r="AC41">
        <f>ROUND((ES41),6)</f>
        <v>0</v>
      </c>
      <c r="AD41">
        <f>ROUND((((ET41)-(EU41))+AE41),6)</f>
        <v>0</v>
      </c>
      <c r="AE41">
        <f>ROUND((EU41),6)</f>
        <v>0</v>
      </c>
      <c r="AF41">
        <f>ROUND((EV41),6)</f>
        <v>277.87</v>
      </c>
      <c r="AG41">
        <f>ROUND((AP41),6)</f>
        <v>0</v>
      </c>
      <c r="AH41">
        <f>(EW41)</f>
        <v>0.45</v>
      </c>
      <c r="AI41">
        <f>(EX41)</f>
        <v>0</v>
      </c>
      <c r="AJ41">
        <f>(AS41)</f>
        <v>0</v>
      </c>
      <c r="AK41">
        <v>277.87</v>
      </c>
      <c r="AL41">
        <v>0</v>
      </c>
      <c r="AM41">
        <v>0</v>
      </c>
      <c r="AN41">
        <v>0</v>
      </c>
      <c r="AO41">
        <v>277.87</v>
      </c>
      <c r="AP41">
        <v>0</v>
      </c>
      <c r="AQ41">
        <v>0.45</v>
      </c>
      <c r="AR41">
        <v>0</v>
      </c>
      <c r="AS41">
        <v>0</v>
      </c>
      <c r="AT41">
        <v>70</v>
      </c>
      <c r="AU41">
        <v>10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4</v>
      </c>
      <c r="BJ41" t="s">
        <v>38</v>
      </c>
      <c r="BM41">
        <v>0</v>
      </c>
      <c r="BN41">
        <v>0</v>
      </c>
      <c r="BO41" t="s">
        <v>3</v>
      </c>
      <c r="BP41">
        <v>0</v>
      </c>
      <c r="BQ41">
        <v>1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70</v>
      </c>
      <c r="CA41">
        <v>10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>(P41+Q41+S41)</f>
        <v>3028.78</v>
      </c>
      <c r="CQ41">
        <f>(AC41*BC41*AW41)</f>
        <v>0</v>
      </c>
      <c r="CR41">
        <f>((((ET41)*BB41-(EU41)*BS41)+AE41*BS41)*AV41)</f>
        <v>0</v>
      </c>
      <c r="CS41">
        <f>(AE41*BS41*AV41)</f>
        <v>0</v>
      </c>
      <c r="CT41">
        <f>(AF41*BA41*AV41)</f>
        <v>277.87</v>
      </c>
      <c r="CU41">
        <f>AG41</f>
        <v>0</v>
      </c>
      <c r="CV41">
        <f>(AH41*AV41)</f>
        <v>0.45</v>
      </c>
      <c r="CW41">
        <f t="shared" si="33"/>
        <v>0</v>
      </c>
      <c r="CX41">
        <f t="shared" si="33"/>
        <v>0</v>
      </c>
      <c r="CY41">
        <f>((S41*BZ41)/100)</f>
        <v>2120.1460000000002</v>
      </c>
      <c r="CZ41">
        <f>((S41*CA41)/100)</f>
        <v>302.87800000000004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16987630</v>
      </c>
      <c r="DV41" t="s">
        <v>37</v>
      </c>
      <c r="DW41" t="s">
        <v>37</v>
      </c>
      <c r="DX41">
        <v>10</v>
      </c>
      <c r="DZ41" t="s">
        <v>3</v>
      </c>
      <c r="EA41" t="s">
        <v>3</v>
      </c>
      <c r="EB41" t="s">
        <v>3</v>
      </c>
      <c r="EC41" t="s">
        <v>3</v>
      </c>
      <c r="EE41">
        <v>1441815344</v>
      </c>
      <c r="EF41">
        <v>1</v>
      </c>
      <c r="EG41" t="s">
        <v>23</v>
      </c>
      <c r="EH41">
        <v>0</v>
      </c>
      <c r="EI41" t="s">
        <v>3</v>
      </c>
      <c r="EJ41">
        <v>4</v>
      </c>
      <c r="EK41">
        <v>0</v>
      </c>
      <c r="EL41" t="s">
        <v>24</v>
      </c>
      <c r="EM41" t="s">
        <v>25</v>
      </c>
      <c r="EO41" t="s">
        <v>3</v>
      </c>
      <c r="EQ41">
        <v>0</v>
      </c>
      <c r="ER41">
        <v>277.87</v>
      </c>
      <c r="ES41">
        <v>0</v>
      </c>
      <c r="ET41">
        <v>0</v>
      </c>
      <c r="EU41">
        <v>0</v>
      </c>
      <c r="EV41">
        <v>277.87</v>
      </c>
      <c r="EW41">
        <v>0.45</v>
      </c>
      <c r="EX41">
        <v>0</v>
      </c>
      <c r="EY41">
        <v>0</v>
      </c>
      <c r="FQ41">
        <v>0</v>
      </c>
      <c r="FR41">
        <f>ROUND(IF(BI41=3,GM41,0),2)</f>
        <v>0</v>
      </c>
      <c r="FS41">
        <v>0</v>
      </c>
      <c r="FX41">
        <v>70</v>
      </c>
      <c r="FY41">
        <v>10</v>
      </c>
      <c r="GA41" t="s">
        <v>3</v>
      </c>
      <c r="GD41">
        <v>0</v>
      </c>
      <c r="GF41">
        <v>-559430364</v>
      </c>
      <c r="GG41">
        <v>2</v>
      </c>
      <c r="GH41">
        <v>1</v>
      </c>
      <c r="GI41">
        <v>-2</v>
      </c>
      <c r="GJ41">
        <v>0</v>
      </c>
      <c r="GK41">
        <f>ROUND(R41*(R12)/100,2)</f>
        <v>0</v>
      </c>
      <c r="GL41">
        <f>ROUND(IF(AND(BH41=3,BI41=3,FS41&lt;&gt;0),P41,0),2)</f>
        <v>0</v>
      </c>
      <c r="GM41">
        <f>ROUND(O41+X41+Y41+GK41,2)+GX41</f>
        <v>5451.81</v>
      </c>
      <c r="GN41">
        <f>IF(OR(BI41=0,BI41=1),GM41-GX41,0)</f>
        <v>0</v>
      </c>
      <c r="GO41">
        <f>IF(BI41=2,GM41-GX41,0)</f>
        <v>0</v>
      </c>
      <c r="GP41">
        <f>IF(BI41=4,GM41-GX41,0)</f>
        <v>5451.81</v>
      </c>
      <c r="GR41">
        <v>0</v>
      </c>
      <c r="GS41">
        <v>3</v>
      </c>
      <c r="GT41">
        <v>0</v>
      </c>
      <c r="GU41" t="s">
        <v>3</v>
      </c>
      <c r="GV41">
        <f>ROUND((GT41),6)</f>
        <v>0</v>
      </c>
      <c r="GW41">
        <v>1</v>
      </c>
      <c r="GX41">
        <f>ROUND(HC41*I41,2)</f>
        <v>0</v>
      </c>
      <c r="HA41">
        <v>0</v>
      </c>
      <c r="HB41">
        <v>0</v>
      </c>
      <c r="HC41">
        <f>GV41*GW41</f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IK41">
        <v>0</v>
      </c>
    </row>
    <row r="42" spans="1:245" x14ac:dyDescent="0.2">
      <c r="A42">
        <v>17</v>
      </c>
      <c r="B42">
        <v>1</v>
      </c>
      <c r="D42">
        <f>ROW(EtalonRes!A13)</f>
        <v>13</v>
      </c>
      <c r="E42" t="s">
        <v>45</v>
      </c>
      <c r="F42" t="s">
        <v>30</v>
      </c>
      <c r="G42" t="s">
        <v>31</v>
      </c>
      <c r="H42" t="s">
        <v>32</v>
      </c>
      <c r="I42">
        <f>ROUND(ROUND(25*2,9),9)</f>
        <v>50</v>
      </c>
      <c r="J42">
        <v>0</v>
      </c>
      <c r="K42">
        <f>ROUND(ROUND(25*2,9),9)</f>
        <v>50</v>
      </c>
      <c r="O42">
        <f>ROUND(CP42,2)</f>
        <v>14309</v>
      </c>
      <c r="P42">
        <f>ROUND(CQ42*I42,2)</f>
        <v>0</v>
      </c>
      <c r="Q42">
        <f>ROUND(CR42*I42,2)</f>
        <v>3909</v>
      </c>
      <c r="R42">
        <f>ROUND(CS42*I42,2)</f>
        <v>2478.5</v>
      </c>
      <c r="S42">
        <f>ROUND(CT42*I42,2)</f>
        <v>10400</v>
      </c>
      <c r="T42">
        <f>ROUND(CU42*I42,2)</f>
        <v>0</v>
      </c>
      <c r="U42">
        <f>CV42*I42</f>
        <v>18.5</v>
      </c>
      <c r="V42">
        <f>CW42*I42</f>
        <v>0</v>
      </c>
      <c r="W42">
        <f>ROUND(CX42*I42,2)</f>
        <v>0</v>
      </c>
      <c r="X42">
        <f t="shared" si="32"/>
        <v>7280</v>
      </c>
      <c r="Y42">
        <f t="shared" si="32"/>
        <v>1040</v>
      </c>
      <c r="AA42">
        <v>1472224561</v>
      </c>
      <c r="AB42">
        <f>ROUND((AC42+AD42+AF42),6)</f>
        <v>286.18</v>
      </c>
      <c r="AC42">
        <f>ROUND((ES42),6)</f>
        <v>0</v>
      </c>
      <c r="AD42">
        <f>ROUND((((ET42)-(EU42))+AE42),6)</f>
        <v>78.180000000000007</v>
      </c>
      <c r="AE42">
        <f>ROUND((EU42),6)</f>
        <v>49.57</v>
      </c>
      <c r="AF42">
        <f>ROUND((EV42),6)</f>
        <v>208</v>
      </c>
      <c r="AG42">
        <f>ROUND((AP42),6)</f>
        <v>0</v>
      </c>
      <c r="AH42">
        <f>(EW42)</f>
        <v>0.37</v>
      </c>
      <c r="AI42">
        <f>(EX42)</f>
        <v>0</v>
      </c>
      <c r="AJ42">
        <f>(AS42)</f>
        <v>0</v>
      </c>
      <c r="AK42">
        <v>286.18</v>
      </c>
      <c r="AL42">
        <v>0</v>
      </c>
      <c r="AM42">
        <v>78.180000000000007</v>
      </c>
      <c r="AN42">
        <v>49.57</v>
      </c>
      <c r="AO42">
        <v>208</v>
      </c>
      <c r="AP42">
        <v>0</v>
      </c>
      <c r="AQ42">
        <v>0.37</v>
      </c>
      <c r="AR42">
        <v>0</v>
      </c>
      <c r="AS42">
        <v>0</v>
      </c>
      <c r="AT42">
        <v>70</v>
      </c>
      <c r="AU42">
        <v>10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3</v>
      </c>
      <c r="BE42" t="s">
        <v>3</v>
      </c>
      <c r="BF42" t="s">
        <v>3</v>
      </c>
      <c r="BG42" t="s">
        <v>3</v>
      </c>
      <c r="BH42">
        <v>0</v>
      </c>
      <c r="BI42">
        <v>4</v>
      </c>
      <c r="BJ42" t="s">
        <v>33</v>
      </c>
      <c r="BM42">
        <v>0</v>
      </c>
      <c r="BN42">
        <v>0</v>
      </c>
      <c r="BO42" t="s">
        <v>3</v>
      </c>
      <c r="BP42">
        <v>0</v>
      </c>
      <c r="BQ42">
        <v>1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70</v>
      </c>
      <c r="CA42">
        <v>10</v>
      </c>
      <c r="CB42" t="s">
        <v>3</v>
      </c>
      <c r="CE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>(P42+Q42+S42)</f>
        <v>14309</v>
      </c>
      <c r="CQ42">
        <f>(AC42*BC42*AW42)</f>
        <v>0</v>
      </c>
      <c r="CR42">
        <f>((((ET42)*BB42-(EU42)*BS42)+AE42*BS42)*AV42)</f>
        <v>78.180000000000007</v>
      </c>
      <c r="CS42">
        <f>(AE42*BS42*AV42)</f>
        <v>49.57</v>
      </c>
      <c r="CT42">
        <f>(AF42*BA42*AV42)</f>
        <v>208</v>
      </c>
      <c r="CU42">
        <f>AG42</f>
        <v>0</v>
      </c>
      <c r="CV42">
        <f>(AH42*AV42)</f>
        <v>0.37</v>
      </c>
      <c r="CW42">
        <f t="shared" si="33"/>
        <v>0</v>
      </c>
      <c r="CX42">
        <f t="shared" si="33"/>
        <v>0</v>
      </c>
      <c r="CY42">
        <f>((S42*BZ42)/100)</f>
        <v>7280</v>
      </c>
      <c r="CZ42">
        <f>((S42*CA42)/100)</f>
        <v>1040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16987630</v>
      </c>
      <c r="DV42" t="s">
        <v>32</v>
      </c>
      <c r="DW42" t="s">
        <v>32</v>
      </c>
      <c r="DX42">
        <v>1</v>
      </c>
      <c r="DZ42" t="s">
        <v>3</v>
      </c>
      <c r="EA42" t="s">
        <v>3</v>
      </c>
      <c r="EB42" t="s">
        <v>3</v>
      </c>
      <c r="EC42" t="s">
        <v>3</v>
      </c>
      <c r="EE42">
        <v>1441815344</v>
      </c>
      <c r="EF42">
        <v>1</v>
      </c>
      <c r="EG42" t="s">
        <v>23</v>
      </c>
      <c r="EH42">
        <v>0</v>
      </c>
      <c r="EI42" t="s">
        <v>3</v>
      </c>
      <c r="EJ42">
        <v>4</v>
      </c>
      <c r="EK42">
        <v>0</v>
      </c>
      <c r="EL42" t="s">
        <v>24</v>
      </c>
      <c r="EM42" t="s">
        <v>25</v>
      </c>
      <c r="EO42" t="s">
        <v>3</v>
      </c>
      <c r="EQ42">
        <v>0</v>
      </c>
      <c r="ER42">
        <v>286.18</v>
      </c>
      <c r="ES42">
        <v>0</v>
      </c>
      <c r="ET42">
        <v>78.180000000000007</v>
      </c>
      <c r="EU42">
        <v>49.57</v>
      </c>
      <c r="EV42">
        <v>208</v>
      </c>
      <c r="EW42">
        <v>0.37</v>
      </c>
      <c r="EX42">
        <v>0</v>
      </c>
      <c r="EY42">
        <v>0</v>
      </c>
      <c r="FQ42">
        <v>0</v>
      </c>
      <c r="FR42">
        <f>ROUND(IF(BI42=3,GM42,0),2)</f>
        <v>0</v>
      </c>
      <c r="FS42">
        <v>0</v>
      </c>
      <c r="FX42">
        <v>70</v>
      </c>
      <c r="FY42">
        <v>10</v>
      </c>
      <c r="GA42" t="s">
        <v>3</v>
      </c>
      <c r="GD42">
        <v>0</v>
      </c>
      <c r="GF42">
        <v>-1948497039</v>
      </c>
      <c r="GG42">
        <v>2</v>
      </c>
      <c r="GH42">
        <v>1</v>
      </c>
      <c r="GI42">
        <v>-2</v>
      </c>
      <c r="GJ42">
        <v>0</v>
      </c>
      <c r="GK42">
        <f>ROUND(R42*(R12)/100,2)</f>
        <v>2676.78</v>
      </c>
      <c r="GL42">
        <f>ROUND(IF(AND(BH42=3,BI42=3,FS42&lt;&gt;0),P42,0),2)</f>
        <v>0</v>
      </c>
      <c r="GM42">
        <f>ROUND(O42+X42+Y42+GK42,2)+GX42</f>
        <v>25305.78</v>
      </c>
      <c r="GN42">
        <f>IF(OR(BI42=0,BI42=1),GM42-GX42,0)</f>
        <v>0</v>
      </c>
      <c r="GO42">
        <f>IF(BI42=2,GM42-GX42,0)</f>
        <v>0</v>
      </c>
      <c r="GP42">
        <f>IF(BI42=4,GM42-GX42,0)</f>
        <v>25305.78</v>
      </c>
      <c r="GR42">
        <v>0</v>
      </c>
      <c r="GS42">
        <v>3</v>
      </c>
      <c r="GT42">
        <v>0</v>
      </c>
      <c r="GU42" t="s">
        <v>3</v>
      </c>
      <c r="GV42">
        <f>ROUND((GT42),6)</f>
        <v>0</v>
      </c>
      <c r="GW42">
        <v>1</v>
      </c>
      <c r="GX42">
        <f>ROUND(HC42*I42,2)</f>
        <v>0</v>
      </c>
      <c r="HA42">
        <v>0</v>
      </c>
      <c r="HB42">
        <v>0</v>
      </c>
      <c r="HC42">
        <f>GV42*GW42</f>
        <v>0</v>
      </c>
      <c r="HE42" t="s">
        <v>3</v>
      </c>
      <c r="HF42" t="s">
        <v>3</v>
      </c>
      <c r="HM42" t="s">
        <v>3</v>
      </c>
      <c r="HN42" t="s">
        <v>3</v>
      </c>
      <c r="HO42" t="s">
        <v>3</v>
      </c>
      <c r="HP42" t="s">
        <v>3</v>
      </c>
      <c r="HQ42" t="s">
        <v>3</v>
      </c>
      <c r="IK42">
        <v>0</v>
      </c>
    </row>
    <row r="44" spans="1:245" x14ac:dyDescent="0.2">
      <c r="A44" s="2">
        <v>51</v>
      </c>
      <c r="B44" s="2">
        <f>B28</f>
        <v>1</v>
      </c>
      <c r="C44" s="2">
        <f>A28</f>
        <v>5</v>
      </c>
      <c r="D44" s="2">
        <f>ROW(A28)</f>
        <v>28</v>
      </c>
      <c r="E44" s="2"/>
      <c r="F44" s="2" t="str">
        <f>IF(F28&lt;&gt;"",F28,"")</f>
        <v>Новый подраздел</v>
      </c>
      <c r="G44" s="2" t="str">
        <f>IF(G28&lt;&gt;"",G28,"")</f>
        <v>Водопровод</v>
      </c>
      <c r="H44" s="2">
        <v>0</v>
      </c>
      <c r="I44" s="2"/>
      <c r="J44" s="2"/>
      <c r="K44" s="2"/>
      <c r="L44" s="2"/>
      <c r="M44" s="2"/>
      <c r="N44" s="2"/>
      <c r="O44" s="2">
        <f t="shared" ref="O44:T44" si="34">ROUND(AB44,2)</f>
        <v>137661.9</v>
      </c>
      <c r="P44" s="2">
        <f t="shared" si="34"/>
        <v>42</v>
      </c>
      <c r="Q44" s="2">
        <f t="shared" si="34"/>
        <v>15166.92</v>
      </c>
      <c r="R44" s="2">
        <f t="shared" si="34"/>
        <v>9616.58</v>
      </c>
      <c r="S44" s="2">
        <f t="shared" si="34"/>
        <v>122452.98</v>
      </c>
      <c r="T44" s="2">
        <f t="shared" si="34"/>
        <v>0</v>
      </c>
      <c r="U44" s="2">
        <f>AH44</f>
        <v>214.685</v>
      </c>
      <c r="V44" s="2">
        <f>AI44</f>
        <v>0</v>
      </c>
      <c r="W44" s="2">
        <f>ROUND(AJ44,2)</f>
        <v>0</v>
      </c>
      <c r="X44" s="2">
        <f>ROUND(AK44,2)</f>
        <v>85717.09</v>
      </c>
      <c r="Y44" s="2">
        <f>ROUND(AL44,2)</f>
        <v>12245.3</v>
      </c>
      <c r="Z44" s="2"/>
      <c r="AA44" s="2"/>
      <c r="AB44" s="2">
        <f>ROUND(SUMIF(AA32:AA42,"=1472224561",O32:O42),2)</f>
        <v>137661.9</v>
      </c>
      <c r="AC44" s="2">
        <f>ROUND(SUMIF(AA32:AA42,"=1472224561",P32:P42),2)</f>
        <v>42</v>
      </c>
      <c r="AD44" s="2">
        <f>ROUND(SUMIF(AA32:AA42,"=1472224561",Q32:Q42),2)</f>
        <v>15166.92</v>
      </c>
      <c r="AE44" s="2">
        <f>ROUND(SUMIF(AA32:AA42,"=1472224561",R32:R42),2)</f>
        <v>9616.58</v>
      </c>
      <c r="AF44" s="2">
        <f>ROUND(SUMIF(AA32:AA42,"=1472224561",S32:S42),2)</f>
        <v>122452.98</v>
      </c>
      <c r="AG44" s="2">
        <f>ROUND(SUMIF(AA32:AA42,"=1472224561",T32:T42),2)</f>
        <v>0</v>
      </c>
      <c r="AH44" s="2">
        <f>SUMIF(AA32:AA42,"=1472224561",U32:U42)</f>
        <v>214.685</v>
      </c>
      <c r="AI44" s="2">
        <f>SUMIF(AA32:AA42,"=1472224561",V32:V42)</f>
        <v>0</v>
      </c>
      <c r="AJ44" s="2">
        <f>ROUND(SUMIF(AA32:AA42,"=1472224561",W32:W42),2)</f>
        <v>0</v>
      </c>
      <c r="AK44" s="2">
        <f>ROUND(SUMIF(AA32:AA42,"=1472224561",X32:X42),2)</f>
        <v>85717.09</v>
      </c>
      <c r="AL44" s="2">
        <f>ROUND(SUMIF(AA32:AA42,"=1472224561",Y32:Y42),2)</f>
        <v>12245.3</v>
      </c>
      <c r="AM44" s="2"/>
      <c r="AN44" s="2"/>
      <c r="AO44" s="2">
        <f t="shared" ref="AO44:BD44" si="35">ROUND(BX44,2)</f>
        <v>0</v>
      </c>
      <c r="AP44" s="2">
        <f t="shared" si="35"/>
        <v>0</v>
      </c>
      <c r="AQ44" s="2">
        <f t="shared" si="35"/>
        <v>0</v>
      </c>
      <c r="AR44" s="2">
        <f t="shared" si="35"/>
        <v>246010.2</v>
      </c>
      <c r="AS44" s="2">
        <f t="shared" si="35"/>
        <v>0</v>
      </c>
      <c r="AT44" s="2">
        <f t="shared" si="35"/>
        <v>0</v>
      </c>
      <c r="AU44" s="2">
        <f t="shared" si="35"/>
        <v>246010.2</v>
      </c>
      <c r="AV44" s="2">
        <f t="shared" si="35"/>
        <v>42</v>
      </c>
      <c r="AW44" s="2">
        <f t="shared" si="35"/>
        <v>42</v>
      </c>
      <c r="AX44" s="2">
        <f t="shared" si="35"/>
        <v>0</v>
      </c>
      <c r="AY44" s="2">
        <f t="shared" si="35"/>
        <v>42</v>
      </c>
      <c r="AZ44" s="2">
        <f t="shared" si="35"/>
        <v>0</v>
      </c>
      <c r="BA44" s="2">
        <f t="shared" si="35"/>
        <v>0</v>
      </c>
      <c r="BB44" s="2">
        <f t="shared" si="35"/>
        <v>0</v>
      </c>
      <c r="BC44" s="2">
        <f t="shared" si="35"/>
        <v>0</v>
      </c>
      <c r="BD44" s="2">
        <f t="shared" si="35"/>
        <v>0</v>
      </c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>
        <f>ROUND(SUMIF(AA32:AA42,"=1472224561",FQ32:FQ42),2)</f>
        <v>0</v>
      </c>
      <c r="BY44" s="2">
        <f>ROUND(SUMIF(AA32:AA42,"=1472224561",FR32:FR42),2)</f>
        <v>0</v>
      </c>
      <c r="BZ44" s="2">
        <f>ROUND(SUMIF(AA32:AA42,"=1472224561",GL32:GL42),2)</f>
        <v>0</v>
      </c>
      <c r="CA44" s="2">
        <f>ROUND(SUMIF(AA32:AA42,"=1472224561",GM32:GM42),2)</f>
        <v>246010.2</v>
      </c>
      <c r="CB44" s="2">
        <f>ROUND(SUMIF(AA32:AA42,"=1472224561",GN32:GN42),2)</f>
        <v>0</v>
      </c>
      <c r="CC44" s="2">
        <f>ROUND(SUMIF(AA32:AA42,"=1472224561",GO32:GO42),2)</f>
        <v>0</v>
      </c>
      <c r="CD44" s="2">
        <f>ROUND(SUMIF(AA32:AA42,"=1472224561",GP32:GP42),2)</f>
        <v>246010.2</v>
      </c>
      <c r="CE44" s="2">
        <f>AC44-BX44</f>
        <v>42</v>
      </c>
      <c r="CF44" s="2">
        <f>AC44-BY44</f>
        <v>42</v>
      </c>
      <c r="CG44" s="2">
        <f>BX44-BZ44</f>
        <v>0</v>
      </c>
      <c r="CH44" s="2">
        <f>AC44-BX44-BY44+BZ44</f>
        <v>42</v>
      </c>
      <c r="CI44" s="2">
        <f>BY44-BZ44</f>
        <v>0</v>
      </c>
      <c r="CJ44" s="2">
        <f>ROUND(SUMIF(AA32:AA42,"=1472224561",GX32:GX42),2)</f>
        <v>0</v>
      </c>
      <c r="CK44" s="2">
        <f>ROUND(SUMIF(AA32:AA42,"=1472224561",GY32:GY42),2)</f>
        <v>0</v>
      </c>
      <c r="CL44" s="2">
        <f>ROUND(SUMIF(AA32:AA42,"=1472224561",GZ32:GZ42),2)</f>
        <v>0</v>
      </c>
      <c r="CM44" s="2">
        <f>ROUND(SUMIF(AA32:AA42,"=1472224561",HD32:HD42),2)</f>
        <v>0</v>
      </c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>
        <v>0</v>
      </c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201</v>
      </c>
      <c r="F46" s="4">
        <f>ROUND(Source!O44,O46)</f>
        <v>137661.9</v>
      </c>
      <c r="G46" s="4" t="s">
        <v>46</v>
      </c>
      <c r="H46" s="4" t="s">
        <v>47</v>
      </c>
      <c r="I46" s="4"/>
      <c r="J46" s="4"/>
      <c r="K46" s="4">
        <v>201</v>
      </c>
      <c r="L46" s="4">
        <v>1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14309</v>
      </c>
      <c r="X46" s="4">
        <v>1</v>
      </c>
      <c r="Y46" s="4">
        <v>14309</v>
      </c>
      <c r="Z46" s="4"/>
      <c r="AA46" s="4"/>
      <c r="AB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202</v>
      </c>
      <c r="F47" s="4">
        <f>ROUND(Source!P44,O47)</f>
        <v>42</v>
      </c>
      <c r="G47" s="4" t="s">
        <v>48</v>
      </c>
      <c r="H47" s="4" t="s">
        <v>49</v>
      </c>
      <c r="I47" s="4"/>
      <c r="J47" s="4"/>
      <c r="K47" s="4">
        <v>202</v>
      </c>
      <c r="L47" s="4">
        <v>2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222</v>
      </c>
      <c r="F48" s="4">
        <f>ROUND(Source!AO44,O48)</f>
        <v>0</v>
      </c>
      <c r="G48" s="4" t="s">
        <v>50</v>
      </c>
      <c r="H48" s="4" t="s">
        <v>51</v>
      </c>
      <c r="I48" s="4"/>
      <c r="J48" s="4"/>
      <c r="K48" s="4">
        <v>222</v>
      </c>
      <c r="L48" s="4">
        <v>3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225</v>
      </c>
      <c r="F49" s="4">
        <f>ROUND(Source!AV44,O49)</f>
        <v>42</v>
      </c>
      <c r="G49" s="4" t="s">
        <v>52</v>
      </c>
      <c r="H49" s="4" t="s">
        <v>53</v>
      </c>
      <c r="I49" s="4"/>
      <c r="J49" s="4"/>
      <c r="K49" s="4">
        <v>225</v>
      </c>
      <c r="L49" s="4">
        <v>4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226</v>
      </c>
      <c r="F50" s="4">
        <f>ROUND(Source!AW44,O50)</f>
        <v>42</v>
      </c>
      <c r="G50" s="4" t="s">
        <v>54</v>
      </c>
      <c r="H50" s="4" t="s">
        <v>55</v>
      </c>
      <c r="I50" s="4"/>
      <c r="J50" s="4"/>
      <c r="K50" s="4">
        <v>226</v>
      </c>
      <c r="L50" s="4">
        <v>5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227</v>
      </c>
      <c r="F51" s="4">
        <f>ROUND(Source!AX44,O51)</f>
        <v>0</v>
      </c>
      <c r="G51" s="4" t="s">
        <v>56</v>
      </c>
      <c r="H51" s="4" t="s">
        <v>57</v>
      </c>
      <c r="I51" s="4"/>
      <c r="J51" s="4"/>
      <c r="K51" s="4">
        <v>227</v>
      </c>
      <c r="L51" s="4">
        <v>6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228</v>
      </c>
      <c r="F52" s="4">
        <f>ROUND(Source!AY44,O52)</f>
        <v>42</v>
      </c>
      <c r="G52" s="4" t="s">
        <v>58</v>
      </c>
      <c r="H52" s="4" t="s">
        <v>59</v>
      </c>
      <c r="I52" s="4"/>
      <c r="J52" s="4"/>
      <c r="K52" s="4">
        <v>228</v>
      </c>
      <c r="L52" s="4">
        <v>7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216</v>
      </c>
      <c r="F53" s="4">
        <f>ROUND(Source!AP44,O53)</f>
        <v>0</v>
      </c>
      <c r="G53" s="4" t="s">
        <v>60</v>
      </c>
      <c r="H53" s="4" t="s">
        <v>61</v>
      </c>
      <c r="I53" s="4"/>
      <c r="J53" s="4"/>
      <c r="K53" s="4">
        <v>216</v>
      </c>
      <c r="L53" s="4">
        <v>8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223</v>
      </c>
      <c r="F54" s="4">
        <f>ROUND(Source!AQ44,O54)</f>
        <v>0</v>
      </c>
      <c r="G54" s="4" t="s">
        <v>62</v>
      </c>
      <c r="H54" s="4" t="s">
        <v>63</v>
      </c>
      <c r="I54" s="4"/>
      <c r="J54" s="4"/>
      <c r="K54" s="4">
        <v>223</v>
      </c>
      <c r="L54" s="4">
        <v>9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229</v>
      </c>
      <c r="F55" s="4">
        <f>ROUND(Source!AZ44,O55)</f>
        <v>0</v>
      </c>
      <c r="G55" s="4" t="s">
        <v>64</v>
      </c>
      <c r="H55" s="4" t="s">
        <v>65</v>
      </c>
      <c r="I55" s="4"/>
      <c r="J55" s="4"/>
      <c r="K55" s="4">
        <v>229</v>
      </c>
      <c r="L55" s="4">
        <v>10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203</v>
      </c>
      <c r="F56" s="4">
        <f>ROUND(Source!Q44,O56)</f>
        <v>15166.92</v>
      </c>
      <c r="G56" s="4" t="s">
        <v>66</v>
      </c>
      <c r="H56" s="4" t="s">
        <v>67</v>
      </c>
      <c r="I56" s="4"/>
      <c r="J56" s="4"/>
      <c r="K56" s="4">
        <v>203</v>
      </c>
      <c r="L56" s="4">
        <v>11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3909</v>
      </c>
      <c r="X56" s="4">
        <v>1</v>
      </c>
      <c r="Y56" s="4">
        <v>3909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231</v>
      </c>
      <c r="F57" s="4">
        <f>ROUND(Source!BB44,O57)</f>
        <v>0</v>
      </c>
      <c r="G57" s="4" t="s">
        <v>68</v>
      </c>
      <c r="H57" s="4" t="s">
        <v>69</v>
      </c>
      <c r="I57" s="4"/>
      <c r="J57" s="4"/>
      <c r="K57" s="4">
        <v>231</v>
      </c>
      <c r="L57" s="4">
        <v>12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204</v>
      </c>
      <c r="F58" s="4">
        <f>ROUND(Source!R44,O58)</f>
        <v>9616.58</v>
      </c>
      <c r="G58" s="4" t="s">
        <v>70</v>
      </c>
      <c r="H58" s="4" t="s">
        <v>71</v>
      </c>
      <c r="I58" s="4"/>
      <c r="J58" s="4"/>
      <c r="K58" s="4">
        <v>204</v>
      </c>
      <c r="L58" s="4">
        <v>13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2478.5</v>
      </c>
      <c r="X58" s="4">
        <v>1</v>
      </c>
      <c r="Y58" s="4">
        <v>2478.5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205</v>
      </c>
      <c r="F59" s="4">
        <f>ROUND(Source!S44,O59)</f>
        <v>122452.98</v>
      </c>
      <c r="G59" s="4" t="s">
        <v>72</v>
      </c>
      <c r="H59" s="4" t="s">
        <v>73</v>
      </c>
      <c r="I59" s="4"/>
      <c r="J59" s="4"/>
      <c r="K59" s="4">
        <v>205</v>
      </c>
      <c r="L59" s="4">
        <v>14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10400</v>
      </c>
      <c r="X59" s="4">
        <v>1</v>
      </c>
      <c r="Y59" s="4">
        <v>10400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232</v>
      </c>
      <c r="F60" s="4">
        <f>ROUND(Source!BC44,O60)</f>
        <v>0</v>
      </c>
      <c r="G60" s="4" t="s">
        <v>74</v>
      </c>
      <c r="H60" s="4" t="s">
        <v>75</v>
      </c>
      <c r="I60" s="4"/>
      <c r="J60" s="4"/>
      <c r="K60" s="4">
        <v>232</v>
      </c>
      <c r="L60" s="4">
        <v>15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214</v>
      </c>
      <c r="F61" s="4">
        <f>ROUND(Source!AS44,O61)</f>
        <v>0</v>
      </c>
      <c r="G61" s="4" t="s">
        <v>76</v>
      </c>
      <c r="H61" s="4" t="s">
        <v>77</v>
      </c>
      <c r="I61" s="4"/>
      <c r="J61" s="4"/>
      <c r="K61" s="4">
        <v>214</v>
      </c>
      <c r="L61" s="4">
        <v>16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215</v>
      </c>
      <c r="F62" s="4">
        <f>ROUND(Source!AT44,O62)</f>
        <v>0</v>
      </c>
      <c r="G62" s="4" t="s">
        <v>78</v>
      </c>
      <c r="H62" s="4" t="s">
        <v>79</v>
      </c>
      <c r="I62" s="4"/>
      <c r="J62" s="4"/>
      <c r="K62" s="4">
        <v>215</v>
      </c>
      <c r="L62" s="4">
        <v>17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0</v>
      </c>
      <c r="X62" s="4">
        <v>1</v>
      </c>
      <c r="Y62" s="4">
        <v>0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217</v>
      </c>
      <c r="F63" s="4">
        <f>ROUND(Source!AU44,O63)</f>
        <v>246010.2</v>
      </c>
      <c r="G63" s="4" t="s">
        <v>80</v>
      </c>
      <c r="H63" s="4" t="s">
        <v>81</v>
      </c>
      <c r="I63" s="4"/>
      <c r="J63" s="4"/>
      <c r="K63" s="4">
        <v>217</v>
      </c>
      <c r="L63" s="4">
        <v>18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25305.78</v>
      </c>
      <c r="X63" s="4">
        <v>1</v>
      </c>
      <c r="Y63" s="4">
        <v>25305.78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230</v>
      </c>
      <c r="F64" s="4">
        <f>ROUND(Source!BA44,O64)</f>
        <v>0</v>
      </c>
      <c r="G64" s="4" t="s">
        <v>82</v>
      </c>
      <c r="H64" s="4" t="s">
        <v>83</v>
      </c>
      <c r="I64" s="4"/>
      <c r="J64" s="4"/>
      <c r="K64" s="4">
        <v>230</v>
      </c>
      <c r="L64" s="4">
        <v>19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45" x14ac:dyDescent="0.2">
      <c r="A65" s="4">
        <v>50</v>
      </c>
      <c r="B65" s="4">
        <v>0</v>
      </c>
      <c r="C65" s="4">
        <v>0</v>
      </c>
      <c r="D65" s="4">
        <v>1</v>
      </c>
      <c r="E65" s="4">
        <v>206</v>
      </c>
      <c r="F65" s="4">
        <f>ROUND(Source!T44,O65)</f>
        <v>0</v>
      </c>
      <c r="G65" s="4" t="s">
        <v>84</v>
      </c>
      <c r="H65" s="4" t="s">
        <v>85</v>
      </c>
      <c r="I65" s="4"/>
      <c r="J65" s="4"/>
      <c r="K65" s="4">
        <v>206</v>
      </c>
      <c r="L65" s="4">
        <v>20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0</v>
      </c>
      <c r="X65" s="4">
        <v>1</v>
      </c>
      <c r="Y65" s="4">
        <v>0</v>
      </c>
      <c r="Z65" s="4"/>
      <c r="AA65" s="4"/>
      <c r="AB65" s="4"/>
    </row>
    <row r="66" spans="1:245" x14ac:dyDescent="0.2">
      <c r="A66" s="4">
        <v>50</v>
      </c>
      <c r="B66" s="4">
        <v>0</v>
      </c>
      <c r="C66" s="4">
        <v>0</v>
      </c>
      <c r="D66" s="4">
        <v>1</v>
      </c>
      <c r="E66" s="4">
        <v>207</v>
      </c>
      <c r="F66" s="4">
        <f>Source!U44</f>
        <v>214.685</v>
      </c>
      <c r="G66" s="4" t="s">
        <v>86</v>
      </c>
      <c r="H66" s="4" t="s">
        <v>87</v>
      </c>
      <c r="I66" s="4"/>
      <c r="J66" s="4"/>
      <c r="K66" s="4">
        <v>207</v>
      </c>
      <c r="L66" s="4">
        <v>21</v>
      </c>
      <c r="M66" s="4">
        <v>3</v>
      </c>
      <c r="N66" s="4" t="s">
        <v>3</v>
      </c>
      <c r="O66" s="4">
        <v>-1</v>
      </c>
      <c r="P66" s="4"/>
      <c r="Q66" s="4"/>
      <c r="R66" s="4"/>
      <c r="S66" s="4"/>
      <c r="T66" s="4"/>
      <c r="U66" s="4"/>
      <c r="V66" s="4"/>
      <c r="W66" s="4">
        <v>18.5</v>
      </c>
      <c r="X66" s="4">
        <v>1</v>
      </c>
      <c r="Y66" s="4">
        <v>18.5</v>
      </c>
      <c r="Z66" s="4"/>
      <c r="AA66" s="4"/>
      <c r="AB66" s="4"/>
    </row>
    <row r="67" spans="1:245" x14ac:dyDescent="0.2">
      <c r="A67" s="4">
        <v>50</v>
      </c>
      <c r="B67" s="4">
        <v>0</v>
      </c>
      <c r="C67" s="4">
        <v>0</v>
      </c>
      <c r="D67" s="4">
        <v>1</v>
      </c>
      <c r="E67" s="4">
        <v>208</v>
      </c>
      <c r="F67" s="4">
        <f>Source!V44</f>
        <v>0</v>
      </c>
      <c r="G67" s="4" t="s">
        <v>88</v>
      </c>
      <c r="H67" s="4" t="s">
        <v>89</v>
      </c>
      <c r="I67" s="4"/>
      <c r="J67" s="4"/>
      <c r="K67" s="4">
        <v>208</v>
      </c>
      <c r="L67" s="4">
        <v>22</v>
      </c>
      <c r="M67" s="4">
        <v>3</v>
      </c>
      <c r="N67" s="4" t="s">
        <v>3</v>
      </c>
      <c r="O67" s="4">
        <v>-1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45" x14ac:dyDescent="0.2">
      <c r="A68" s="4">
        <v>50</v>
      </c>
      <c r="B68" s="4">
        <v>0</v>
      </c>
      <c r="C68" s="4">
        <v>0</v>
      </c>
      <c r="D68" s="4">
        <v>1</v>
      </c>
      <c r="E68" s="4">
        <v>209</v>
      </c>
      <c r="F68" s="4">
        <f>ROUND(Source!W44,O68)</f>
        <v>0</v>
      </c>
      <c r="G68" s="4" t="s">
        <v>90</v>
      </c>
      <c r="H68" s="4" t="s">
        <v>91</v>
      </c>
      <c r="I68" s="4"/>
      <c r="J68" s="4"/>
      <c r="K68" s="4">
        <v>209</v>
      </c>
      <c r="L68" s="4">
        <v>23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45" x14ac:dyDescent="0.2">
      <c r="A69" s="4">
        <v>50</v>
      </c>
      <c r="B69" s="4">
        <v>0</v>
      </c>
      <c r="C69" s="4">
        <v>0</v>
      </c>
      <c r="D69" s="4">
        <v>1</v>
      </c>
      <c r="E69" s="4">
        <v>233</v>
      </c>
      <c r="F69" s="4">
        <f>ROUND(Source!BD44,O69)</f>
        <v>0</v>
      </c>
      <c r="G69" s="4" t="s">
        <v>92</v>
      </c>
      <c r="H69" s="4" t="s">
        <v>93</v>
      </c>
      <c r="I69" s="4"/>
      <c r="J69" s="4"/>
      <c r="K69" s="4">
        <v>233</v>
      </c>
      <c r="L69" s="4">
        <v>24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0</v>
      </c>
      <c r="X69" s="4">
        <v>1</v>
      </c>
      <c r="Y69" s="4">
        <v>0</v>
      </c>
      <c r="Z69" s="4"/>
      <c r="AA69" s="4"/>
      <c r="AB69" s="4"/>
    </row>
    <row r="70" spans="1:245" x14ac:dyDescent="0.2">
      <c r="A70" s="4">
        <v>50</v>
      </c>
      <c r="B70" s="4">
        <v>0</v>
      </c>
      <c r="C70" s="4">
        <v>0</v>
      </c>
      <c r="D70" s="4">
        <v>1</v>
      </c>
      <c r="E70" s="4">
        <v>210</v>
      </c>
      <c r="F70" s="4">
        <f>ROUND(Source!X44,O70)</f>
        <v>85717.09</v>
      </c>
      <c r="G70" s="4" t="s">
        <v>94</v>
      </c>
      <c r="H70" s="4" t="s">
        <v>95</v>
      </c>
      <c r="I70" s="4"/>
      <c r="J70" s="4"/>
      <c r="K70" s="4">
        <v>210</v>
      </c>
      <c r="L70" s="4">
        <v>25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7280</v>
      </c>
      <c r="X70" s="4">
        <v>1</v>
      </c>
      <c r="Y70" s="4">
        <v>7280</v>
      </c>
      <c r="Z70" s="4"/>
      <c r="AA70" s="4"/>
      <c r="AB70" s="4"/>
    </row>
    <row r="71" spans="1:245" x14ac:dyDescent="0.2">
      <c r="A71" s="4">
        <v>50</v>
      </c>
      <c r="B71" s="4">
        <v>0</v>
      </c>
      <c r="C71" s="4">
        <v>0</v>
      </c>
      <c r="D71" s="4">
        <v>1</v>
      </c>
      <c r="E71" s="4">
        <v>211</v>
      </c>
      <c r="F71" s="4">
        <f>ROUND(Source!Y44,O71)</f>
        <v>12245.3</v>
      </c>
      <c r="G71" s="4" t="s">
        <v>96</v>
      </c>
      <c r="H71" s="4" t="s">
        <v>97</v>
      </c>
      <c r="I71" s="4"/>
      <c r="J71" s="4"/>
      <c r="K71" s="4">
        <v>211</v>
      </c>
      <c r="L71" s="4">
        <v>26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1040</v>
      </c>
      <c r="X71" s="4">
        <v>1</v>
      </c>
      <c r="Y71" s="4">
        <v>1040</v>
      </c>
      <c r="Z71" s="4"/>
      <c r="AA71" s="4"/>
      <c r="AB71" s="4"/>
    </row>
    <row r="72" spans="1:245" x14ac:dyDescent="0.2">
      <c r="A72" s="4">
        <v>50</v>
      </c>
      <c r="B72" s="4">
        <v>0</v>
      </c>
      <c r="C72" s="4">
        <v>0</v>
      </c>
      <c r="D72" s="4">
        <v>1</v>
      </c>
      <c r="E72" s="4">
        <v>224</v>
      </c>
      <c r="F72" s="4">
        <f>ROUND(Source!AR44,O72)</f>
        <v>246010.2</v>
      </c>
      <c r="G72" s="4" t="s">
        <v>98</v>
      </c>
      <c r="H72" s="4" t="s">
        <v>99</v>
      </c>
      <c r="I72" s="4"/>
      <c r="J72" s="4"/>
      <c r="K72" s="4">
        <v>224</v>
      </c>
      <c r="L72" s="4">
        <v>27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25305.78</v>
      </c>
      <c r="X72" s="4">
        <v>1</v>
      </c>
      <c r="Y72" s="4">
        <v>25305.78</v>
      </c>
      <c r="Z72" s="4"/>
      <c r="AA72" s="4"/>
      <c r="AB72" s="4"/>
    </row>
    <row r="74" spans="1:245" x14ac:dyDescent="0.2">
      <c r="A74" s="1">
        <v>5</v>
      </c>
      <c r="B74" s="1">
        <v>1</v>
      </c>
      <c r="C74" s="1"/>
      <c r="D74" s="1">
        <f>ROW(A97)</f>
        <v>97</v>
      </c>
      <c r="E74" s="1"/>
      <c r="F74" s="1" t="s">
        <v>15</v>
      </c>
      <c r="G74" s="1" t="s">
        <v>100</v>
      </c>
      <c r="H74" s="1" t="s">
        <v>3</v>
      </c>
      <c r="I74" s="1">
        <v>0</v>
      </c>
      <c r="J74" s="1"/>
      <c r="K74" s="1">
        <v>0</v>
      </c>
      <c r="L74" s="1"/>
      <c r="M74" s="1" t="s">
        <v>3</v>
      </c>
      <c r="N74" s="1"/>
      <c r="O74" s="1"/>
      <c r="P74" s="1"/>
      <c r="Q74" s="1"/>
      <c r="R74" s="1"/>
      <c r="S74" s="1">
        <v>0</v>
      </c>
      <c r="T74" s="1"/>
      <c r="U74" s="1" t="s">
        <v>3</v>
      </c>
      <c r="V74" s="1">
        <v>0</v>
      </c>
      <c r="W74" s="1"/>
      <c r="X74" s="1"/>
      <c r="Y74" s="1"/>
      <c r="Z74" s="1"/>
      <c r="AA74" s="1"/>
      <c r="AB74" s="1" t="s">
        <v>3</v>
      </c>
      <c r="AC74" s="1" t="s">
        <v>3</v>
      </c>
      <c r="AD74" s="1" t="s">
        <v>3</v>
      </c>
      <c r="AE74" s="1" t="s">
        <v>3</v>
      </c>
      <c r="AF74" s="1" t="s">
        <v>3</v>
      </c>
      <c r="AG74" s="1" t="s">
        <v>3</v>
      </c>
      <c r="AH74" s="1"/>
      <c r="AI74" s="1"/>
      <c r="AJ74" s="1"/>
      <c r="AK74" s="1"/>
      <c r="AL74" s="1"/>
      <c r="AM74" s="1"/>
      <c r="AN74" s="1"/>
      <c r="AO74" s="1"/>
      <c r="AP74" s="1" t="s">
        <v>3</v>
      </c>
      <c r="AQ74" s="1" t="s">
        <v>3</v>
      </c>
      <c r="AR74" s="1" t="s">
        <v>3</v>
      </c>
      <c r="AS74" s="1"/>
      <c r="AT74" s="1"/>
      <c r="AU74" s="1"/>
      <c r="AV74" s="1"/>
      <c r="AW74" s="1"/>
      <c r="AX74" s="1"/>
      <c r="AY74" s="1"/>
      <c r="AZ74" s="1" t="s">
        <v>3</v>
      </c>
      <c r="BA74" s="1"/>
      <c r="BB74" s="1" t="s">
        <v>3</v>
      </c>
      <c r="BC74" s="1" t="s">
        <v>3</v>
      </c>
      <c r="BD74" s="1" t="s">
        <v>3</v>
      </c>
      <c r="BE74" s="1" t="s">
        <v>3</v>
      </c>
      <c r="BF74" s="1" t="s">
        <v>3</v>
      </c>
      <c r="BG74" s="1" t="s">
        <v>3</v>
      </c>
      <c r="BH74" s="1" t="s">
        <v>3</v>
      </c>
      <c r="BI74" s="1" t="s">
        <v>3</v>
      </c>
      <c r="BJ74" s="1" t="s">
        <v>3</v>
      </c>
      <c r="BK74" s="1" t="s">
        <v>3</v>
      </c>
      <c r="BL74" s="1" t="s">
        <v>3</v>
      </c>
      <c r="BM74" s="1" t="s">
        <v>3</v>
      </c>
      <c r="BN74" s="1" t="s">
        <v>3</v>
      </c>
      <c r="BO74" s="1" t="s">
        <v>3</v>
      </c>
      <c r="BP74" s="1" t="s">
        <v>3</v>
      </c>
      <c r="BQ74" s="1"/>
      <c r="BR74" s="1"/>
      <c r="BS74" s="1"/>
      <c r="BT74" s="1"/>
      <c r="BU74" s="1"/>
      <c r="BV74" s="1"/>
      <c r="BW74" s="1"/>
      <c r="BX74" s="1">
        <v>0</v>
      </c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>
        <v>0</v>
      </c>
    </row>
    <row r="76" spans="1:245" x14ac:dyDescent="0.2">
      <c r="A76" s="2">
        <v>52</v>
      </c>
      <c r="B76" s="2">
        <f t="shared" ref="B76:G76" si="36">B97</f>
        <v>1</v>
      </c>
      <c r="C76" s="2">
        <f t="shared" si="36"/>
        <v>5</v>
      </c>
      <c r="D76" s="2">
        <f t="shared" si="36"/>
        <v>74</v>
      </c>
      <c r="E76" s="2">
        <f t="shared" si="36"/>
        <v>0</v>
      </c>
      <c r="F76" s="2" t="str">
        <f t="shared" si="36"/>
        <v>Новый подраздел</v>
      </c>
      <c r="G76" s="2" t="str">
        <f t="shared" si="36"/>
        <v>Сантехника</v>
      </c>
      <c r="H76" s="2"/>
      <c r="I76" s="2"/>
      <c r="J76" s="2"/>
      <c r="K76" s="2"/>
      <c r="L76" s="2"/>
      <c r="M76" s="2"/>
      <c r="N76" s="2"/>
      <c r="O76" s="2">
        <f t="shared" ref="O76:AT76" si="37">O97</f>
        <v>205270.95</v>
      </c>
      <c r="P76" s="2">
        <f t="shared" si="37"/>
        <v>2190.92</v>
      </c>
      <c r="Q76" s="2">
        <f t="shared" si="37"/>
        <v>7458.98</v>
      </c>
      <c r="R76" s="2">
        <f t="shared" si="37"/>
        <v>4660.82</v>
      </c>
      <c r="S76" s="2">
        <f t="shared" si="37"/>
        <v>195621.05</v>
      </c>
      <c r="T76" s="2">
        <f t="shared" si="37"/>
        <v>0</v>
      </c>
      <c r="U76" s="2">
        <f t="shared" si="37"/>
        <v>378.19579999999996</v>
      </c>
      <c r="V76" s="2">
        <f t="shared" si="37"/>
        <v>0</v>
      </c>
      <c r="W76" s="2">
        <f t="shared" si="37"/>
        <v>0</v>
      </c>
      <c r="X76" s="2">
        <f t="shared" si="37"/>
        <v>136934.73000000001</v>
      </c>
      <c r="Y76" s="2">
        <f t="shared" si="37"/>
        <v>19562.11</v>
      </c>
      <c r="Z76" s="2">
        <f t="shared" si="37"/>
        <v>0</v>
      </c>
      <c r="AA76" s="2">
        <f t="shared" si="37"/>
        <v>0</v>
      </c>
      <c r="AB76" s="2">
        <f t="shared" si="37"/>
        <v>205270.95</v>
      </c>
      <c r="AC76" s="2">
        <f t="shared" si="37"/>
        <v>2190.92</v>
      </c>
      <c r="AD76" s="2">
        <f t="shared" si="37"/>
        <v>7458.98</v>
      </c>
      <c r="AE76" s="2">
        <f t="shared" si="37"/>
        <v>4660.82</v>
      </c>
      <c r="AF76" s="2">
        <f t="shared" si="37"/>
        <v>195621.05</v>
      </c>
      <c r="AG76" s="2">
        <f t="shared" si="37"/>
        <v>0</v>
      </c>
      <c r="AH76" s="2">
        <f t="shared" si="37"/>
        <v>378.19579999999996</v>
      </c>
      <c r="AI76" s="2">
        <f t="shared" si="37"/>
        <v>0</v>
      </c>
      <c r="AJ76" s="2">
        <f t="shared" si="37"/>
        <v>0</v>
      </c>
      <c r="AK76" s="2">
        <f t="shared" si="37"/>
        <v>136934.73000000001</v>
      </c>
      <c r="AL76" s="2">
        <f t="shared" si="37"/>
        <v>19562.11</v>
      </c>
      <c r="AM76" s="2">
        <f t="shared" si="37"/>
        <v>0</v>
      </c>
      <c r="AN76" s="2">
        <f t="shared" si="37"/>
        <v>0</v>
      </c>
      <c r="AO76" s="2">
        <f t="shared" si="37"/>
        <v>0</v>
      </c>
      <c r="AP76" s="2">
        <f t="shared" si="37"/>
        <v>0</v>
      </c>
      <c r="AQ76" s="2">
        <f t="shared" si="37"/>
        <v>0</v>
      </c>
      <c r="AR76" s="2">
        <f t="shared" si="37"/>
        <v>366801.47</v>
      </c>
      <c r="AS76" s="2">
        <f t="shared" si="37"/>
        <v>0</v>
      </c>
      <c r="AT76" s="2">
        <f t="shared" si="37"/>
        <v>0</v>
      </c>
      <c r="AU76" s="2">
        <f t="shared" ref="AU76:BZ76" si="38">AU97</f>
        <v>366801.47</v>
      </c>
      <c r="AV76" s="2">
        <f t="shared" si="38"/>
        <v>2190.92</v>
      </c>
      <c r="AW76" s="2">
        <f t="shared" si="38"/>
        <v>2190.92</v>
      </c>
      <c r="AX76" s="2">
        <f t="shared" si="38"/>
        <v>0</v>
      </c>
      <c r="AY76" s="2">
        <f t="shared" si="38"/>
        <v>2190.92</v>
      </c>
      <c r="AZ76" s="2">
        <f t="shared" si="38"/>
        <v>0</v>
      </c>
      <c r="BA76" s="2">
        <f t="shared" si="38"/>
        <v>0</v>
      </c>
      <c r="BB76" s="2">
        <f t="shared" si="38"/>
        <v>0</v>
      </c>
      <c r="BC76" s="2">
        <f t="shared" si="38"/>
        <v>0</v>
      </c>
      <c r="BD76" s="2">
        <f t="shared" si="38"/>
        <v>0</v>
      </c>
      <c r="BE76" s="2">
        <f t="shared" si="38"/>
        <v>0</v>
      </c>
      <c r="BF76" s="2">
        <f t="shared" si="38"/>
        <v>0</v>
      </c>
      <c r="BG76" s="2">
        <f t="shared" si="38"/>
        <v>0</v>
      </c>
      <c r="BH76" s="2">
        <f t="shared" si="38"/>
        <v>0</v>
      </c>
      <c r="BI76" s="2">
        <f t="shared" si="38"/>
        <v>0</v>
      </c>
      <c r="BJ76" s="2">
        <f t="shared" si="38"/>
        <v>0</v>
      </c>
      <c r="BK76" s="2">
        <f t="shared" si="38"/>
        <v>0</v>
      </c>
      <c r="BL76" s="2">
        <f t="shared" si="38"/>
        <v>0</v>
      </c>
      <c r="BM76" s="2">
        <f t="shared" si="38"/>
        <v>0</v>
      </c>
      <c r="BN76" s="2">
        <f t="shared" si="38"/>
        <v>0</v>
      </c>
      <c r="BO76" s="2">
        <f t="shared" si="38"/>
        <v>0</v>
      </c>
      <c r="BP76" s="2">
        <f t="shared" si="38"/>
        <v>0</v>
      </c>
      <c r="BQ76" s="2">
        <f t="shared" si="38"/>
        <v>0</v>
      </c>
      <c r="BR76" s="2">
        <f t="shared" si="38"/>
        <v>0</v>
      </c>
      <c r="BS76" s="2">
        <f t="shared" si="38"/>
        <v>0</v>
      </c>
      <c r="BT76" s="2">
        <f t="shared" si="38"/>
        <v>0</v>
      </c>
      <c r="BU76" s="2">
        <f t="shared" si="38"/>
        <v>0</v>
      </c>
      <c r="BV76" s="2">
        <f t="shared" si="38"/>
        <v>0</v>
      </c>
      <c r="BW76" s="2">
        <f t="shared" si="38"/>
        <v>0</v>
      </c>
      <c r="BX76" s="2">
        <f t="shared" si="38"/>
        <v>0</v>
      </c>
      <c r="BY76" s="2">
        <f t="shared" si="38"/>
        <v>0</v>
      </c>
      <c r="BZ76" s="2">
        <f t="shared" si="38"/>
        <v>0</v>
      </c>
      <c r="CA76" s="2">
        <f t="shared" ref="CA76:DF76" si="39">CA97</f>
        <v>366801.47</v>
      </c>
      <c r="CB76" s="2">
        <f t="shared" si="39"/>
        <v>0</v>
      </c>
      <c r="CC76" s="2">
        <f t="shared" si="39"/>
        <v>0</v>
      </c>
      <c r="CD76" s="2">
        <f t="shared" si="39"/>
        <v>366801.47</v>
      </c>
      <c r="CE76" s="2">
        <f t="shared" si="39"/>
        <v>2190.92</v>
      </c>
      <c r="CF76" s="2">
        <f t="shared" si="39"/>
        <v>2190.92</v>
      </c>
      <c r="CG76" s="2">
        <f t="shared" si="39"/>
        <v>0</v>
      </c>
      <c r="CH76" s="2">
        <f t="shared" si="39"/>
        <v>2190.92</v>
      </c>
      <c r="CI76" s="2">
        <f t="shared" si="39"/>
        <v>0</v>
      </c>
      <c r="CJ76" s="2">
        <f t="shared" si="39"/>
        <v>0</v>
      </c>
      <c r="CK76" s="2">
        <f t="shared" si="39"/>
        <v>0</v>
      </c>
      <c r="CL76" s="2">
        <f t="shared" si="39"/>
        <v>0</v>
      </c>
      <c r="CM76" s="2">
        <f t="shared" si="39"/>
        <v>0</v>
      </c>
      <c r="CN76" s="2">
        <f t="shared" si="39"/>
        <v>0</v>
      </c>
      <c r="CO76" s="2">
        <f t="shared" si="39"/>
        <v>0</v>
      </c>
      <c r="CP76" s="2">
        <f t="shared" si="39"/>
        <v>0</v>
      </c>
      <c r="CQ76" s="2">
        <f t="shared" si="39"/>
        <v>0</v>
      </c>
      <c r="CR76" s="2">
        <f t="shared" si="39"/>
        <v>0</v>
      </c>
      <c r="CS76" s="2">
        <f t="shared" si="39"/>
        <v>0</v>
      </c>
      <c r="CT76" s="2">
        <f t="shared" si="39"/>
        <v>0</v>
      </c>
      <c r="CU76" s="2">
        <f t="shared" si="39"/>
        <v>0</v>
      </c>
      <c r="CV76" s="2">
        <f t="shared" si="39"/>
        <v>0</v>
      </c>
      <c r="CW76" s="2">
        <f t="shared" si="39"/>
        <v>0</v>
      </c>
      <c r="CX76" s="2">
        <f t="shared" si="39"/>
        <v>0</v>
      </c>
      <c r="CY76" s="2">
        <f t="shared" si="39"/>
        <v>0</v>
      </c>
      <c r="CZ76" s="2">
        <f t="shared" si="39"/>
        <v>0</v>
      </c>
      <c r="DA76" s="2">
        <f t="shared" si="39"/>
        <v>0</v>
      </c>
      <c r="DB76" s="2">
        <f t="shared" si="39"/>
        <v>0</v>
      </c>
      <c r="DC76" s="2">
        <f t="shared" si="39"/>
        <v>0</v>
      </c>
      <c r="DD76" s="2">
        <f t="shared" si="39"/>
        <v>0</v>
      </c>
      <c r="DE76" s="2">
        <f t="shared" si="39"/>
        <v>0</v>
      </c>
      <c r="DF76" s="2">
        <f t="shared" si="39"/>
        <v>0</v>
      </c>
      <c r="DG76" s="3">
        <f t="shared" ref="DG76:EL76" si="40">DG97</f>
        <v>0</v>
      </c>
      <c r="DH76" s="3">
        <f t="shared" si="40"/>
        <v>0</v>
      </c>
      <c r="DI76" s="3">
        <f t="shared" si="40"/>
        <v>0</v>
      </c>
      <c r="DJ76" s="3">
        <f t="shared" si="40"/>
        <v>0</v>
      </c>
      <c r="DK76" s="3">
        <f t="shared" si="40"/>
        <v>0</v>
      </c>
      <c r="DL76" s="3">
        <f t="shared" si="40"/>
        <v>0</v>
      </c>
      <c r="DM76" s="3">
        <f t="shared" si="40"/>
        <v>0</v>
      </c>
      <c r="DN76" s="3">
        <f t="shared" si="40"/>
        <v>0</v>
      </c>
      <c r="DO76" s="3">
        <f t="shared" si="40"/>
        <v>0</v>
      </c>
      <c r="DP76" s="3">
        <f t="shared" si="40"/>
        <v>0</v>
      </c>
      <c r="DQ76" s="3">
        <f t="shared" si="40"/>
        <v>0</v>
      </c>
      <c r="DR76" s="3">
        <f t="shared" si="40"/>
        <v>0</v>
      </c>
      <c r="DS76" s="3">
        <f t="shared" si="40"/>
        <v>0</v>
      </c>
      <c r="DT76" s="3">
        <f t="shared" si="40"/>
        <v>0</v>
      </c>
      <c r="DU76" s="3">
        <f t="shared" si="40"/>
        <v>0</v>
      </c>
      <c r="DV76" s="3">
        <f t="shared" si="40"/>
        <v>0</v>
      </c>
      <c r="DW76" s="3">
        <f t="shared" si="40"/>
        <v>0</v>
      </c>
      <c r="DX76" s="3">
        <f t="shared" si="40"/>
        <v>0</v>
      </c>
      <c r="DY76" s="3">
        <f t="shared" si="40"/>
        <v>0</v>
      </c>
      <c r="DZ76" s="3">
        <f t="shared" si="40"/>
        <v>0</v>
      </c>
      <c r="EA76" s="3">
        <f t="shared" si="40"/>
        <v>0</v>
      </c>
      <c r="EB76" s="3">
        <f t="shared" si="40"/>
        <v>0</v>
      </c>
      <c r="EC76" s="3">
        <f t="shared" si="40"/>
        <v>0</v>
      </c>
      <c r="ED76" s="3">
        <f t="shared" si="40"/>
        <v>0</v>
      </c>
      <c r="EE76" s="3">
        <f t="shared" si="40"/>
        <v>0</v>
      </c>
      <c r="EF76" s="3">
        <f t="shared" si="40"/>
        <v>0</v>
      </c>
      <c r="EG76" s="3">
        <f t="shared" si="40"/>
        <v>0</v>
      </c>
      <c r="EH76" s="3">
        <f t="shared" si="40"/>
        <v>0</v>
      </c>
      <c r="EI76" s="3">
        <f t="shared" si="40"/>
        <v>0</v>
      </c>
      <c r="EJ76" s="3">
        <f t="shared" si="40"/>
        <v>0</v>
      </c>
      <c r="EK76" s="3">
        <f t="shared" si="40"/>
        <v>0</v>
      </c>
      <c r="EL76" s="3">
        <f t="shared" si="40"/>
        <v>0</v>
      </c>
      <c r="EM76" s="3">
        <f t="shared" ref="EM76:FR76" si="41">EM97</f>
        <v>0</v>
      </c>
      <c r="EN76" s="3">
        <f t="shared" si="41"/>
        <v>0</v>
      </c>
      <c r="EO76" s="3">
        <f t="shared" si="41"/>
        <v>0</v>
      </c>
      <c r="EP76" s="3">
        <f t="shared" si="41"/>
        <v>0</v>
      </c>
      <c r="EQ76" s="3">
        <f t="shared" si="41"/>
        <v>0</v>
      </c>
      <c r="ER76" s="3">
        <f t="shared" si="41"/>
        <v>0</v>
      </c>
      <c r="ES76" s="3">
        <f t="shared" si="41"/>
        <v>0</v>
      </c>
      <c r="ET76" s="3">
        <f t="shared" si="41"/>
        <v>0</v>
      </c>
      <c r="EU76" s="3">
        <f t="shared" si="41"/>
        <v>0</v>
      </c>
      <c r="EV76" s="3">
        <f t="shared" si="41"/>
        <v>0</v>
      </c>
      <c r="EW76" s="3">
        <f t="shared" si="41"/>
        <v>0</v>
      </c>
      <c r="EX76" s="3">
        <f t="shared" si="41"/>
        <v>0</v>
      </c>
      <c r="EY76" s="3">
        <f t="shared" si="41"/>
        <v>0</v>
      </c>
      <c r="EZ76" s="3">
        <f t="shared" si="41"/>
        <v>0</v>
      </c>
      <c r="FA76" s="3">
        <f t="shared" si="41"/>
        <v>0</v>
      </c>
      <c r="FB76" s="3">
        <f t="shared" si="41"/>
        <v>0</v>
      </c>
      <c r="FC76" s="3">
        <f t="shared" si="41"/>
        <v>0</v>
      </c>
      <c r="FD76" s="3">
        <f t="shared" si="41"/>
        <v>0</v>
      </c>
      <c r="FE76" s="3">
        <f t="shared" si="41"/>
        <v>0</v>
      </c>
      <c r="FF76" s="3">
        <f t="shared" si="41"/>
        <v>0</v>
      </c>
      <c r="FG76" s="3">
        <f t="shared" si="41"/>
        <v>0</v>
      </c>
      <c r="FH76" s="3">
        <f t="shared" si="41"/>
        <v>0</v>
      </c>
      <c r="FI76" s="3">
        <f t="shared" si="41"/>
        <v>0</v>
      </c>
      <c r="FJ76" s="3">
        <f t="shared" si="41"/>
        <v>0</v>
      </c>
      <c r="FK76" s="3">
        <f t="shared" si="41"/>
        <v>0</v>
      </c>
      <c r="FL76" s="3">
        <f t="shared" si="41"/>
        <v>0</v>
      </c>
      <c r="FM76" s="3">
        <f t="shared" si="41"/>
        <v>0</v>
      </c>
      <c r="FN76" s="3">
        <f t="shared" si="41"/>
        <v>0</v>
      </c>
      <c r="FO76" s="3">
        <f t="shared" si="41"/>
        <v>0</v>
      </c>
      <c r="FP76" s="3">
        <f t="shared" si="41"/>
        <v>0</v>
      </c>
      <c r="FQ76" s="3">
        <f t="shared" si="41"/>
        <v>0</v>
      </c>
      <c r="FR76" s="3">
        <f t="shared" si="41"/>
        <v>0</v>
      </c>
      <c r="FS76" s="3">
        <f t="shared" ref="FS76:GX76" si="42">FS97</f>
        <v>0</v>
      </c>
      <c r="FT76" s="3">
        <f t="shared" si="42"/>
        <v>0</v>
      </c>
      <c r="FU76" s="3">
        <f t="shared" si="42"/>
        <v>0</v>
      </c>
      <c r="FV76" s="3">
        <f t="shared" si="42"/>
        <v>0</v>
      </c>
      <c r="FW76" s="3">
        <f t="shared" si="42"/>
        <v>0</v>
      </c>
      <c r="FX76" s="3">
        <f t="shared" si="42"/>
        <v>0</v>
      </c>
      <c r="FY76" s="3">
        <f t="shared" si="42"/>
        <v>0</v>
      </c>
      <c r="FZ76" s="3">
        <f t="shared" si="42"/>
        <v>0</v>
      </c>
      <c r="GA76" s="3">
        <f t="shared" si="42"/>
        <v>0</v>
      </c>
      <c r="GB76" s="3">
        <f t="shared" si="42"/>
        <v>0</v>
      </c>
      <c r="GC76" s="3">
        <f t="shared" si="42"/>
        <v>0</v>
      </c>
      <c r="GD76" s="3">
        <f t="shared" si="42"/>
        <v>0</v>
      </c>
      <c r="GE76" s="3">
        <f t="shared" si="42"/>
        <v>0</v>
      </c>
      <c r="GF76" s="3">
        <f t="shared" si="42"/>
        <v>0</v>
      </c>
      <c r="GG76" s="3">
        <f t="shared" si="42"/>
        <v>0</v>
      </c>
      <c r="GH76" s="3">
        <f t="shared" si="42"/>
        <v>0</v>
      </c>
      <c r="GI76" s="3">
        <f t="shared" si="42"/>
        <v>0</v>
      </c>
      <c r="GJ76" s="3">
        <f t="shared" si="42"/>
        <v>0</v>
      </c>
      <c r="GK76" s="3">
        <f t="shared" si="42"/>
        <v>0</v>
      </c>
      <c r="GL76" s="3">
        <f t="shared" si="42"/>
        <v>0</v>
      </c>
      <c r="GM76" s="3">
        <f t="shared" si="42"/>
        <v>0</v>
      </c>
      <c r="GN76" s="3">
        <f t="shared" si="42"/>
        <v>0</v>
      </c>
      <c r="GO76" s="3">
        <f t="shared" si="42"/>
        <v>0</v>
      </c>
      <c r="GP76" s="3">
        <f t="shared" si="42"/>
        <v>0</v>
      </c>
      <c r="GQ76" s="3">
        <f t="shared" si="42"/>
        <v>0</v>
      </c>
      <c r="GR76" s="3">
        <f t="shared" si="42"/>
        <v>0</v>
      </c>
      <c r="GS76" s="3">
        <f t="shared" si="42"/>
        <v>0</v>
      </c>
      <c r="GT76" s="3">
        <f t="shared" si="42"/>
        <v>0</v>
      </c>
      <c r="GU76" s="3">
        <f t="shared" si="42"/>
        <v>0</v>
      </c>
      <c r="GV76" s="3">
        <f t="shared" si="42"/>
        <v>0</v>
      </c>
      <c r="GW76" s="3">
        <f t="shared" si="42"/>
        <v>0</v>
      </c>
      <c r="GX76" s="3">
        <f t="shared" si="42"/>
        <v>0</v>
      </c>
    </row>
    <row r="78" spans="1:245" x14ac:dyDescent="0.2">
      <c r="A78">
        <v>19</v>
      </c>
      <c r="B78">
        <v>1</v>
      </c>
      <c r="F78" t="s">
        <v>3</v>
      </c>
      <c r="G78" t="s">
        <v>101</v>
      </c>
      <c r="H78" t="s">
        <v>3</v>
      </c>
      <c r="AA78">
        <v>1</v>
      </c>
      <c r="IK78">
        <v>0</v>
      </c>
    </row>
    <row r="79" spans="1:245" x14ac:dyDescent="0.2">
      <c r="A79">
        <v>17</v>
      </c>
      <c r="B79">
        <v>1</v>
      </c>
      <c r="D79">
        <f>ROW(EtalonRes!A14)</f>
        <v>14</v>
      </c>
      <c r="E79" t="s">
        <v>3</v>
      </c>
      <c r="F79" t="s">
        <v>102</v>
      </c>
      <c r="G79" t="s">
        <v>103</v>
      </c>
      <c r="H79" t="s">
        <v>37</v>
      </c>
      <c r="I79">
        <f>ROUND((23+1)*3/10,9)</f>
        <v>7.2</v>
      </c>
      <c r="J79">
        <v>0</v>
      </c>
      <c r="K79">
        <f>ROUND((23+1)*3/10,9)</f>
        <v>7.2</v>
      </c>
      <c r="O79">
        <f t="shared" ref="O79:O86" si="43">ROUND(CP79,2)</f>
        <v>95232.1</v>
      </c>
      <c r="P79">
        <f t="shared" ref="P79:P86" si="44">ROUND(CQ79*I79,2)</f>
        <v>0</v>
      </c>
      <c r="Q79">
        <f t="shared" ref="Q79:Q86" si="45">ROUND(CR79*I79,2)</f>
        <v>0</v>
      </c>
      <c r="R79">
        <f t="shared" ref="R79:R86" si="46">ROUND(CS79*I79,2)</f>
        <v>0</v>
      </c>
      <c r="S79">
        <f t="shared" ref="S79:S86" si="47">ROUND(CT79*I79,2)</f>
        <v>95232.1</v>
      </c>
      <c r="T79">
        <f t="shared" ref="T79:T86" si="48">ROUND(CU79*I79,2)</f>
        <v>0</v>
      </c>
      <c r="U79">
        <f t="shared" ref="U79:U86" si="49">CV79*I79</f>
        <v>154.22400000000002</v>
      </c>
      <c r="V79">
        <f t="shared" ref="V79:V86" si="50">CW79*I79</f>
        <v>0</v>
      </c>
      <c r="W79">
        <f t="shared" ref="W79:W86" si="51">ROUND(CX79*I79,2)</f>
        <v>0</v>
      </c>
      <c r="X79">
        <f t="shared" ref="X79:Y86" si="52">ROUND(CY79,2)</f>
        <v>66662.47</v>
      </c>
      <c r="Y79">
        <f t="shared" si="52"/>
        <v>9523.2099999999991</v>
      </c>
      <c r="AA79">
        <v>-1</v>
      </c>
      <c r="AB79">
        <f t="shared" ref="AB79:AB86" si="53">ROUND((AC79+AD79+AF79),6)</f>
        <v>13226.68</v>
      </c>
      <c r="AC79">
        <f>ROUND(((ES79*17)),6)</f>
        <v>0</v>
      </c>
      <c r="AD79">
        <f>ROUND(((((ET79*17))-((EU79*17)))+AE79),6)</f>
        <v>0</v>
      </c>
      <c r="AE79">
        <f>ROUND(((EU79*17)),6)</f>
        <v>0</v>
      </c>
      <c r="AF79">
        <f>ROUND(((EV79*17)),6)</f>
        <v>13226.68</v>
      </c>
      <c r="AG79">
        <f t="shared" ref="AG79:AG86" si="54">ROUND((AP79),6)</f>
        <v>0</v>
      </c>
      <c r="AH79">
        <f>((EW79*17))</f>
        <v>21.42</v>
      </c>
      <c r="AI79">
        <f>((EX79*17))</f>
        <v>0</v>
      </c>
      <c r="AJ79">
        <f t="shared" ref="AJ79:AJ86" si="55">(AS79)</f>
        <v>0</v>
      </c>
      <c r="AK79">
        <v>778.04</v>
      </c>
      <c r="AL79">
        <v>0</v>
      </c>
      <c r="AM79">
        <v>0</v>
      </c>
      <c r="AN79">
        <v>0</v>
      </c>
      <c r="AO79">
        <v>778.04</v>
      </c>
      <c r="AP79">
        <v>0</v>
      </c>
      <c r="AQ79">
        <v>1.26</v>
      </c>
      <c r="AR79">
        <v>0</v>
      </c>
      <c r="AS79">
        <v>0</v>
      </c>
      <c r="AT79">
        <v>70</v>
      </c>
      <c r="AU79">
        <v>10</v>
      </c>
      <c r="AV79">
        <v>1</v>
      </c>
      <c r="AW79">
        <v>1</v>
      </c>
      <c r="AZ79">
        <v>1</v>
      </c>
      <c r="BA79">
        <v>1</v>
      </c>
      <c r="BB79">
        <v>1</v>
      </c>
      <c r="BC79">
        <v>1</v>
      </c>
      <c r="BD79" t="s">
        <v>3</v>
      </c>
      <c r="BE79" t="s">
        <v>3</v>
      </c>
      <c r="BF79" t="s">
        <v>3</v>
      </c>
      <c r="BG79" t="s">
        <v>3</v>
      </c>
      <c r="BH79">
        <v>0</v>
      </c>
      <c r="BI79">
        <v>4</v>
      </c>
      <c r="BJ79" t="s">
        <v>104</v>
      </c>
      <c r="BM79">
        <v>0</v>
      </c>
      <c r="BN79">
        <v>0</v>
      </c>
      <c r="BO79" t="s">
        <v>3</v>
      </c>
      <c r="BP79">
        <v>0</v>
      </c>
      <c r="BQ79">
        <v>1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70</v>
      </c>
      <c r="CA79">
        <v>10</v>
      </c>
      <c r="CB79" t="s">
        <v>3</v>
      </c>
      <c r="CE79">
        <v>0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 t="shared" ref="CP79:CP86" si="56">(P79+Q79+S79)</f>
        <v>95232.1</v>
      </c>
      <c r="CQ79">
        <f t="shared" ref="CQ79:CQ86" si="57">(AC79*BC79*AW79)</f>
        <v>0</v>
      </c>
      <c r="CR79">
        <f>(((((ET79*17))*BB79-((EU79*17))*BS79)+AE79*BS79)*AV79)</f>
        <v>0</v>
      </c>
      <c r="CS79">
        <f t="shared" ref="CS79:CS86" si="58">(AE79*BS79*AV79)</f>
        <v>0</v>
      </c>
      <c r="CT79">
        <f t="shared" ref="CT79:CT86" si="59">(AF79*BA79*AV79)</f>
        <v>13226.68</v>
      </c>
      <c r="CU79">
        <f t="shared" ref="CU79:CU86" si="60">AG79</f>
        <v>0</v>
      </c>
      <c r="CV79">
        <f t="shared" ref="CV79:CV86" si="61">(AH79*AV79)</f>
        <v>21.42</v>
      </c>
      <c r="CW79">
        <f t="shared" ref="CW79:CX86" si="62">AI79</f>
        <v>0</v>
      </c>
      <c r="CX79">
        <f t="shared" si="62"/>
        <v>0</v>
      </c>
      <c r="CY79">
        <f t="shared" ref="CY79:CY86" si="63">((S79*BZ79)/100)</f>
        <v>66662.47</v>
      </c>
      <c r="CZ79">
        <f t="shared" ref="CZ79:CZ86" si="64">((S79*CA79)/100)</f>
        <v>9523.2099999999991</v>
      </c>
      <c r="DC79" t="s">
        <v>3</v>
      </c>
      <c r="DD79" t="s">
        <v>105</v>
      </c>
      <c r="DE79" t="s">
        <v>105</v>
      </c>
      <c r="DF79" t="s">
        <v>105</v>
      </c>
      <c r="DG79" t="s">
        <v>105</v>
      </c>
      <c r="DH79" t="s">
        <v>3</v>
      </c>
      <c r="DI79" t="s">
        <v>105</v>
      </c>
      <c r="DJ79" t="s">
        <v>105</v>
      </c>
      <c r="DK79" t="s">
        <v>3</v>
      </c>
      <c r="DL79" t="s">
        <v>3</v>
      </c>
      <c r="DM79" t="s">
        <v>3</v>
      </c>
      <c r="DN79">
        <v>0</v>
      </c>
      <c r="DO79">
        <v>0</v>
      </c>
      <c r="DP79">
        <v>1</v>
      </c>
      <c r="DQ79">
        <v>1</v>
      </c>
      <c r="DU79">
        <v>16987630</v>
      </c>
      <c r="DV79" t="s">
        <v>37</v>
      </c>
      <c r="DW79" t="s">
        <v>37</v>
      </c>
      <c r="DX79">
        <v>10</v>
      </c>
      <c r="DZ79" t="s">
        <v>3</v>
      </c>
      <c r="EA79" t="s">
        <v>3</v>
      </c>
      <c r="EB79" t="s">
        <v>3</v>
      </c>
      <c r="EC79" t="s">
        <v>3</v>
      </c>
      <c r="EE79">
        <v>1441815344</v>
      </c>
      <c r="EF79">
        <v>1</v>
      </c>
      <c r="EG79" t="s">
        <v>23</v>
      </c>
      <c r="EH79">
        <v>0</v>
      </c>
      <c r="EI79" t="s">
        <v>3</v>
      </c>
      <c r="EJ79">
        <v>4</v>
      </c>
      <c r="EK79">
        <v>0</v>
      </c>
      <c r="EL79" t="s">
        <v>24</v>
      </c>
      <c r="EM79" t="s">
        <v>25</v>
      </c>
      <c r="EO79" t="s">
        <v>3</v>
      </c>
      <c r="EQ79">
        <v>1024</v>
      </c>
      <c r="ER79">
        <v>778.04</v>
      </c>
      <c r="ES79">
        <v>0</v>
      </c>
      <c r="ET79">
        <v>0</v>
      </c>
      <c r="EU79">
        <v>0</v>
      </c>
      <c r="EV79">
        <v>778.04</v>
      </c>
      <c r="EW79">
        <v>1.26</v>
      </c>
      <c r="EX79">
        <v>0</v>
      </c>
      <c r="EY79">
        <v>0</v>
      </c>
      <c r="FQ79">
        <v>0</v>
      </c>
      <c r="FR79">
        <f t="shared" ref="FR79:FR86" si="65">ROUND(IF(BI79=3,GM79,0),2)</f>
        <v>0</v>
      </c>
      <c r="FS79">
        <v>0</v>
      </c>
      <c r="FX79">
        <v>70</v>
      </c>
      <c r="FY79">
        <v>10</v>
      </c>
      <c r="GA79" t="s">
        <v>3</v>
      </c>
      <c r="GD79">
        <v>0</v>
      </c>
      <c r="GF79">
        <v>1084928283</v>
      </c>
      <c r="GG79">
        <v>2</v>
      </c>
      <c r="GH79">
        <v>1</v>
      </c>
      <c r="GI79">
        <v>-2</v>
      </c>
      <c r="GJ79">
        <v>0</v>
      </c>
      <c r="GK79">
        <f>ROUND(R79*(R12)/100,2)</f>
        <v>0</v>
      </c>
      <c r="GL79">
        <f t="shared" ref="GL79:GL86" si="66">ROUND(IF(AND(BH79=3,BI79=3,FS79&lt;&gt;0),P79,0),2)</f>
        <v>0</v>
      </c>
      <c r="GM79">
        <f t="shared" ref="GM79:GM86" si="67">ROUND(O79+X79+Y79+GK79,2)+GX79</f>
        <v>171417.78</v>
      </c>
      <c r="GN79">
        <f t="shared" ref="GN79:GN86" si="68">IF(OR(BI79=0,BI79=1),GM79-GX79,0)</f>
        <v>0</v>
      </c>
      <c r="GO79">
        <f t="shared" ref="GO79:GO86" si="69">IF(BI79=2,GM79-GX79,0)</f>
        <v>0</v>
      </c>
      <c r="GP79">
        <f t="shared" ref="GP79:GP86" si="70">IF(BI79=4,GM79-GX79,0)</f>
        <v>171417.78</v>
      </c>
      <c r="GR79">
        <v>0</v>
      </c>
      <c r="GS79">
        <v>3</v>
      </c>
      <c r="GT79">
        <v>0</v>
      </c>
      <c r="GU79" t="s">
        <v>3</v>
      </c>
      <c r="GV79">
        <f t="shared" ref="GV79:GV86" si="71">ROUND((GT79),6)</f>
        <v>0</v>
      </c>
      <c r="GW79">
        <v>1</v>
      </c>
      <c r="GX79">
        <f t="shared" ref="GX79:GX86" si="72">ROUND(HC79*I79,2)</f>
        <v>0</v>
      </c>
      <c r="HA79">
        <v>0</v>
      </c>
      <c r="HB79">
        <v>0</v>
      </c>
      <c r="HC79">
        <f t="shared" ref="HC79:HC86" si="73">GV79*GW79</f>
        <v>0</v>
      </c>
      <c r="HE79" t="s">
        <v>3</v>
      </c>
      <c r="HF79" t="s">
        <v>3</v>
      </c>
      <c r="HM79" t="s">
        <v>3</v>
      </c>
      <c r="HN79" t="s">
        <v>3</v>
      </c>
      <c r="HO79" t="s">
        <v>3</v>
      </c>
      <c r="HP79" t="s">
        <v>3</v>
      </c>
      <c r="HQ79" t="s">
        <v>3</v>
      </c>
      <c r="IK79">
        <v>0</v>
      </c>
    </row>
    <row r="80" spans="1:245" x14ac:dyDescent="0.2">
      <c r="A80">
        <v>17</v>
      </c>
      <c r="B80">
        <v>1</v>
      </c>
      <c r="D80">
        <f>ROW(EtalonRes!A15)</f>
        <v>15</v>
      </c>
      <c r="E80" t="s">
        <v>3</v>
      </c>
      <c r="F80" t="s">
        <v>106</v>
      </c>
      <c r="G80" t="s">
        <v>107</v>
      </c>
      <c r="H80" t="s">
        <v>37</v>
      </c>
      <c r="I80">
        <f>ROUND(23*3/10,9)</f>
        <v>6.9</v>
      </c>
      <c r="J80">
        <v>0</v>
      </c>
      <c r="K80">
        <f>ROUND(23*3/10,9)</f>
        <v>6.9</v>
      </c>
      <c r="O80">
        <f t="shared" si="43"/>
        <v>16658.95</v>
      </c>
      <c r="P80">
        <f t="shared" si="44"/>
        <v>0</v>
      </c>
      <c r="Q80">
        <f t="shared" si="45"/>
        <v>0</v>
      </c>
      <c r="R80">
        <f t="shared" si="46"/>
        <v>0</v>
      </c>
      <c r="S80">
        <f t="shared" si="47"/>
        <v>16658.95</v>
      </c>
      <c r="T80">
        <f t="shared" si="48"/>
        <v>0</v>
      </c>
      <c r="U80">
        <f t="shared" si="49"/>
        <v>26.979000000000003</v>
      </c>
      <c r="V80">
        <f t="shared" si="50"/>
        <v>0</v>
      </c>
      <c r="W80">
        <f t="shared" si="51"/>
        <v>0</v>
      </c>
      <c r="X80">
        <f t="shared" si="52"/>
        <v>11661.27</v>
      </c>
      <c r="Y80">
        <f t="shared" si="52"/>
        <v>1665.9</v>
      </c>
      <c r="AA80">
        <v>-1</v>
      </c>
      <c r="AB80">
        <f t="shared" si="53"/>
        <v>2414.34</v>
      </c>
      <c r="AC80">
        <f>ROUND(((ES80*17)),6)</f>
        <v>0</v>
      </c>
      <c r="AD80">
        <f>ROUND(((((ET80*17))-((EU80*17)))+AE80),6)</f>
        <v>0</v>
      </c>
      <c r="AE80">
        <f>ROUND(((EU80*17)),6)</f>
        <v>0</v>
      </c>
      <c r="AF80">
        <f>ROUND(((EV80*17)),6)</f>
        <v>2414.34</v>
      </c>
      <c r="AG80">
        <f t="shared" si="54"/>
        <v>0</v>
      </c>
      <c r="AH80">
        <f>((EW80*17))</f>
        <v>3.91</v>
      </c>
      <c r="AI80">
        <f>((EX80*17))</f>
        <v>0</v>
      </c>
      <c r="AJ80">
        <f t="shared" si="55"/>
        <v>0</v>
      </c>
      <c r="AK80">
        <v>142.02000000000001</v>
      </c>
      <c r="AL80">
        <v>0</v>
      </c>
      <c r="AM80">
        <v>0</v>
      </c>
      <c r="AN80">
        <v>0</v>
      </c>
      <c r="AO80">
        <v>142.02000000000001</v>
      </c>
      <c r="AP80">
        <v>0</v>
      </c>
      <c r="AQ80">
        <v>0.23</v>
      </c>
      <c r="AR80">
        <v>0</v>
      </c>
      <c r="AS80">
        <v>0</v>
      </c>
      <c r="AT80">
        <v>70</v>
      </c>
      <c r="AU80">
        <v>10</v>
      </c>
      <c r="AV80">
        <v>1</v>
      </c>
      <c r="AW80">
        <v>1</v>
      </c>
      <c r="AZ80">
        <v>1</v>
      </c>
      <c r="BA80">
        <v>1</v>
      </c>
      <c r="BB80">
        <v>1</v>
      </c>
      <c r="BC80">
        <v>1</v>
      </c>
      <c r="BD80" t="s">
        <v>3</v>
      </c>
      <c r="BE80" t="s">
        <v>3</v>
      </c>
      <c r="BF80" t="s">
        <v>3</v>
      </c>
      <c r="BG80" t="s">
        <v>3</v>
      </c>
      <c r="BH80">
        <v>0</v>
      </c>
      <c r="BI80">
        <v>4</v>
      </c>
      <c r="BJ80" t="s">
        <v>108</v>
      </c>
      <c r="BM80">
        <v>0</v>
      </c>
      <c r="BN80">
        <v>0</v>
      </c>
      <c r="BO80" t="s">
        <v>3</v>
      </c>
      <c r="BP80">
        <v>0</v>
      </c>
      <c r="BQ80">
        <v>1</v>
      </c>
      <c r="BR80">
        <v>0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70</v>
      </c>
      <c r="CA80">
        <v>10</v>
      </c>
      <c r="CB80" t="s">
        <v>3</v>
      </c>
      <c r="CE80">
        <v>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 t="shared" si="56"/>
        <v>16658.95</v>
      </c>
      <c r="CQ80">
        <f t="shared" si="57"/>
        <v>0</v>
      </c>
      <c r="CR80">
        <f>(((((ET80*17))*BB80-((EU80*17))*BS80)+AE80*BS80)*AV80)</f>
        <v>0</v>
      </c>
      <c r="CS80">
        <f t="shared" si="58"/>
        <v>0</v>
      </c>
      <c r="CT80">
        <f t="shared" si="59"/>
        <v>2414.34</v>
      </c>
      <c r="CU80">
        <f t="shared" si="60"/>
        <v>0</v>
      </c>
      <c r="CV80">
        <f t="shared" si="61"/>
        <v>3.91</v>
      </c>
      <c r="CW80">
        <f t="shared" si="62"/>
        <v>0</v>
      </c>
      <c r="CX80">
        <f t="shared" si="62"/>
        <v>0</v>
      </c>
      <c r="CY80">
        <f t="shared" si="63"/>
        <v>11661.264999999999</v>
      </c>
      <c r="CZ80">
        <f t="shared" si="64"/>
        <v>1665.895</v>
      </c>
      <c r="DC80" t="s">
        <v>3</v>
      </c>
      <c r="DD80" t="s">
        <v>105</v>
      </c>
      <c r="DE80" t="s">
        <v>105</v>
      </c>
      <c r="DF80" t="s">
        <v>105</v>
      </c>
      <c r="DG80" t="s">
        <v>105</v>
      </c>
      <c r="DH80" t="s">
        <v>3</v>
      </c>
      <c r="DI80" t="s">
        <v>105</v>
      </c>
      <c r="DJ80" t="s">
        <v>105</v>
      </c>
      <c r="DK80" t="s">
        <v>3</v>
      </c>
      <c r="DL80" t="s">
        <v>3</v>
      </c>
      <c r="DM80" t="s">
        <v>3</v>
      </c>
      <c r="DN80">
        <v>0</v>
      </c>
      <c r="DO80">
        <v>0</v>
      </c>
      <c r="DP80">
        <v>1</v>
      </c>
      <c r="DQ80">
        <v>1</v>
      </c>
      <c r="DU80">
        <v>16987630</v>
      </c>
      <c r="DV80" t="s">
        <v>37</v>
      </c>
      <c r="DW80" t="s">
        <v>37</v>
      </c>
      <c r="DX80">
        <v>10</v>
      </c>
      <c r="DZ80" t="s">
        <v>3</v>
      </c>
      <c r="EA80" t="s">
        <v>3</v>
      </c>
      <c r="EB80" t="s">
        <v>3</v>
      </c>
      <c r="EC80" t="s">
        <v>3</v>
      </c>
      <c r="EE80">
        <v>1441815344</v>
      </c>
      <c r="EF80">
        <v>1</v>
      </c>
      <c r="EG80" t="s">
        <v>23</v>
      </c>
      <c r="EH80">
        <v>0</v>
      </c>
      <c r="EI80" t="s">
        <v>3</v>
      </c>
      <c r="EJ80">
        <v>4</v>
      </c>
      <c r="EK80">
        <v>0</v>
      </c>
      <c r="EL80" t="s">
        <v>24</v>
      </c>
      <c r="EM80" t="s">
        <v>25</v>
      </c>
      <c r="EO80" t="s">
        <v>3</v>
      </c>
      <c r="EQ80">
        <v>1024</v>
      </c>
      <c r="ER80">
        <v>142.02000000000001</v>
      </c>
      <c r="ES80">
        <v>0</v>
      </c>
      <c r="ET80">
        <v>0</v>
      </c>
      <c r="EU80">
        <v>0</v>
      </c>
      <c r="EV80">
        <v>142.02000000000001</v>
      </c>
      <c r="EW80">
        <v>0.23</v>
      </c>
      <c r="EX80">
        <v>0</v>
      </c>
      <c r="EY80">
        <v>0</v>
      </c>
      <c r="FQ80">
        <v>0</v>
      </c>
      <c r="FR80">
        <f t="shared" si="65"/>
        <v>0</v>
      </c>
      <c r="FS80">
        <v>0</v>
      </c>
      <c r="FX80">
        <v>70</v>
      </c>
      <c r="FY80">
        <v>10</v>
      </c>
      <c r="GA80" t="s">
        <v>3</v>
      </c>
      <c r="GD80">
        <v>0</v>
      </c>
      <c r="GF80">
        <v>-349293527</v>
      </c>
      <c r="GG80">
        <v>2</v>
      </c>
      <c r="GH80">
        <v>1</v>
      </c>
      <c r="GI80">
        <v>-2</v>
      </c>
      <c r="GJ80">
        <v>0</v>
      </c>
      <c r="GK80">
        <f>ROUND(R80*(R12)/100,2)</f>
        <v>0</v>
      </c>
      <c r="GL80">
        <f t="shared" si="66"/>
        <v>0</v>
      </c>
      <c r="GM80">
        <f t="shared" si="67"/>
        <v>29986.12</v>
      </c>
      <c r="GN80">
        <f t="shared" si="68"/>
        <v>0</v>
      </c>
      <c r="GO80">
        <f t="shared" si="69"/>
        <v>0</v>
      </c>
      <c r="GP80">
        <f t="shared" si="70"/>
        <v>29986.12</v>
      </c>
      <c r="GR80">
        <v>0</v>
      </c>
      <c r="GS80">
        <v>3</v>
      </c>
      <c r="GT80">
        <v>0</v>
      </c>
      <c r="GU80" t="s">
        <v>3</v>
      </c>
      <c r="GV80">
        <f t="shared" si="71"/>
        <v>0</v>
      </c>
      <c r="GW80">
        <v>1</v>
      </c>
      <c r="GX80">
        <f t="shared" si="72"/>
        <v>0</v>
      </c>
      <c r="HA80">
        <v>0</v>
      </c>
      <c r="HB80">
        <v>0</v>
      </c>
      <c r="HC80">
        <f t="shared" si="73"/>
        <v>0</v>
      </c>
      <c r="HE80" t="s">
        <v>3</v>
      </c>
      <c r="HF80" t="s">
        <v>3</v>
      </c>
      <c r="HM80" t="s">
        <v>3</v>
      </c>
      <c r="HN80" t="s">
        <v>3</v>
      </c>
      <c r="HO80" t="s">
        <v>3</v>
      </c>
      <c r="HP80" t="s">
        <v>3</v>
      </c>
      <c r="HQ80" t="s">
        <v>3</v>
      </c>
      <c r="IK80">
        <v>0</v>
      </c>
    </row>
    <row r="81" spans="1:245" x14ac:dyDescent="0.2">
      <c r="A81">
        <v>17</v>
      </c>
      <c r="B81">
        <v>1</v>
      </c>
      <c r="D81">
        <f>ROW(EtalonRes!A20)</f>
        <v>20</v>
      </c>
      <c r="E81" t="s">
        <v>109</v>
      </c>
      <c r="F81" t="s">
        <v>110</v>
      </c>
      <c r="G81" t="s">
        <v>111</v>
      </c>
      <c r="H81" t="s">
        <v>112</v>
      </c>
      <c r="I81">
        <f>ROUND((23+1)*3/100,9)</f>
        <v>0.72</v>
      </c>
      <c r="J81">
        <v>0</v>
      </c>
      <c r="K81">
        <f>ROUND((23+1)*3/100,9)</f>
        <v>0.72</v>
      </c>
      <c r="O81">
        <f t="shared" si="43"/>
        <v>38717.14</v>
      </c>
      <c r="P81">
        <f t="shared" si="44"/>
        <v>559.12</v>
      </c>
      <c r="Q81">
        <f t="shared" si="45"/>
        <v>44.52</v>
      </c>
      <c r="R81">
        <f t="shared" si="46"/>
        <v>0.5</v>
      </c>
      <c r="S81">
        <f t="shared" si="47"/>
        <v>38113.5</v>
      </c>
      <c r="T81">
        <f t="shared" si="48"/>
        <v>0</v>
      </c>
      <c r="U81">
        <f t="shared" si="49"/>
        <v>75.196799999999996</v>
      </c>
      <c r="V81">
        <f t="shared" si="50"/>
        <v>0</v>
      </c>
      <c r="W81">
        <f t="shared" si="51"/>
        <v>0</v>
      </c>
      <c r="X81">
        <f t="shared" si="52"/>
        <v>26679.45</v>
      </c>
      <c r="Y81">
        <f t="shared" si="52"/>
        <v>3811.35</v>
      </c>
      <c r="AA81">
        <v>1472224561</v>
      </c>
      <c r="AB81">
        <f t="shared" si="53"/>
        <v>53773.79</v>
      </c>
      <c r="AC81">
        <f>ROUND((ES81),6)</f>
        <v>776.55</v>
      </c>
      <c r="AD81">
        <f>ROUND((((ET81)-(EU81))+AE81),6)</f>
        <v>61.83</v>
      </c>
      <c r="AE81">
        <f t="shared" ref="AE81:AF84" si="74">ROUND((EU81),6)</f>
        <v>0.7</v>
      </c>
      <c r="AF81">
        <f t="shared" si="74"/>
        <v>52935.41</v>
      </c>
      <c r="AG81">
        <f t="shared" si="54"/>
        <v>0</v>
      </c>
      <c r="AH81">
        <f t="shared" ref="AH81:AI84" si="75">(EW81)</f>
        <v>104.44</v>
      </c>
      <c r="AI81">
        <f t="shared" si="75"/>
        <v>0</v>
      </c>
      <c r="AJ81">
        <f t="shared" si="55"/>
        <v>0</v>
      </c>
      <c r="AK81">
        <v>53773.79</v>
      </c>
      <c r="AL81">
        <v>776.55</v>
      </c>
      <c r="AM81">
        <v>61.83</v>
      </c>
      <c r="AN81">
        <v>0.7</v>
      </c>
      <c r="AO81">
        <v>52935.41</v>
      </c>
      <c r="AP81">
        <v>0</v>
      </c>
      <c r="AQ81">
        <v>104.44</v>
      </c>
      <c r="AR81">
        <v>0</v>
      </c>
      <c r="AS81">
        <v>0</v>
      </c>
      <c r="AT81">
        <v>70</v>
      </c>
      <c r="AU81">
        <v>10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3</v>
      </c>
      <c r="BE81" t="s">
        <v>3</v>
      </c>
      <c r="BF81" t="s">
        <v>3</v>
      </c>
      <c r="BG81" t="s">
        <v>3</v>
      </c>
      <c r="BH81">
        <v>0</v>
      </c>
      <c r="BI81">
        <v>4</v>
      </c>
      <c r="BJ81" t="s">
        <v>113</v>
      </c>
      <c r="BM81">
        <v>0</v>
      </c>
      <c r="BN81">
        <v>0</v>
      </c>
      <c r="BO81" t="s">
        <v>3</v>
      </c>
      <c r="BP81">
        <v>0</v>
      </c>
      <c r="BQ81">
        <v>1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70</v>
      </c>
      <c r="CA81">
        <v>10</v>
      </c>
      <c r="CB81" t="s">
        <v>3</v>
      </c>
      <c r="CE81">
        <v>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 t="shared" si="56"/>
        <v>38717.14</v>
      </c>
      <c r="CQ81">
        <f t="shared" si="57"/>
        <v>776.55</v>
      </c>
      <c r="CR81">
        <f>((((ET81)*BB81-(EU81)*BS81)+AE81*BS81)*AV81)</f>
        <v>61.83</v>
      </c>
      <c r="CS81">
        <f t="shared" si="58"/>
        <v>0.7</v>
      </c>
      <c r="CT81">
        <f t="shared" si="59"/>
        <v>52935.41</v>
      </c>
      <c r="CU81">
        <f t="shared" si="60"/>
        <v>0</v>
      </c>
      <c r="CV81">
        <f t="shared" si="61"/>
        <v>104.44</v>
      </c>
      <c r="CW81">
        <f t="shared" si="62"/>
        <v>0</v>
      </c>
      <c r="CX81">
        <f t="shared" si="62"/>
        <v>0</v>
      </c>
      <c r="CY81">
        <f t="shared" si="63"/>
        <v>26679.45</v>
      </c>
      <c r="CZ81">
        <f t="shared" si="64"/>
        <v>3811.35</v>
      </c>
      <c r="DC81" t="s">
        <v>3</v>
      </c>
      <c r="DD81" t="s">
        <v>3</v>
      </c>
      <c r="DE81" t="s">
        <v>3</v>
      </c>
      <c r="DF81" t="s">
        <v>3</v>
      </c>
      <c r="DG81" t="s">
        <v>3</v>
      </c>
      <c r="DH81" t="s">
        <v>3</v>
      </c>
      <c r="DI81" t="s">
        <v>3</v>
      </c>
      <c r="DJ81" t="s">
        <v>3</v>
      </c>
      <c r="DK81" t="s">
        <v>3</v>
      </c>
      <c r="DL81" t="s">
        <v>3</v>
      </c>
      <c r="DM81" t="s">
        <v>3</v>
      </c>
      <c r="DN81">
        <v>0</v>
      </c>
      <c r="DO81">
        <v>0</v>
      </c>
      <c r="DP81">
        <v>1</v>
      </c>
      <c r="DQ81">
        <v>1</v>
      </c>
      <c r="DU81">
        <v>16987630</v>
      </c>
      <c r="DV81" t="s">
        <v>112</v>
      </c>
      <c r="DW81" t="s">
        <v>112</v>
      </c>
      <c r="DX81">
        <v>100</v>
      </c>
      <c r="DZ81" t="s">
        <v>3</v>
      </c>
      <c r="EA81" t="s">
        <v>3</v>
      </c>
      <c r="EB81" t="s">
        <v>3</v>
      </c>
      <c r="EC81" t="s">
        <v>3</v>
      </c>
      <c r="EE81">
        <v>1441815344</v>
      </c>
      <c r="EF81">
        <v>1</v>
      </c>
      <c r="EG81" t="s">
        <v>23</v>
      </c>
      <c r="EH81">
        <v>0</v>
      </c>
      <c r="EI81" t="s">
        <v>3</v>
      </c>
      <c r="EJ81">
        <v>4</v>
      </c>
      <c r="EK81">
        <v>0</v>
      </c>
      <c r="EL81" t="s">
        <v>24</v>
      </c>
      <c r="EM81" t="s">
        <v>25</v>
      </c>
      <c r="EO81" t="s">
        <v>3</v>
      </c>
      <c r="EQ81">
        <v>0</v>
      </c>
      <c r="ER81">
        <v>53773.79</v>
      </c>
      <c r="ES81">
        <v>776.55</v>
      </c>
      <c r="ET81">
        <v>61.83</v>
      </c>
      <c r="EU81">
        <v>0.7</v>
      </c>
      <c r="EV81">
        <v>52935.41</v>
      </c>
      <c r="EW81">
        <v>104.44</v>
      </c>
      <c r="EX81">
        <v>0</v>
      </c>
      <c r="EY81">
        <v>0</v>
      </c>
      <c r="FQ81">
        <v>0</v>
      </c>
      <c r="FR81">
        <f t="shared" si="65"/>
        <v>0</v>
      </c>
      <c r="FS81">
        <v>0</v>
      </c>
      <c r="FX81">
        <v>70</v>
      </c>
      <c r="FY81">
        <v>10</v>
      </c>
      <c r="GA81" t="s">
        <v>3</v>
      </c>
      <c r="GD81">
        <v>0</v>
      </c>
      <c r="GF81">
        <v>-36092940</v>
      </c>
      <c r="GG81">
        <v>2</v>
      </c>
      <c r="GH81">
        <v>1</v>
      </c>
      <c r="GI81">
        <v>-2</v>
      </c>
      <c r="GJ81">
        <v>0</v>
      </c>
      <c r="GK81">
        <f>ROUND(R81*(R12)/100,2)</f>
        <v>0.54</v>
      </c>
      <c r="GL81">
        <f t="shared" si="66"/>
        <v>0</v>
      </c>
      <c r="GM81">
        <f t="shared" si="67"/>
        <v>69208.479999999996</v>
      </c>
      <c r="GN81">
        <f t="shared" si="68"/>
        <v>0</v>
      </c>
      <c r="GO81">
        <f t="shared" si="69"/>
        <v>0</v>
      </c>
      <c r="GP81">
        <f t="shared" si="70"/>
        <v>69208.479999999996</v>
      </c>
      <c r="GR81">
        <v>0</v>
      </c>
      <c r="GS81">
        <v>3</v>
      </c>
      <c r="GT81">
        <v>0</v>
      </c>
      <c r="GU81" t="s">
        <v>3</v>
      </c>
      <c r="GV81">
        <f t="shared" si="71"/>
        <v>0</v>
      </c>
      <c r="GW81">
        <v>1</v>
      </c>
      <c r="GX81">
        <f t="shared" si="72"/>
        <v>0</v>
      </c>
      <c r="HA81">
        <v>0</v>
      </c>
      <c r="HB81">
        <v>0</v>
      </c>
      <c r="HC81">
        <f t="shared" si="73"/>
        <v>0</v>
      </c>
      <c r="HE81" t="s">
        <v>3</v>
      </c>
      <c r="HF81" t="s">
        <v>3</v>
      </c>
      <c r="HM81" t="s">
        <v>3</v>
      </c>
      <c r="HN81" t="s">
        <v>3</v>
      </c>
      <c r="HO81" t="s">
        <v>3</v>
      </c>
      <c r="HP81" t="s">
        <v>3</v>
      </c>
      <c r="HQ81" t="s">
        <v>3</v>
      </c>
      <c r="IK81">
        <v>0</v>
      </c>
    </row>
    <row r="82" spans="1:245" x14ac:dyDescent="0.2">
      <c r="A82">
        <v>17</v>
      </c>
      <c r="B82">
        <v>1</v>
      </c>
      <c r="D82">
        <f>ROW(EtalonRes!A25)</f>
        <v>25</v>
      </c>
      <c r="E82" t="s">
        <v>114</v>
      </c>
      <c r="F82" t="s">
        <v>115</v>
      </c>
      <c r="G82" t="s">
        <v>116</v>
      </c>
      <c r="H82" t="s">
        <v>112</v>
      </c>
      <c r="I82">
        <f>ROUND((23+1)*3/100,9)</f>
        <v>0.72</v>
      </c>
      <c r="J82">
        <v>0</v>
      </c>
      <c r="K82">
        <f>ROUND((23+1)*3/100,9)</f>
        <v>0.72</v>
      </c>
      <c r="O82">
        <f t="shared" si="43"/>
        <v>56047.76</v>
      </c>
      <c r="P82">
        <f t="shared" si="44"/>
        <v>559.12</v>
      </c>
      <c r="Q82">
        <f t="shared" si="45"/>
        <v>44.52</v>
      </c>
      <c r="R82">
        <f t="shared" si="46"/>
        <v>0.5</v>
      </c>
      <c r="S82">
        <f t="shared" si="47"/>
        <v>55444.12</v>
      </c>
      <c r="T82">
        <f t="shared" si="48"/>
        <v>0</v>
      </c>
      <c r="U82">
        <f t="shared" si="49"/>
        <v>109.3896</v>
      </c>
      <c r="V82">
        <f t="shared" si="50"/>
        <v>0</v>
      </c>
      <c r="W82">
        <f t="shared" si="51"/>
        <v>0</v>
      </c>
      <c r="X82">
        <f t="shared" si="52"/>
        <v>38810.879999999997</v>
      </c>
      <c r="Y82">
        <f t="shared" si="52"/>
        <v>5544.41</v>
      </c>
      <c r="AA82">
        <v>1472224561</v>
      </c>
      <c r="AB82">
        <f t="shared" si="53"/>
        <v>77844.100000000006</v>
      </c>
      <c r="AC82">
        <f>ROUND((ES82),6)</f>
        <v>776.55</v>
      </c>
      <c r="AD82">
        <f>ROUND((((ET82)-(EU82))+AE82),6)</f>
        <v>61.83</v>
      </c>
      <c r="AE82">
        <f t="shared" si="74"/>
        <v>0.7</v>
      </c>
      <c r="AF82">
        <f t="shared" si="74"/>
        <v>77005.72</v>
      </c>
      <c r="AG82">
        <f t="shared" si="54"/>
        <v>0</v>
      </c>
      <c r="AH82">
        <f t="shared" si="75"/>
        <v>151.93</v>
      </c>
      <c r="AI82">
        <f t="shared" si="75"/>
        <v>0</v>
      </c>
      <c r="AJ82">
        <f t="shared" si="55"/>
        <v>0</v>
      </c>
      <c r="AK82">
        <v>77844.100000000006</v>
      </c>
      <c r="AL82">
        <v>776.55</v>
      </c>
      <c r="AM82">
        <v>61.83</v>
      </c>
      <c r="AN82">
        <v>0.7</v>
      </c>
      <c r="AO82">
        <v>77005.72</v>
      </c>
      <c r="AP82">
        <v>0</v>
      </c>
      <c r="AQ82">
        <v>151.93</v>
      </c>
      <c r="AR82">
        <v>0</v>
      </c>
      <c r="AS82">
        <v>0</v>
      </c>
      <c r="AT82">
        <v>70</v>
      </c>
      <c r="AU82">
        <v>10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3</v>
      </c>
      <c r="BE82" t="s">
        <v>3</v>
      </c>
      <c r="BF82" t="s">
        <v>3</v>
      </c>
      <c r="BG82" t="s">
        <v>3</v>
      </c>
      <c r="BH82">
        <v>0</v>
      </c>
      <c r="BI82">
        <v>4</v>
      </c>
      <c r="BJ82" t="s">
        <v>117</v>
      </c>
      <c r="BM82">
        <v>0</v>
      </c>
      <c r="BN82">
        <v>0</v>
      </c>
      <c r="BO82" t="s">
        <v>3</v>
      </c>
      <c r="BP82">
        <v>0</v>
      </c>
      <c r="BQ82">
        <v>1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70</v>
      </c>
      <c r="CA82">
        <v>10</v>
      </c>
      <c r="CB82" t="s">
        <v>3</v>
      </c>
      <c r="CE82">
        <v>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 t="shared" si="56"/>
        <v>56047.76</v>
      </c>
      <c r="CQ82">
        <f t="shared" si="57"/>
        <v>776.55</v>
      </c>
      <c r="CR82">
        <f>((((ET82)*BB82-(EU82)*BS82)+AE82*BS82)*AV82)</f>
        <v>61.83</v>
      </c>
      <c r="CS82">
        <f t="shared" si="58"/>
        <v>0.7</v>
      </c>
      <c r="CT82">
        <f t="shared" si="59"/>
        <v>77005.72</v>
      </c>
      <c r="CU82">
        <f t="shared" si="60"/>
        <v>0</v>
      </c>
      <c r="CV82">
        <f t="shared" si="61"/>
        <v>151.93</v>
      </c>
      <c r="CW82">
        <f t="shared" si="62"/>
        <v>0</v>
      </c>
      <c r="CX82">
        <f t="shared" si="62"/>
        <v>0</v>
      </c>
      <c r="CY82">
        <f t="shared" si="63"/>
        <v>38810.884000000005</v>
      </c>
      <c r="CZ82">
        <f t="shared" si="64"/>
        <v>5544.4120000000003</v>
      </c>
      <c r="DC82" t="s">
        <v>3</v>
      </c>
      <c r="DD82" t="s">
        <v>3</v>
      </c>
      <c r="DE82" t="s">
        <v>3</v>
      </c>
      <c r="DF82" t="s">
        <v>3</v>
      </c>
      <c r="DG82" t="s">
        <v>3</v>
      </c>
      <c r="DH82" t="s">
        <v>3</v>
      </c>
      <c r="DI82" t="s">
        <v>3</v>
      </c>
      <c r="DJ82" t="s">
        <v>3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16987630</v>
      </c>
      <c r="DV82" t="s">
        <v>112</v>
      </c>
      <c r="DW82" t="s">
        <v>112</v>
      </c>
      <c r="DX82">
        <v>100</v>
      </c>
      <c r="DZ82" t="s">
        <v>3</v>
      </c>
      <c r="EA82" t="s">
        <v>3</v>
      </c>
      <c r="EB82" t="s">
        <v>3</v>
      </c>
      <c r="EC82" t="s">
        <v>3</v>
      </c>
      <c r="EE82">
        <v>1441815344</v>
      </c>
      <c r="EF82">
        <v>1</v>
      </c>
      <c r="EG82" t="s">
        <v>23</v>
      </c>
      <c r="EH82">
        <v>0</v>
      </c>
      <c r="EI82" t="s">
        <v>3</v>
      </c>
      <c r="EJ82">
        <v>4</v>
      </c>
      <c r="EK82">
        <v>0</v>
      </c>
      <c r="EL82" t="s">
        <v>24</v>
      </c>
      <c r="EM82" t="s">
        <v>25</v>
      </c>
      <c r="EO82" t="s">
        <v>3</v>
      </c>
      <c r="EQ82">
        <v>0</v>
      </c>
      <c r="ER82">
        <v>77844.100000000006</v>
      </c>
      <c r="ES82">
        <v>776.55</v>
      </c>
      <c r="ET82">
        <v>61.83</v>
      </c>
      <c r="EU82">
        <v>0.7</v>
      </c>
      <c r="EV82">
        <v>77005.72</v>
      </c>
      <c r="EW82">
        <v>151.93</v>
      </c>
      <c r="EX82">
        <v>0</v>
      </c>
      <c r="EY82">
        <v>0</v>
      </c>
      <c r="FQ82">
        <v>0</v>
      </c>
      <c r="FR82">
        <f t="shared" si="65"/>
        <v>0</v>
      </c>
      <c r="FS82">
        <v>0</v>
      </c>
      <c r="FX82">
        <v>70</v>
      </c>
      <c r="FY82">
        <v>10</v>
      </c>
      <c r="GA82" t="s">
        <v>3</v>
      </c>
      <c r="GD82">
        <v>0</v>
      </c>
      <c r="GF82">
        <v>1944845796</v>
      </c>
      <c r="GG82">
        <v>2</v>
      </c>
      <c r="GH82">
        <v>1</v>
      </c>
      <c r="GI82">
        <v>-2</v>
      </c>
      <c r="GJ82">
        <v>0</v>
      </c>
      <c r="GK82">
        <f>ROUND(R82*(R12)/100,2)</f>
        <v>0.54</v>
      </c>
      <c r="GL82">
        <f t="shared" si="66"/>
        <v>0</v>
      </c>
      <c r="GM82">
        <f t="shared" si="67"/>
        <v>100403.59</v>
      </c>
      <c r="GN82">
        <f t="shared" si="68"/>
        <v>0</v>
      </c>
      <c r="GO82">
        <f t="shared" si="69"/>
        <v>0</v>
      </c>
      <c r="GP82">
        <f t="shared" si="70"/>
        <v>100403.59</v>
      </c>
      <c r="GR82">
        <v>0</v>
      </c>
      <c r="GS82">
        <v>3</v>
      </c>
      <c r="GT82">
        <v>0</v>
      </c>
      <c r="GU82" t="s">
        <v>3</v>
      </c>
      <c r="GV82">
        <f t="shared" si="71"/>
        <v>0</v>
      </c>
      <c r="GW82">
        <v>1</v>
      </c>
      <c r="GX82">
        <f t="shared" si="72"/>
        <v>0</v>
      </c>
      <c r="HA82">
        <v>0</v>
      </c>
      <c r="HB82">
        <v>0</v>
      </c>
      <c r="HC82">
        <f t="shared" si="73"/>
        <v>0</v>
      </c>
      <c r="HE82" t="s">
        <v>3</v>
      </c>
      <c r="HF82" t="s">
        <v>3</v>
      </c>
      <c r="HM82" t="s">
        <v>3</v>
      </c>
      <c r="HN82" t="s">
        <v>3</v>
      </c>
      <c r="HO82" t="s">
        <v>3</v>
      </c>
      <c r="HP82" t="s">
        <v>3</v>
      </c>
      <c r="HQ82" t="s">
        <v>3</v>
      </c>
      <c r="IK82">
        <v>0</v>
      </c>
    </row>
    <row r="83" spans="1:245" x14ac:dyDescent="0.2">
      <c r="A83">
        <v>17</v>
      </c>
      <c r="B83">
        <v>1</v>
      </c>
      <c r="D83">
        <f>ROW(EtalonRes!A27)</f>
        <v>27</v>
      </c>
      <c r="E83" t="s">
        <v>118</v>
      </c>
      <c r="F83" t="s">
        <v>30</v>
      </c>
      <c r="G83" t="s">
        <v>119</v>
      </c>
      <c r="H83" t="s">
        <v>32</v>
      </c>
      <c r="I83">
        <f>ROUND((23+1)*3,9)</f>
        <v>72</v>
      </c>
      <c r="J83">
        <v>0</v>
      </c>
      <c r="K83">
        <f>ROUND((23+1)*3,9)</f>
        <v>72</v>
      </c>
      <c r="O83">
        <f t="shared" si="43"/>
        <v>20604.96</v>
      </c>
      <c r="P83">
        <f t="shared" si="44"/>
        <v>0</v>
      </c>
      <c r="Q83">
        <f t="shared" si="45"/>
        <v>5628.96</v>
      </c>
      <c r="R83">
        <f t="shared" si="46"/>
        <v>3569.04</v>
      </c>
      <c r="S83">
        <f t="shared" si="47"/>
        <v>14976</v>
      </c>
      <c r="T83">
        <f t="shared" si="48"/>
        <v>0</v>
      </c>
      <c r="U83">
        <f t="shared" si="49"/>
        <v>26.64</v>
      </c>
      <c r="V83">
        <f t="shared" si="50"/>
        <v>0</v>
      </c>
      <c r="W83">
        <f t="shared" si="51"/>
        <v>0</v>
      </c>
      <c r="X83">
        <f t="shared" si="52"/>
        <v>10483.200000000001</v>
      </c>
      <c r="Y83">
        <f t="shared" si="52"/>
        <v>1497.6</v>
      </c>
      <c r="AA83">
        <v>1472224561</v>
      </c>
      <c r="AB83">
        <f t="shared" si="53"/>
        <v>286.18</v>
      </c>
      <c r="AC83">
        <f>ROUND((ES83),6)</f>
        <v>0</v>
      </c>
      <c r="AD83">
        <f>ROUND((((ET83)-(EU83))+AE83),6)</f>
        <v>78.180000000000007</v>
      </c>
      <c r="AE83">
        <f t="shared" si="74"/>
        <v>49.57</v>
      </c>
      <c r="AF83">
        <f t="shared" si="74"/>
        <v>208</v>
      </c>
      <c r="AG83">
        <f t="shared" si="54"/>
        <v>0</v>
      </c>
      <c r="AH83">
        <f t="shared" si="75"/>
        <v>0.37</v>
      </c>
      <c r="AI83">
        <f t="shared" si="75"/>
        <v>0</v>
      </c>
      <c r="AJ83">
        <f t="shared" si="55"/>
        <v>0</v>
      </c>
      <c r="AK83">
        <v>286.18</v>
      </c>
      <c r="AL83">
        <v>0</v>
      </c>
      <c r="AM83">
        <v>78.180000000000007</v>
      </c>
      <c r="AN83">
        <v>49.57</v>
      </c>
      <c r="AO83">
        <v>208</v>
      </c>
      <c r="AP83">
        <v>0</v>
      </c>
      <c r="AQ83">
        <v>0.37</v>
      </c>
      <c r="AR83">
        <v>0</v>
      </c>
      <c r="AS83">
        <v>0</v>
      </c>
      <c r="AT83">
        <v>70</v>
      </c>
      <c r="AU83">
        <v>10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3</v>
      </c>
      <c r="BE83" t="s">
        <v>3</v>
      </c>
      <c r="BF83" t="s">
        <v>3</v>
      </c>
      <c r="BG83" t="s">
        <v>3</v>
      </c>
      <c r="BH83">
        <v>0</v>
      </c>
      <c r="BI83">
        <v>4</v>
      </c>
      <c r="BJ83" t="s">
        <v>33</v>
      </c>
      <c r="BM83">
        <v>0</v>
      </c>
      <c r="BN83">
        <v>0</v>
      </c>
      <c r="BO83" t="s">
        <v>3</v>
      </c>
      <c r="BP83">
        <v>0</v>
      </c>
      <c r="BQ83">
        <v>1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70</v>
      </c>
      <c r="CA83">
        <v>10</v>
      </c>
      <c r="CB83" t="s">
        <v>3</v>
      </c>
      <c r="CE83">
        <v>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 t="shared" si="56"/>
        <v>20604.96</v>
      </c>
      <c r="CQ83">
        <f t="shared" si="57"/>
        <v>0</v>
      </c>
      <c r="CR83">
        <f>((((ET83)*BB83-(EU83)*BS83)+AE83*BS83)*AV83)</f>
        <v>78.180000000000007</v>
      </c>
      <c r="CS83">
        <f t="shared" si="58"/>
        <v>49.57</v>
      </c>
      <c r="CT83">
        <f t="shared" si="59"/>
        <v>208</v>
      </c>
      <c r="CU83">
        <f t="shared" si="60"/>
        <v>0</v>
      </c>
      <c r="CV83">
        <f t="shared" si="61"/>
        <v>0.37</v>
      </c>
      <c r="CW83">
        <f t="shared" si="62"/>
        <v>0</v>
      </c>
      <c r="CX83">
        <f t="shared" si="62"/>
        <v>0</v>
      </c>
      <c r="CY83">
        <f t="shared" si="63"/>
        <v>10483.200000000001</v>
      </c>
      <c r="CZ83">
        <f t="shared" si="64"/>
        <v>1497.6</v>
      </c>
      <c r="DC83" t="s">
        <v>3</v>
      </c>
      <c r="DD83" t="s">
        <v>3</v>
      </c>
      <c r="DE83" t="s">
        <v>3</v>
      </c>
      <c r="DF83" t="s">
        <v>3</v>
      </c>
      <c r="DG83" t="s">
        <v>3</v>
      </c>
      <c r="DH83" t="s">
        <v>3</v>
      </c>
      <c r="DI83" t="s">
        <v>3</v>
      </c>
      <c r="DJ83" t="s">
        <v>3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16987630</v>
      </c>
      <c r="DV83" t="s">
        <v>32</v>
      </c>
      <c r="DW83" t="s">
        <v>32</v>
      </c>
      <c r="DX83">
        <v>1</v>
      </c>
      <c r="DZ83" t="s">
        <v>3</v>
      </c>
      <c r="EA83" t="s">
        <v>3</v>
      </c>
      <c r="EB83" t="s">
        <v>3</v>
      </c>
      <c r="EC83" t="s">
        <v>3</v>
      </c>
      <c r="EE83">
        <v>1441815344</v>
      </c>
      <c r="EF83">
        <v>1</v>
      </c>
      <c r="EG83" t="s">
        <v>23</v>
      </c>
      <c r="EH83">
        <v>0</v>
      </c>
      <c r="EI83" t="s">
        <v>3</v>
      </c>
      <c r="EJ83">
        <v>4</v>
      </c>
      <c r="EK83">
        <v>0</v>
      </c>
      <c r="EL83" t="s">
        <v>24</v>
      </c>
      <c r="EM83" t="s">
        <v>25</v>
      </c>
      <c r="EO83" t="s">
        <v>3</v>
      </c>
      <c r="EQ83">
        <v>0</v>
      </c>
      <c r="ER83">
        <v>286.18</v>
      </c>
      <c r="ES83">
        <v>0</v>
      </c>
      <c r="ET83">
        <v>78.180000000000007</v>
      </c>
      <c r="EU83">
        <v>49.57</v>
      </c>
      <c r="EV83">
        <v>208</v>
      </c>
      <c r="EW83">
        <v>0.37</v>
      </c>
      <c r="EX83">
        <v>0</v>
      </c>
      <c r="EY83">
        <v>0</v>
      </c>
      <c r="FQ83">
        <v>0</v>
      </c>
      <c r="FR83">
        <f t="shared" si="65"/>
        <v>0</v>
      </c>
      <c r="FS83">
        <v>0</v>
      </c>
      <c r="FX83">
        <v>70</v>
      </c>
      <c r="FY83">
        <v>10</v>
      </c>
      <c r="GA83" t="s">
        <v>3</v>
      </c>
      <c r="GD83">
        <v>0</v>
      </c>
      <c r="GF83">
        <v>724910390</v>
      </c>
      <c r="GG83">
        <v>2</v>
      </c>
      <c r="GH83">
        <v>1</v>
      </c>
      <c r="GI83">
        <v>-2</v>
      </c>
      <c r="GJ83">
        <v>0</v>
      </c>
      <c r="GK83">
        <f>ROUND(R83*(R12)/100,2)</f>
        <v>3854.56</v>
      </c>
      <c r="GL83">
        <f t="shared" si="66"/>
        <v>0</v>
      </c>
      <c r="GM83">
        <f t="shared" si="67"/>
        <v>36440.32</v>
      </c>
      <c r="GN83">
        <f t="shared" si="68"/>
        <v>0</v>
      </c>
      <c r="GO83">
        <f t="shared" si="69"/>
        <v>0</v>
      </c>
      <c r="GP83">
        <f t="shared" si="70"/>
        <v>36440.32</v>
      </c>
      <c r="GR83">
        <v>0</v>
      </c>
      <c r="GS83">
        <v>3</v>
      </c>
      <c r="GT83">
        <v>0</v>
      </c>
      <c r="GU83" t="s">
        <v>3</v>
      </c>
      <c r="GV83">
        <f t="shared" si="71"/>
        <v>0</v>
      </c>
      <c r="GW83">
        <v>1</v>
      </c>
      <c r="GX83">
        <f t="shared" si="72"/>
        <v>0</v>
      </c>
      <c r="HA83">
        <v>0</v>
      </c>
      <c r="HB83">
        <v>0</v>
      </c>
      <c r="HC83">
        <f t="shared" si="73"/>
        <v>0</v>
      </c>
      <c r="HE83" t="s">
        <v>3</v>
      </c>
      <c r="HF83" t="s">
        <v>3</v>
      </c>
      <c r="HM83" t="s">
        <v>3</v>
      </c>
      <c r="HN83" t="s">
        <v>3</v>
      </c>
      <c r="HO83" t="s">
        <v>3</v>
      </c>
      <c r="HP83" t="s">
        <v>3</v>
      </c>
      <c r="HQ83" t="s">
        <v>3</v>
      </c>
      <c r="IK83">
        <v>0</v>
      </c>
    </row>
    <row r="84" spans="1:245" x14ac:dyDescent="0.2">
      <c r="A84">
        <v>17</v>
      </c>
      <c r="B84">
        <v>1</v>
      </c>
      <c r="D84">
        <f>ROW(EtalonRes!A28)</f>
        <v>28</v>
      </c>
      <c r="E84" t="s">
        <v>120</v>
      </c>
      <c r="F84" t="s">
        <v>121</v>
      </c>
      <c r="G84" t="s">
        <v>122</v>
      </c>
      <c r="H84" t="s">
        <v>123</v>
      </c>
      <c r="I84">
        <f>ROUND(23*3/100,9)</f>
        <v>0.69</v>
      </c>
      <c r="J84">
        <v>0</v>
      </c>
      <c r="K84">
        <f>ROUND(23*3/100,9)</f>
        <v>0.69</v>
      </c>
      <c r="O84">
        <f t="shared" si="43"/>
        <v>10968.32</v>
      </c>
      <c r="P84">
        <f t="shared" si="44"/>
        <v>0</v>
      </c>
      <c r="Q84">
        <f t="shared" si="45"/>
        <v>0</v>
      </c>
      <c r="R84">
        <f t="shared" si="46"/>
        <v>0</v>
      </c>
      <c r="S84">
        <f t="shared" si="47"/>
        <v>10968.32</v>
      </c>
      <c r="T84">
        <f t="shared" si="48"/>
        <v>0</v>
      </c>
      <c r="U84">
        <f t="shared" si="49"/>
        <v>18.422999999999998</v>
      </c>
      <c r="V84">
        <f t="shared" si="50"/>
        <v>0</v>
      </c>
      <c r="W84">
        <f t="shared" si="51"/>
        <v>0</v>
      </c>
      <c r="X84">
        <f t="shared" si="52"/>
        <v>7677.82</v>
      </c>
      <c r="Y84">
        <f t="shared" si="52"/>
        <v>1096.83</v>
      </c>
      <c r="AA84">
        <v>1472224561</v>
      </c>
      <c r="AB84">
        <f t="shared" si="53"/>
        <v>15896.11</v>
      </c>
      <c r="AC84">
        <f>ROUND((ES84),6)</f>
        <v>0</v>
      </c>
      <c r="AD84">
        <f>ROUND((((ET84)-(EU84))+AE84),6)</f>
        <v>0</v>
      </c>
      <c r="AE84">
        <f t="shared" si="74"/>
        <v>0</v>
      </c>
      <c r="AF84">
        <f t="shared" si="74"/>
        <v>15896.11</v>
      </c>
      <c r="AG84">
        <f t="shared" si="54"/>
        <v>0</v>
      </c>
      <c r="AH84">
        <f t="shared" si="75"/>
        <v>26.7</v>
      </c>
      <c r="AI84">
        <f t="shared" si="75"/>
        <v>0</v>
      </c>
      <c r="AJ84">
        <f t="shared" si="55"/>
        <v>0</v>
      </c>
      <c r="AK84">
        <v>15896.11</v>
      </c>
      <c r="AL84">
        <v>0</v>
      </c>
      <c r="AM84">
        <v>0</v>
      </c>
      <c r="AN84">
        <v>0</v>
      </c>
      <c r="AO84">
        <v>15896.11</v>
      </c>
      <c r="AP84">
        <v>0</v>
      </c>
      <c r="AQ84">
        <v>26.7</v>
      </c>
      <c r="AR84">
        <v>0</v>
      </c>
      <c r="AS84">
        <v>0</v>
      </c>
      <c r="AT84">
        <v>70</v>
      </c>
      <c r="AU84">
        <v>10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3</v>
      </c>
      <c r="BE84" t="s">
        <v>3</v>
      </c>
      <c r="BF84" t="s">
        <v>3</v>
      </c>
      <c r="BG84" t="s">
        <v>3</v>
      </c>
      <c r="BH84">
        <v>0</v>
      </c>
      <c r="BI84">
        <v>4</v>
      </c>
      <c r="BJ84" t="s">
        <v>124</v>
      </c>
      <c r="BM84">
        <v>0</v>
      </c>
      <c r="BN84">
        <v>0</v>
      </c>
      <c r="BO84" t="s">
        <v>3</v>
      </c>
      <c r="BP84">
        <v>0</v>
      </c>
      <c r="BQ84">
        <v>1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70</v>
      </c>
      <c r="CA84">
        <v>10</v>
      </c>
      <c r="CB84" t="s">
        <v>3</v>
      </c>
      <c r="CE84">
        <v>0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si="56"/>
        <v>10968.32</v>
      </c>
      <c r="CQ84">
        <f t="shared" si="57"/>
        <v>0</v>
      </c>
      <c r="CR84">
        <f>((((ET84)*BB84-(EU84)*BS84)+AE84*BS84)*AV84)</f>
        <v>0</v>
      </c>
      <c r="CS84">
        <f t="shared" si="58"/>
        <v>0</v>
      </c>
      <c r="CT84">
        <f t="shared" si="59"/>
        <v>15896.11</v>
      </c>
      <c r="CU84">
        <f t="shared" si="60"/>
        <v>0</v>
      </c>
      <c r="CV84">
        <f t="shared" si="61"/>
        <v>26.7</v>
      </c>
      <c r="CW84">
        <f t="shared" si="62"/>
        <v>0</v>
      </c>
      <c r="CX84">
        <f t="shared" si="62"/>
        <v>0</v>
      </c>
      <c r="CY84">
        <f t="shared" si="63"/>
        <v>7677.8240000000005</v>
      </c>
      <c r="CZ84">
        <f t="shared" si="64"/>
        <v>1096.8319999999999</v>
      </c>
      <c r="DC84" t="s">
        <v>3</v>
      </c>
      <c r="DD84" t="s">
        <v>3</v>
      </c>
      <c r="DE84" t="s">
        <v>3</v>
      </c>
      <c r="DF84" t="s">
        <v>3</v>
      </c>
      <c r="DG84" t="s">
        <v>3</v>
      </c>
      <c r="DH84" t="s">
        <v>3</v>
      </c>
      <c r="DI84" t="s">
        <v>3</v>
      </c>
      <c r="DJ84" t="s">
        <v>3</v>
      </c>
      <c r="DK84" t="s">
        <v>3</v>
      </c>
      <c r="DL84" t="s">
        <v>3</v>
      </c>
      <c r="DM84" t="s">
        <v>3</v>
      </c>
      <c r="DN84">
        <v>0</v>
      </c>
      <c r="DO84">
        <v>0</v>
      </c>
      <c r="DP84">
        <v>1</v>
      </c>
      <c r="DQ84">
        <v>1</v>
      </c>
      <c r="DU84">
        <v>1013</v>
      </c>
      <c r="DV84" t="s">
        <v>123</v>
      </c>
      <c r="DW84" t="s">
        <v>123</v>
      </c>
      <c r="DX84">
        <v>1</v>
      </c>
      <c r="DZ84" t="s">
        <v>3</v>
      </c>
      <c r="EA84" t="s">
        <v>3</v>
      </c>
      <c r="EB84" t="s">
        <v>3</v>
      </c>
      <c r="EC84" t="s">
        <v>3</v>
      </c>
      <c r="EE84">
        <v>1441815344</v>
      </c>
      <c r="EF84">
        <v>1</v>
      </c>
      <c r="EG84" t="s">
        <v>23</v>
      </c>
      <c r="EH84">
        <v>0</v>
      </c>
      <c r="EI84" t="s">
        <v>3</v>
      </c>
      <c r="EJ84">
        <v>4</v>
      </c>
      <c r="EK84">
        <v>0</v>
      </c>
      <c r="EL84" t="s">
        <v>24</v>
      </c>
      <c r="EM84" t="s">
        <v>25</v>
      </c>
      <c r="EO84" t="s">
        <v>3</v>
      </c>
      <c r="EQ84">
        <v>0</v>
      </c>
      <c r="ER84">
        <v>15896.11</v>
      </c>
      <c r="ES84">
        <v>0</v>
      </c>
      <c r="ET84">
        <v>0</v>
      </c>
      <c r="EU84">
        <v>0</v>
      </c>
      <c r="EV84">
        <v>15896.11</v>
      </c>
      <c r="EW84">
        <v>26.7</v>
      </c>
      <c r="EX84">
        <v>0</v>
      </c>
      <c r="EY84">
        <v>0</v>
      </c>
      <c r="FQ84">
        <v>0</v>
      </c>
      <c r="FR84">
        <f t="shared" si="65"/>
        <v>0</v>
      </c>
      <c r="FS84">
        <v>0</v>
      </c>
      <c r="FX84">
        <v>70</v>
      </c>
      <c r="FY84">
        <v>10</v>
      </c>
      <c r="GA84" t="s">
        <v>3</v>
      </c>
      <c r="GD84">
        <v>0</v>
      </c>
      <c r="GF84">
        <v>-1089660975</v>
      </c>
      <c r="GG84">
        <v>2</v>
      </c>
      <c r="GH84">
        <v>1</v>
      </c>
      <c r="GI84">
        <v>-2</v>
      </c>
      <c r="GJ84">
        <v>0</v>
      </c>
      <c r="GK84">
        <f>ROUND(R84*(R12)/100,2)</f>
        <v>0</v>
      </c>
      <c r="GL84">
        <f t="shared" si="66"/>
        <v>0</v>
      </c>
      <c r="GM84">
        <f t="shared" si="67"/>
        <v>19742.97</v>
      </c>
      <c r="GN84">
        <f t="shared" si="68"/>
        <v>0</v>
      </c>
      <c r="GO84">
        <f t="shared" si="69"/>
        <v>0</v>
      </c>
      <c r="GP84">
        <f t="shared" si="70"/>
        <v>19742.97</v>
      </c>
      <c r="GR84">
        <v>0</v>
      </c>
      <c r="GS84">
        <v>3</v>
      </c>
      <c r="GT84">
        <v>0</v>
      </c>
      <c r="GU84" t="s">
        <v>3</v>
      </c>
      <c r="GV84">
        <f t="shared" si="71"/>
        <v>0</v>
      </c>
      <c r="GW84">
        <v>1</v>
      </c>
      <c r="GX84">
        <f t="shared" si="72"/>
        <v>0</v>
      </c>
      <c r="HA84">
        <v>0</v>
      </c>
      <c r="HB84">
        <v>0</v>
      </c>
      <c r="HC84">
        <f t="shared" si="73"/>
        <v>0</v>
      </c>
      <c r="HE84" t="s">
        <v>3</v>
      </c>
      <c r="HF84" t="s">
        <v>3</v>
      </c>
      <c r="HM84" t="s">
        <v>3</v>
      </c>
      <c r="HN84" t="s">
        <v>3</v>
      </c>
      <c r="HO84" t="s">
        <v>3</v>
      </c>
      <c r="HP84" t="s">
        <v>3</v>
      </c>
      <c r="HQ84" t="s">
        <v>3</v>
      </c>
      <c r="IK84">
        <v>0</v>
      </c>
    </row>
    <row r="85" spans="1:245" x14ac:dyDescent="0.2">
      <c r="A85">
        <v>17</v>
      </c>
      <c r="B85">
        <v>1</v>
      </c>
      <c r="D85">
        <f>ROW(EtalonRes!A30)</f>
        <v>30</v>
      </c>
      <c r="E85" t="s">
        <v>125</v>
      </c>
      <c r="F85" t="s">
        <v>126</v>
      </c>
      <c r="G85" t="s">
        <v>127</v>
      </c>
      <c r="H85" t="s">
        <v>112</v>
      </c>
      <c r="I85">
        <f>ROUND((23+1)*3/100,9)</f>
        <v>0.72</v>
      </c>
      <c r="J85">
        <v>0</v>
      </c>
      <c r="K85">
        <f>ROUND((23+1)*3/100,9)</f>
        <v>0.72</v>
      </c>
      <c r="O85">
        <f t="shared" si="43"/>
        <v>41603.07</v>
      </c>
      <c r="P85">
        <f t="shared" si="44"/>
        <v>701.48</v>
      </c>
      <c r="Q85">
        <f t="shared" si="45"/>
        <v>0</v>
      </c>
      <c r="R85">
        <f t="shared" si="46"/>
        <v>0</v>
      </c>
      <c r="S85">
        <f t="shared" si="47"/>
        <v>40901.589999999997</v>
      </c>
      <c r="T85">
        <f t="shared" si="48"/>
        <v>0</v>
      </c>
      <c r="U85">
        <f t="shared" si="49"/>
        <v>80.697599999999994</v>
      </c>
      <c r="V85">
        <f t="shared" si="50"/>
        <v>0</v>
      </c>
      <c r="W85">
        <f t="shared" si="51"/>
        <v>0</v>
      </c>
      <c r="X85">
        <f t="shared" si="52"/>
        <v>28631.11</v>
      </c>
      <c r="Y85">
        <f t="shared" si="52"/>
        <v>4090.16</v>
      </c>
      <c r="AA85">
        <v>1472224561</v>
      </c>
      <c r="AB85">
        <f t="shared" si="53"/>
        <v>57782.04</v>
      </c>
      <c r="AC85">
        <f>ROUND(((ES85*4)),6)</f>
        <v>974.28</v>
      </c>
      <c r="AD85">
        <f>ROUND(((((ET85*4))-((EU85*4)))+AE85),6)</f>
        <v>0</v>
      </c>
      <c r="AE85">
        <f>ROUND(((EU85*4)),6)</f>
        <v>0</v>
      </c>
      <c r="AF85">
        <f>ROUND(((EV85*4)),6)</f>
        <v>56807.76</v>
      </c>
      <c r="AG85">
        <f t="shared" si="54"/>
        <v>0</v>
      </c>
      <c r="AH85">
        <f>((EW85*4))</f>
        <v>112.08</v>
      </c>
      <c r="AI85">
        <f>((EX85*4))</f>
        <v>0</v>
      </c>
      <c r="AJ85">
        <f t="shared" si="55"/>
        <v>0</v>
      </c>
      <c r="AK85">
        <v>14445.51</v>
      </c>
      <c r="AL85">
        <v>243.57</v>
      </c>
      <c r="AM85">
        <v>0</v>
      </c>
      <c r="AN85">
        <v>0</v>
      </c>
      <c r="AO85">
        <v>14201.94</v>
      </c>
      <c r="AP85">
        <v>0</v>
      </c>
      <c r="AQ85">
        <v>28.02</v>
      </c>
      <c r="AR85">
        <v>0</v>
      </c>
      <c r="AS85">
        <v>0</v>
      </c>
      <c r="AT85">
        <v>70</v>
      </c>
      <c r="AU85">
        <v>10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1</v>
      </c>
      <c r="BD85" t="s">
        <v>3</v>
      </c>
      <c r="BE85" t="s">
        <v>3</v>
      </c>
      <c r="BF85" t="s">
        <v>3</v>
      </c>
      <c r="BG85" t="s">
        <v>3</v>
      </c>
      <c r="BH85">
        <v>0</v>
      </c>
      <c r="BI85">
        <v>4</v>
      </c>
      <c r="BJ85" t="s">
        <v>128</v>
      </c>
      <c r="BM85">
        <v>0</v>
      </c>
      <c r="BN85">
        <v>0</v>
      </c>
      <c r="BO85" t="s">
        <v>3</v>
      </c>
      <c r="BP85">
        <v>0</v>
      </c>
      <c r="BQ85">
        <v>1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70</v>
      </c>
      <c r="CA85">
        <v>10</v>
      </c>
      <c r="CB85" t="s">
        <v>3</v>
      </c>
      <c r="CE85">
        <v>0</v>
      </c>
      <c r="CF85">
        <v>0</v>
      </c>
      <c r="CG85">
        <v>0</v>
      </c>
      <c r="CM85">
        <v>0</v>
      </c>
      <c r="CN85" t="s">
        <v>3</v>
      </c>
      <c r="CO85">
        <v>0</v>
      </c>
      <c r="CP85">
        <f t="shared" si="56"/>
        <v>41603.07</v>
      </c>
      <c r="CQ85">
        <f t="shared" si="57"/>
        <v>974.28</v>
      </c>
      <c r="CR85">
        <f>(((((ET85*4))*BB85-((EU85*4))*BS85)+AE85*BS85)*AV85)</f>
        <v>0</v>
      </c>
      <c r="CS85">
        <f t="shared" si="58"/>
        <v>0</v>
      </c>
      <c r="CT85">
        <f t="shared" si="59"/>
        <v>56807.76</v>
      </c>
      <c r="CU85">
        <f t="shared" si="60"/>
        <v>0</v>
      </c>
      <c r="CV85">
        <f t="shared" si="61"/>
        <v>112.08</v>
      </c>
      <c r="CW85">
        <f t="shared" si="62"/>
        <v>0</v>
      </c>
      <c r="CX85">
        <f t="shared" si="62"/>
        <v>0</v>
      </c>
      <c r="CY85">
        <f t="shared" si="63"/>
        <v>28631.112999999998</v>
      </c>
      <c r="CZ85">
        <f t="shared" si="64"/>
        <v>4090.1589999999997</v>
      </c>
      <c r="DC85" t="s">
        <v>3</v>
      </c>
      <c r="DD85" t="s">
        <v>22</v>
      </c>
      <c r="DE85" t="s">
        <v>22</v>
      </c>
      <c r="DF85" t="s">
        <v>22</v>
      </c>
      <c r="DG85" t="s">
        <v>22</v>
      </c>
      <c r="DH85" t="s">
        <v>3</v>
      </c>
      <c r="DI85" t="s">
        <v>22</v>
      </c>
      <c r="DJ85" t="s">
        <v>22</v>
      </c>
      <c r="DK85" t="s">
        <v>3</v>
      </c>
      <c r="DL85" t="s">
        <v>3</v>
      </c>
      <c r="DM85" t="s">
        <v>3</v>
      </c>
      <c r="DN85">
        <v>0</v>
      </c>
      <c r="DO85">
        <v>0</v>
      </c>
      <c r="DP85">
        <v>1</v>
      </c>
      <c r="DQ85">
        <v>1</v>
      </c>
      <c r="DU85">
        <v>16987630</v>
      </c>
      <c r="DV85" t="s">
        <v>112</v>
      </c>
      <c r="DW85" t="s">
        <v>112</v>
      </c>
      <c r="DX85">
        <v>100</v>
      </c>
      <c r="DZ85" t="s">
        <v>3</v>
      </c>
      <c r="EA85" t="s">
        <v>3</v>
      </c>
      <c r="EB85" t="s">
        <v>3</v>
      </c>
      <c r="EC85" t="s">
        <v>3</v>
      </c>
      <c r="EE85">
        <v>1441815344</v>
      </c>
      <c r="EF85">
        <v>1</v>
      </c>
      <c r="EG85" t="s">
        <v>23</v>
      </c>
      <c r="EH85">
        <v>0</v>
      </c>
      <c r="EI85" t="s">
        <v>3</v>
      </c>
      <c r="EJ85">
        <v>4</v>
      </c>
      <c r="EK85">
        <v>0</v>
      </c>
      <c r="EL85" t="s">
        <v>24</v>
      </c>
      <c r="EM85" t="s">
        <v>25</v>
      </c>
      <c r="EO85" t="s">
        <v>3</v>
      </c>
      <c r="EQ85">
        <v>0</v>
      </c>
      <c r="ER85">
        <v>14445.51</v>
      </c>
      <c r="ES85">
        <v>243.57</v>
      </c>
      <c r="ET85">
        <v>0</v>
      </c>
      <c r="EU85">
        <v>0</v>
      </c>
      <c r="EV85">
        <v>14201.94</v>
      </c>
      <c r="EW85">
        <v>28.02</v>
      </c>
      <c r="EX85">
        <v>0</v>
      </c>
      <c r="EY85">
        <v>0</v>
      </c>
      <c r="FQ85">
        <v>0</v>
      </c>
      <c r="FR85">
        <f t="shared" si="65"/>
        <v>0</v>
      </c>
      <c r="FS85">
        <v>0</v>
      </c>
      <c r="FX85">
        <v>70</v>
      </c>
      <c r="FY85">
        <v>10</v>
      </c>
      <c r="GA85" t="s">
        <v>3</v>
      </c>
      <c r="GD85">
        <v>0</v>
      </c>
      <c r="GF85">
        <v>1586733399</v>
      </c>
      <c r="GG85">
        <v>2</v>
      </c>
      <c r="GH85">
        <v>1</v>
      </c>
      <c r="GI85">
        <v>-2</v>
      </c>
      <c r="GJ85">
        <v>0</v>
      </c>
      <c r="GK85">
        <f>ROUND(R85*(R12)/100,2)</f>
        <v>0</v>
      </c>
      <c r="GL85">
        <f t="shared" si="66"/>
        <v>0</v>
      </c>
      <c r="GM85">
        <f t="shared" si="67"/>
        <v>74324.34</v>
      </c>
      <c r="GN85">
        <f t="shared" si="68"/>
        <v>0</v>
      </c>
      <c r="GO85">
        <f t="shared" si="69"/>
        <v>0</v>
      </c>
      <c r="GP85">
        <f t="shared" si="70"/>
        <v>74324.34</v>
      </c>
      <c r="GR85">
        <v>0</v>
      </c>
      <c r="GS85">
        <v>3</v>
      </c>
      <c r="GT85">
        <v>0</v>
      </c>
      <c r="GU85" t="s">
        <v>3</v>
      </c>
      <c r="GV85">
        <f t="shared" si="71"/>
        <v>0</v>
      </c>
      <c r="GW85">
        <v>1</v>
      </c>
      <c r="GX85">
        <f t="shared" si="72"/>
        <v>0</v>
      </c>
      <c r="HA85">
        <v>0</v>
      </c>
      <c r="HB85">
        <v>0</v>
      </c>
      <c r="HC85">
        <f t="shared" si="73"/>
        <v>0</v>
      </c>
      <c r="HE85" t="s">
        <v>3</v>
      </c>
      <c r="HF85" t="s">
        <v>3</v>
      </c>
      <c r="HM85" t="s">
        <v>3</v>
      </c>
      <c r="HN85" t="s">
        <v>3</v>
      </c>
      <c r="HO85" t="s">
        <v>3</v>
      </c>
      <c r="HP85" t="s">
        <v>3</v>
      </c>
      <c r="HQ85" t="s">
        <v>3</v>
      </c>
      <c r="IK85">
        <v>0</v>
      </c>
    </row>
    <row r="86" spans="1:245" x14ac:dyDescent="0.2">
      <c r="A86">
        <v>17</v>
      </c>
      <c r="B86">
        <v>1</v>
      </c>
      <c r="D86">
        <f>ROW(EtalonRes!A31)</f>
        <v>31</v>
      </c>
      <c r="E86" t="s">
        <v>3</v>
      </c>
      <c r="F86" t="s">
        <v>129</v>
      </c>
      <c r="G86" t="s">
        <v>130</v>
      </c>
      <c r="H86" t="s">
        <v>37</v>
      </c>
      <c r="I86">
        <f>ROUND((1)*3/10,9)</f>
        <v>0.3</v>
      </c>
      <c r="J86">
        <v>0</v>
      </c>
      <c r="K86">
        <f>ROUND((1)*3/10,9)</f>
        <v>0.3</v>
      </c>
      <c r="O86">
        <f t="shared" si="43"/>
        <v>540.91999999999996</v>
      </c>
      <c r="P86">
        <f t="shared" si="44"/>
        <v>0</v>
      </c>
      <c r="Q86">
        <f t="shared" si="45"/>
        <v>0</v>
      </c>
      <c r="R86">
        <f t="shared" si="46"/>
        <v>0</v>
      </c>
      <c r="S86">
        <f t="shared" si="47"/>
        <v>540.91999999999996</v>
      </c>
      <c r="T86">
        <f t="shared" si="48"/>
        <v>0</v>
      </c>
      <c r="U86">
        <f t="shared" si="49"/>
        <v>0.876</v>
      </c>
      <c r="V86">
        <f t="shared" si="50"/>
        <v>0</v>
      </c>
      <c r="W86">
        <f t="shared" si="51"/>
        <v>0</v>
      </c>
      <c r="X86">
        <f t="shared" si="52"/>
        <v>378.64</v>
      </c>
      <c r="Y86">
        <f t="shared" si="52"/>
        <v>54.09</v>
      </c>
      <c r="AA86">
        <v>-1</v>
      </c>
      <c r="AB86">
        <f t="shared" si="53"/>
        <v>1803.08</v>
      </c>
      <c r="AC86">
        <f>ROUND(((ES86*4)),6)</f>
        <v>0</v>
      </c>
      <c r="AD86">
        <f>ROUND(((((ET86*4))-((EU86*4)))+AE86),6)</f>
        <v>0</v>
      </c>
      <c r="AE86">
        <f>ROUND(((EU86*4)),6)</f>
        <v>0</v>
      </c>
      <c r="AF86">
        <f>ROUND(((EV86*4)),6)</f>
        <v>1803.08</v>
      </c>
      <c r="AG86">
        <f t="shared" si="54"/>
        <v>0</v>
      </c>
      <c r="AH86">
        <f>((EW86*4))</f>
        <v>2.92</v>
      </c>
      <c r="AI86">
        <f>((EX86*4))</f>
        <v>0</v>
      </c>
      <c r="AJ86">
        <f t="shared" si="55"/>
        <v>0</v>
      </c>
      <c r="AK86">
        <v>450.77</v>
      </c>
      <c r="AL86">
        <v>0</v>
      </c>
      <c r="AM86">
        <v>0</v>
      </c>
      <c r="AN86">
        <v>0</v>
      </c>
      <c r="AO86">
        <v>450.77</v>
      </c>
      <c r="AP86">
        <v>0</v>
      </c>
      <c r="AQ86">
        <v>0.73</v>
      </c>
      <c r="AR86">
        <v>0</v>
      </c>
      <c r="AS86">
        <v>0</v>
      </c>
      <c r="AT86">
        <v>70</v>
      </c>
      <c r="AU86">
        <v>10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1</v>
      </c>
      <c r="BD86" t="s">
        <v>3</v>
      </c>
      <c r="BE86" t="s">
        <v>3</v>
      </c>
      <c r="BF86" t="s">
        <v>3</v>
      </c>
      <c r="BG86" t="s">
        <v>3</v>
      </c>
      <c r="BH86">
        <v>0</v>
      </c>
      <c r="BI86">
        <v>4</v>
      </c>
      <c r="BJ86" t="s">
        <v>131</v>
      </c>
      <c r="BM86">
        <v>0</v>
      </c>
      <c r="BN86">
        <v>0</v>
      </c>
      <c r="BO86" t="s">
        <v>3</v>
      </c>
      <c r="BP86">
        <v>0</v>
      </c>
      <c r="BQ86">
        <v>1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3</v>
      </c>
      <c r="BZ86">
        <v>70</v>
      </c>
      <c r="CA86">
        <v>10</v>
      </c>
      <c r="CB86" t="s">
        <v>3</v>
      </c>
      <c r="CE86">
        <v>0</v>
      </c>
      <c r="CF86">
        <v>0</v>
      </c>
      <c r="CG86">
        <v>0</v>
      </c>
      <c r="CM86">
        <v>0</v>
      </c>
      <c r="CN86" t="s">
        <v>3</v>
      </c>
      <c r="CO86">
        <v>0</v>
      </c>
      <c r="CP86">
        <f t="shared" si="56"/>
        <v>540.91999999999996</v>
      </c>
      <c r="CQ86">
        <f t="shared" si="57"/>
        <v>0</v>
      </c>
      <c r="CR86">
        <f>(((((ET86*4))*BB86-((EU86*4))*BS86)+AE86*BS86)*AV86)</f>
        <v>0</v>
      </c>
      <c r="CS86">
        <f t="shared" si="58"/>
        <v>0</v>
      </c>
      <c r="CT86">
        <f t="shared" si="59"/>
        <v>1803.08</v>
      </c>
      <c r="CU86">
        <f t="shared" si="60"/>
        <v>0</v>
      </c>
      <c r="CV86">
        <f t="shared" si="61"/>
        <v>2.92</v>
      </c>
      <c r="CW86">
        <f t="shared" si="62"/>
        <v>0</v>
      </c>
      <c r="CX86">
        <f t="shared" si="62"/>
        <v>0</v>
      </c>
      <c r="CY86">
        <f t="shared" si="63"/>
        <v>378.64399999999995</v>
      </c>
      <c r="CZ86">
        <f t="shared" si="64"/>
        <v>54.091999999999999</v>
      </c>
      <c r="DC86" t="s">
        <v>3</v>
      </c>
      <c r="DD86" t="s">
        <v>22</v>
      </c>
      <c r="DE86" t="s">
        <v>22</v>
      </c>
      <c r="DF86" t="s">
        <v>22</v>
      </c>
      <c r="DG86" t="s">
        <v>22</v>
      </c>
      <c r="DH86" t="s">
        <v>3</v>
      </c>
      <c r="DI86" t="s">
        <v>22</v>
      </c>
      <c r="DJ86" t="s">
        <v>22</v>
      </c>
      <c r="DK86" t="s">
        <v>3</v>
      </c>
      <c r="DL86" t="s">
        <v>3</v>
      </c>
      <c r="DM86" t="s">
        <v>3</v>
      </c>
      <c r="DN86">
        <v>0</v>
      </c>
      <c r="DO86">
        <v>0</v>
      </c>
      <c r="DP86">
        <v>1</v>
      </c>
      <c r="DQ86">
        <v>1</v>
      </c>
      <c r="DU86">
        <v>16987630</v>
      </c>
      <c r="DV86" t="s">
        <v>37</v>
      </c>
      <c r="DW86" t="s">
        <v>37</v>
      </c>
      <c r="DX86">
        <v>10</v>
      </c>
      <c r="DZ86" t="s">
        <v>3</v>
      </c>
      <c r="EA86" t="s">
        <v>3</v>
      </c>
      <c r="EB86" t="s">
        <v>3</v>
      </c>
      <c r="EC86" t="s">
        <v>3</v>
      </c>
      <c r="EE86">
        <v>1441815344</v>
      </c>
      <c r="EF86">
        <v>1</v>
      </c>
      <c r="EG86" t="s">
        <v>23</v>
      </c>
      <c r="EH86">
        <v>0</v>
      </c>
      <c r="EI86" t="s">
        <v>3</v>
      </c>
      <c r="EJ86">
        <v>4</v>
      </c>
      <c r="EK86">
        <v>0</v>
      </c>
      <c r="EL86" t="s">
        <v>24</v>
      </c>
      <c r="EM86" t="s">
        <v>25</v>
      </c>
      <c r="EO86" t="s">
        <v>3</v>
      </c>
      <c r="EQ86">
        <v>1024</v>
      </c>
      <c r="ER86">
        <v>450.77</v>
      </c>
      <c r="ES86">
        <v>0</v>
      </c>
      <c r="ET86">
        <v>0</v>
      </c>
      <c r="EU86">
        <v>0</v>
      </c>
      <c r="EV86">
        <v>450.77</v>
      </c>
      <c r="EW86">
        <v>0.73</v>
      </c>
      <c r="EX86">
        <v>0</v>
      </c>
      <c r="EY86">
        <v>0</v>
      </c>
      <c r="FQ86">
        <v>0</v>
      </c>
      <c r="FR86">
        <f t="shared" si="65"/>
        <v>0</v>
      </c>
      <c r="FS86">
        <v>0</v>
      </c>
      <c r="FX86">
        <v>70</v>
      </c>
      <c r="FY86">
        <v>10</v>
      </c>
      <c r="GA86" t="s">
        <v>3</v>
      </c>
      <c r="GD86">
        <v>0</v>
      </c>
      <c r="GF86">
        <v>-265152899</v>
      </c>
      <c r="GG86">
        <v>2</v>
      </c>
      <c r="GH86">
        <v>1</v>
      </c>
      <c r="GI86">
        <v>-2</v>
      </c>
      <c r="GJ86">
        <v>0</v>
      </c>
      <c r="GK86">
        <f>ROUND(R86*(R12)/100,2)</f>
        <v>0</v>
      </c>
      <c r="GL86">
        <f t="shared" si="66"/>
        <v>0</v>
      </c>
      <c r="GM86">
        <f t="shared" si="67"/>
        <v>973.65</v>
      </c>
      <c r="GN86">
        <f t="shared" si="68"/>
        <v>0</v>
      </c>
      <c r="GO86">
        <f t="shared" si="69"/>
        <v>0</v>
      </c>
      <c r="GP86">
        <f t="shared" si="70"/>
        <v>973.65</v>
      </c>
      <c r="GR86">
        <v>0</v>
      </c>
      <c r="GS86">
        <v>3</v>
      </c>
      <c r="GT86">
        <v>0</v>
      </c>
      <c r="GU86" t="s">
        <v>3</v>
      </c>
      <c r="GV86">
        <f t="shared" si="71"/>
        <v>0</v>
      </c>
      <c r="GW86">
        <v>1</v>
      </c>
      <c r="GX86">
        <f t="shared" si="72"/>
        <v>0</v>
      </c>
      <c r="HA86">
        <v>0</v>
      </c>
      <c r="HB86">
        <v>0</v>
      </c>
      <c r="HC86">
        <f t="shared" si="73"/>
        <v>0</v>
      </c>
      <c r="HE86" t="s">
        <v>3</v>
      </c>
      <c r="HF86" t="s">
        <v>3</v>
      </c>
      <c r="HM86" t="s">
        <v>3</v>
      </c>
      <c r="HN86" t="s">
        <v>3</v>
      </c>
      <c r="HO86" t="s">
        <v>3</v>
      </c>
      <c r="HP86" t="s">
        <v>3</v>
      </c>
      <c r="HQ86" t="s">
        <v>3</v>
      </c>
      <c r="IK86">
        <v>0</v>
      </c>
    </row>
    <row r="87" spans="1:245" x14ac:dyDescent="0.2">
      <c r="A87">
        <v>19</v>
      </c>
      <c r="B87">
        <v>1</v>
      </c>
      <c r="F87" t="s">
        <v>3</v>
      </c>
      <c r="G87" t="s">
        <v>43</v>
      </c>
      <c r="H87" t="s">
        <v>3</v>
      </c>
      <c r="AA87">
        <v>1</v>
      </c>
      <c r="IK87">
        <v>0</v>
      </c>
    </row>
    <row r="88" spans="1:245" x14ac:dyDescent="0.2">
      <c r="A88">
        <v>17</v>
      </c>
      <c r="B88">
        <v>1</v>
      </c>
      <c r="D88">
        <f>ROW(EtalonRes!A32)</f>
        <v>32</v>
      </c>
      <c r="E88" t="s">
        <v>3</v>
      </c>
      <c r="F88" t="s">
        <v>102</v>
      </c>
      <c r="G88" t="s">
        <v>103</v>
      </c>
      <c r="H88" t="s">
        <v>37</v>
      </c>
      <c r="I88">
        <f>ROUND((16)/10,9)</f>
        <v>1.6</v>
      </c>
      <c r="J88">
        <v>0</v>
      </c>
      <c r="K88">
        <f>ROUND((16)/10,9)</f>
        <v>1.6</v>
      </c>
      <c r="O88">
        <f t="shared" ref="O88:O95" si="76">ROUND(CP88,2)</f>
        <v>21162.69</v>
      </c>
      <c r="P88">
        <f t="shared" ref="P88:P95" si="77">ROUND(CQ88*I88,2)</f>
        <v>0</v>
      </c>
      <c r="Q88">
        <f t="shared" ref="Q88:Q95" si="78">ROUND(CR88*I88,2)</f>
        <v>0</v>
      </c>
      <c r="R88">
        <f t="shared" ref="R88:R95" si="79">ROUND(CS88*I88,2)</f>
        <v>0</v>
      </c>
      <c r="S88">
        <f t="shared" ref="S88:S95" si="80">ROUND(CT88*I88,2)</f>
        <v>21162.69</v>
      </c>
      <c r="T88">
        <f t="shared" ref="T88:T95" si="81">ROUND(CU88*I88,2)</f>
        <v>0</v>
      </c>
      <c r="U88">
        <f t="shared" ref="U88:U95" si="82">CV88*I88</f>
        <v>34.272000000000006</v>
      </c>
      <c r="V88">
        <f t="shared" ref="V88:V95" si="83">CW88*I88</f>
        <v>0</v>
      </c>
      <c r="W88">
        <f t="shared" ref="W88:W95" si="84">ROUND(CX88*I88,2)</f>
        <v>0</v>
      </c>
      <c r="X88">
        <f t="shared" ref="X88:Y95" si="85">ROUND(CY88,2)</f>
        <v>14813.88</v>
      </c>
      <c r="Y88">
        <f t="shared" si="85"/>
        <v>2116.27</v>
      </c>
      <c r="AA88">
        <v>-1</v>
      </c>
      <c r="AB88">
        <f t="shared" ref="AB88:AB95" si="86">ROUND((AC88+AD88+AF88),6)</f>
        <v>13226.68</v>
      </c>
      <c r="AC88">
        <f>ROUND(((ES88*17)),6)</f>
        <v>0</v>
      </c>
      <c r="AD88">
        <f>ROUND(((((ET88*17))-((EU88*17)))+AE88),6)</f>
        <v>0</v>
      </c>
      <c r="AE88">
        <f t="shared" ref="AE88:AF90" si="87">ROUND(((EU88*17)),6)</f>
        <v>0</v>
      </c>
      <c r="AF88">
        <f t="shared" si="87"/>
        <v>13226.68</v>
      </c>
      <c r="AG88">
        <f t="shared" ref="AG88:AG95" si="88">ROUND((AP88),6)</f>
        <v>0</v>
      </c>
      <c r="AH88">
        <f t="shared" ref="AH88:AI90" si="89">((EW88*17))</f>
        <v>21.42</v>
      </c>
      <c r="AI88">
        <f t="shared" si="89"/>
        <v>0</v>
      </c>
      <c r="AJ88">
        <f t="shared" ref="AJ88:AJ95" si="90">(AS88)</f>
        <v>0</v>
      </c>
      <c r="AK88">
        <v>778.04</v>
      </c>
      <c r="AL88">
        <v>0</v>
      </c>
      <c r="AM88">
        <v>0</v>
      </c>
      <c r="AN88">
        <v>0</v>
      </c>
      <c r="AO88">
        <v>778.04</v>
      </c>
      <c r="AP88">
        <v>0</v>
      </c>
      <c r="AQ88">
        <v>1.26</v>
      </c>
      <c r="AR88">
        <v>0</v>
      </c>
      <c r="AS88">
        <v>0</v>
      </c>
      <c r="AT88">
        <v>70</v>
      </c>
      <c r="AU88">
        <v>10</v>
      </c>
      <c r="AV88">
        <v>1</v>
      </c>
      <c r="AW88">
        <v>1</v>
      </c>
      <c r="AZ88">
        <v>1</v>
      </c>
      <c r="BA88">
        <v>1</v>
      </c>
      <c r="BB88">
        <v>1</v>
      </c>
      <c r="BC88">
        <v>1</v>
      </c>
      <c r="BD88" t="s">
        <v>3</v>
      </c>
      <c r="BE88" t="s">
        <v>3</v>
      </c>
      <c r="BF88" t="s">
        <v>3</v>
      </c>
      <c r="BG88" t="s">
        <v>3</v>
      </c>
      <c r="BH88">
        <v>0</v>
      </c>
      <c r="BI88">
        <v>4</v>
      </c>
      <c r="BJ88" t="s">
        <v>104</v>
      </c>
      <c r="BM88">
        <v>0</v>
      </c>
      <c r="BN88">
        <v>0</v>
      </c>
      <c r="BO88" t="s">
        <v>3</v>
      </c>
      <c r="BP88">
        <v>0</v>
      </c>
      <c r="BQ88">
        <v>1</v>
      </c>
      <c r="BR88">
        <v>0</v>
      </c>
      <c r="BS88">
        <v>1</v>
      </c>
      <c r="BT88">
        <v>1</v>
      </c>
      <c r="BU88">
        <v>1</v>
      </c>
      <c r="BV88">
        <v>1</v>
      </c>
      <c r="BW88">
        <v>1</v>
      </c>
      <c r="BX88">
        <v>1</v>
      </c>
      <c r="BY88" t="s">
        <v>3</v>
      </c>
      <c r="BZ88">
        <v>70</v>
      </c>
      <c r="CA88">
        <v>10</v>
      </c>
      <c r="CB88" t="s">
        <v>3</v>
      </c>
      <c r="CE88">
        <v>0</v>
      </c>
      <c r="CF88">
        <v>0</v>
      </c>
      <c r="CG88">
        <v>0</v>
      </c>
      <c r="CM88">
        <v>0</v>
      </c>
      <c r="CN88" t="s">
        <v>3</v>
      </c>
      <c r="CO88">
        <v>0</v>
      </c>
      <c r="CP88">
        <f t="shared" ref="CP88:CP95" si="91">(P88+Q88+S88)</f>
        <v>21162.69</v>
      </c>
      <c r="CQ88">
        <f t="shared" ref="CQ88:CQ95" si="92">(AC88*BC88*AW88)</f>
        <v>0</v>
      </c>
      <c r="CR88">
        <f>(((((ET88*17))*BB88-((EU88*17))*BS88)+AE88*BS88)*AV88)</f>
        <v>0</v>
      </c>
      <c r="CS88">
        <f t="shared" ref="CS88:CS95" si="93">(AE88*BS88*AV88)</f>
        <v>0</v>
      </c>
      <c r="CT88">
        <f t="shared" ref="CT88:CT95" si="94">(AF88*BA88*AV88)</f>
        <v>13226.68</v>
      </c>
      <c r="CU88">
        <f t="shared" ref="CU88:CU95" si="95">AG88</f>
        <v>0</v>
      </c>
      <c r="CV88">
        <f t="shared" ref="CV88:CV95" si="96">(AH88*AV88)</f>
        <v>21.42</v>
      </c>
      <c r="CW88">
        <f t="shared" ref="CW88:CX95" si="97">AI88</f>
        <v>0</v>
      </c>
      <c r="CX88">
        <f t="shared" si="97"/>
        <v>0</v>
      </c>
      <c r="CY88">
        <f t="shared" ref="CY88:CY95" si="98">((S88*BZ88)/100)</f>
        <v>14813.882999999998</v>
      </c>
      <c r="CZ88">
        <f t="shared" ref="CZ88:CZ95" si="99">((S88*CA88)/100)</f>
        <v>2116.2689999999998</v>
      </c>
      <c r="DC88" t="s">
        <v>3</v>
      </c>
      <c r="DD88" t="s">
        <v>105</v>
      </c>
      <c r="DE88" t="s">
        <v>105</v>
      </c>
      <c r="DF88" t="s">
        <v>105</v>
      </c>
      <c r="DG88" t="s">
        <v>105</v>
      </c>
      <c r="DH88" t="s">
        <v>3</v>
      </c>
      <c r="DI88" t="s">
        <v>105</v>
      </c>
      <c r="DJ88" t="s">
        <v>105</v>
      </c>
      <c r="DK88" t="s">
        <v>3</v>
      </c>
      <c r="DL88" t="s">
        <v>3</v>
      </c>
      <c r="DM88" t="s">
        <v>3</v>
      </c>
      <c r="DN88">
        <v>0</v>
      </c>
      <c r="DO88">
        <v>0</v>
      </c>
      <c r="DP88">
        <v>1</v>
      </c>
      <c r="DQ88">
        <v>1</v>
      </c>
      <c r="DU88">
        <v>16987630</v>
      </c>
      <c r="DV88" t="s">
        <v>37</v>
      </c>
      <c r="DW88" t="s">
        <v>37</v>
      </c>
      <c r="DX88">
        <v>10</v>
      </c>
      <c r="DZ88" t="s">
        <v>3</v>
      </c>
      <c r="EA88" t="s">
        <v>3</v>
      </c>
      <c r="EB88" t="s">
        <v>3</v>
      </c>
      <c r="EC88" t="s">
        <v>3</v>
      </c>
      <c r="EE88">
        <v>1441815344</v>
      </c>
      <c r="EF88">
        <v>1</v>
      </c>
      <c r="EG88" t="s">
        <v>23</v>
      </c>
      <c r="EH88">
        <v>0</v>
      </c>
      <c r="EI88" t="s">
        <v>3</v>
      </c>
      <c r="EJ88">
        <v>4</v>
      </c>
      <c r="EK88">
        <v>0</v>
      </c>
      <c r="EL88" t="s">
        <v>24</v>
      </c>
      <c r="EM88" t="s">
        <v>25</v>
      </c>
      <c r="EO88" t="s">
        <v>3</v>
      </c>
      <c r="EQ88">
        <v>1024</v>
      </c>
      <c r="ER88">
        <v>778.04</v>
      </c>
      <c r="ES88">
        <v>0</v>
      </c>
      <c r="ET88">
        <v>0</v>
      </c>
      <c r="EU88">
        <v>0</v>
      </c>
      <c r="EV88">
        <v>778.04</v>
      </c>
      <c r="EW88">
        <v>1.26</v>
      </c>
      <c r="EX88">
        <v>0</v>
      </c>
      <c r="EY88">
        <v>0</v>
      </c>
      <c r="FQ88">
        <v>0</v>
      </c>
      <c r="FR88">
        <f t="shared" ref="FR88:FR95" si="100">ROUND(IF(BI88=3,GM88,0),2)</f>
        <v>0</v>
      </c>
      <c r="FS88">
        <v>0</v>
      </c>
      <c r="FX88">
        <v>70</v>
      </c>
      <c r="FY88">
        <v>10</v>
      </c>
      <c r="GA88" t="s">
        <v>3</v>
      </c>
      <c r="GD88">
        <v>0</v>
      </c>
      <c r="GF88">
        <v>1084928283</v>
      </c>
      <c r="GG88">
        <v>2</v>
      </c>
      <c r="GH88">
        <v>1</v>
      </c>
      <c r="GI88">
        <v>-2</v>
      </c>
      <c r="GJ88">
        <v>0</v>
      </c>
      <c r="GK88">
        <f>ROUND(R88*(R12)/100,2)</f>
        <v>0</v>
      </c>
      <c r="GL88">
        <f t="shared" ref="GL88:GL95" si="101">ROUND(IF(AND(BH88=3,BI88=3,FS88&lt;&gt;0),P88,0),2)</f>
        <v>0</v>
      </c>
      <c r="GM88">
        <f t="shared" ref="GM88:GM95" si="102">ROUND(O88+X88+Y88+GK88,2)+GX88</f>
        <v>38092.839999999997</v>
      </c>
      <c r="GN88">
        <f t="shared" ref="GN88:GN95" si="103">IF(OR(BI88=0,BI88=1),GM88-GX88,0)</f>
        <v>0</v>
      </c>
      <c r="GO88">
        <f t="shared" ref="GO88:GO95" si="104">IF(BI88=2,GM88-GX88,0)</f>
        <v>0</v>
      </c>
      <c r="GP88">
        <f t="shared" ref="GP88:GP95" si="105">IF(BI88=4,GM88-GX88,0)</f>
        <v>38092.839999999997</v>
      </c>
      <c r="GR88">
        <v>0</v>
      </c>
      <c r="GS88">
        <v>3</v>
      </c>
      <c r="GT88">
        <v>0</v>
      </c>
      <c r="GU88" t="s">
        <v>3</v>
      </c>
      <c r="GV88">
        <f t="shared" ref="GV88:GV95" si="106">ROUND((GT88),6)</f>
        <v>0</v>
      </c>
      <c r="GW88">
        <v>1</v>
      </c>
      <c r="GX88">
        <f t="shared" ref="GX88:GX95" si="107">ROUND(HC88*I88,2)</f>
        <v>0</v>
      </c>
      <c r="HA88">
        <v>0</v>
      </c>
      <c r="HB88">
        <v>0</v>
      </c>
      <c r="HC88">
        <f t="shared" ref="HC88:HC95" si="108">GV88*GW88</f>
        <v>0</v>
      </c>
      <c r="HE88" t="s">
        <v>3</v>
      </c>
      <c r="HF88" t="s">
        <v>3</v>
      </c>
      <c r="HM88" t="s">
        <v>3</v>
      </c>
      <c r="HN88" t="s">
        <v>3</v>
      </c>
      <c r="HO88" t="s">
        <v>3</v>
      </c>
      <c r="HP88" t="s">
        <v>3</v>
      </c>
      <c r="HQ88" t="s">
        <v>3</v>
      </c>
      <c r="IK88">
        <v>0</v>
      </c>
    </row>
    <row r="89" spans="1:245" x14ac:dyDescent="0.2">
      <c r="A89">
        <v>17</v>
      </c>
      <c r="B89">
        <v>1</v>
      </c>
      <c r="D89">
        <f>ROW(EtalonRes!A33)</f>
        <v>33</v>
      </c>
      <c r="E89" t="s">
        <v>3</v>
      </c>
      <c r="F89" t="s">
        <v>106</v>
      </c>
      <c r="G89" t="s">
        <v>132</v>
      </c>
      <c r="H89" t="s">
        <v>37</v>
      </c>
      <c r="I89">
        <f>ROUND((2)/10,9)</f>
        <v>0.2</v>
      </c>
      <c r="J89">
        <v>0</v>
      </c>
      <c r="K89">
        <f>ROUND((2)/10,9)</f>
        <v>0.2</v>
      </c>
      <c r="O89">
        <f t="shared" si="76"/>
        <v>482.87</v>
      </c>
      <c r="P89">
        <f t="shared" si="77"/>
        <v>0</v>
      </c>
      <c r="Q89">
        <f t="shared" si="78"/>
        <v>0</v>
      </c>
      <c r="R89">
        <f t="shared" si="79"/>
        <v>0</v>
      </c>
      <c r="S89">
        <f t="shared" si="80"/>
        <v>482.87</v>
      </c>
      <c r="T89">
        <f t="shared" si="81"/>
        <v>0</v>
      </c>
      <c r="U89">
        <f t="shared" si="82"/>
        <v>0.78200000000000003</v>
      </c>
      <c r="V89">
        <f t="shared" si="83"/>
        <v>0</v>
      </c>
      <c r="W89">
        <f t="shared" si="84"/>
        <v>0</v>
      </c>
      <c r="X89">
        <f t="shared" si="85"/>
        <v>338.01</v>
      </c>
      <c r="Y89">
        <f t="shared" si="85"/>
        <v>48.29</v>
      </c>
      <c r="AA89">
        <v>-1</v>
      </c>
      <c r="AB89">
        <f t="shared" si="86"/>
        <v>2414.34</v>
      </c>
      <c r="AC89">
        <f>ROUND(((ES89*17)),6)</f>
        <v>0</v>
      </c>
      <c r="AD89">
        <f>ROUND(((((ET89*17))-((EU89*17)))+AE89),6)</f>
        <v>0</v>
      </c>
      <c r="AE89">
        <f t="shared" si="87"/>
        <v>0</v>
      </c>
      <c r="AF89">
        <f t="shared" si="87"/>
        <v>2414.34</v>
      </c>
      <c r="AG89">
        <f t="shared" si="88"/>
        <v>0</v>
      </c>
      <c r="AH89">
        <f t="shared" si="89"/>
        <v>3.91</v>
      </c>
      <c r="AI89">
        <f t="shared" si="89"/>
        <v>0</v>
      </c>
      <c r="AJ89">
        <f t="shared" si="90"/>
        <v>0</v>
      </c>
      <c r="AK89">
        <v>142.02000000000001</v>
      </c>
      <c r="AL89">
        <v>0</v>
      </c>
      <c r="AM89">
        <v>0</v>
      </c>
      <c r="AN89">
        <v>0</v>
      </c>
      <c r="AO89">
        <v>142.02000000000001</v>
      </c>
      <c r="AP89">
        <v>0</v>
      </c>
      <c r="AQ89">
        <v>0.23</v>
      </c>
      <c r="AR89">
        <v>0</v>
      </c>
      <c r="AS89">
        <v>0</v>
      </c>
      <c r="AT89">
        <v>70</v>
      </c>
      <c r="AU89">
        <v>10</v>
      </c>
      <c r="AV89">
        <v>1</v>
      </c>
      <c r="AW89">
        <v>1</v>
      </c>
      <c r="AZ89">
        <v>1</v>
      </c>
      <c r="BA89">
        <v>1</v>
      </c>
      <c r="BB89">
        <v>1</v>
      </c>
      <c r="BC89">
        <v>1</v>
      </c>
      <c r="BD89" t="s">
        <v>3</v>
      </c>
      <c r="BE89" t="s">
        <v>3</v>
      </c>
      <c r="BF89" t="s">
        <v>3</v>
      </c>
      <c r="BG89" t="s">
        <v>3</v>
      </c>
      <c r="BH89">
        <v>0</v>
      </c>
      <c r="BI89">
        <v>4</v>
      </c>
      <c r="BJ89" t="s">
        <v>108</v>
      </c>
      <c r="BM89">
        <v>0</v>
      </c>
      <c r="BN89">
        <v>0</v>
      </c>
      <c r="BO89" t="s">
        <v>3</v>
      </c>
      <c r="BP89">
        <v>0</v>
      </c>
      <c r="BQ89">
        <v>1</v>
      </c>
      <c r="BR89">
        <v>0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3</v>
      </c>
      <c r="BZ89">
        <v>70</v>
      </c>
      <c r="CA89">
        <v>10</v>
      </c>
      <c r="CB89" t="s">
        <v>3</v>
      </c>
      <c r="CE89">
        <v>0</v>
      </c>
      <c r="CF89">
        <v>0</v>
      </c>
      <c r="CG89">
        <v>0</v>
      </c>
      <c r="CM89">
        <v>0</v>
      </c>
      <c r="CN89" t="s">
        <v>3</v>
      </c>
      <c r="CO89">
        <v>0</v>
      </c>
      <c r="CP89">
        <f t="shared" si="91"/>
        <v>482.87</v>
      </c>
      <c r="CQ89">
        <f t="shared" si="92"/>
        <v>0</v>
      </c>
      <c r="CR89">
        <f>(((((ET89*17))*BB89-((EU89*17))*BS89)+AE89*BS89)*AV89)</f>
        <v>0</v>
      </c>
      <c r="CS89">
        <f t="shared" si="93"/>
        <v>0</v>
      </c>
      <c r="CT89">
        <f t="shared" si="94"/>
        <v>2414.34</v>
      </c>
      <c r="CU89">
        <f t="shared" si="95"/>
        <v>0</v>
      </c>
      <c r="CV89">
        <f t="shared" si="96"/>
        <v>3.91</v>
      </c>
      <c r="CW89">
        <f t="shared" si="97"/>
        <v>0</v>
      </c>
      <c r="CX89">
        <f t="shared" si="97"/>
        <v>0</v>
      </c>
      <c r="CY89">
        <f t="shared" si="98"/>
        <v>338.00900000000001</v>
      </c>
      <c r="CZ89">
        <f t="shared" si="99"/>
        <v>48.286999999999999</v>
      </c>
      <c r="DC89" t="s">
        <v>3</v>
      </c>
      <c r="DD89" t="s">
        <v>105</v>
      </c>
      <c r="DE89" t="s">
        <v>105</v>
      </c>
      <c r="DF89" t="s">
        <v>105</v>
      </c>
      <c r="DG89" t="s">
        <v>105</v>
      </c>
      <c r="DH89" t="s">
        <v>3</v>
      </c>
      <c r="DI89" t="s">
        <v>105</v>
      </c>
      <c r="DJ89" t="s">
        <v>105</v>
      </c>
      <c r="DK89" t="s">
        <v>3</v>
      </c>
      <c r="DL89" t="s">
        <v>3</v>
      </c>
      <c r="DM89" t="s">
        <v>3</v>
      </c>
      <c r="DN89">
        <v>0</v>
      </c>
      <c r="DO89">
        <v>0</v>
      </c>
      <c r="DP89">
        <v>1</v>
      </c>
      <c r="DQ89">
        <v>1</v>
      </c>
      <c r="DU89">
        <v>16987630</v>
      </c>
      <c r="DV89" t="s">
        <v>37</v>
      </c>
      <c r="DW89" t="s">
        <v>37</v>
      </c>
      <c r="DX89">
        <v>10</v>
      </c>
      <c r="DZ89" t="s">
        <v>3</v>
      </c>
      <c r="EA89" t="s">
        <v>3</v>
      </c>
      <c r="EB89" t="s">
        <v>3</v>
      </c>
      <c r="EC89" t="s">
        <v>3</v>
      </c>
      <c r="EE89">
        <v>1441815344</v>
      </c>
      <c r="EF89">
        <v>1</v>
      </c>
      <c r="EG89" t="s">
        <v>23</v>
      </c>
      <c r="EH89">
        <v>0</v>
      </c>
      <c r="EI89" t="s">
        <v>3</v>
      </c>
      <c r="EJ89">
        <v>4</v>
      </c>
      <c r="EK89">
        <v>0</v>
      </c>
      <c r="EL89" t="s">
        <v>24</v>
      </c>
      <c r="EM89" t="s">
        <v>25</v>
      </c>
      <c r="EO89" t="s">
        <v>3</v>
      </c>
      <c r="EQ89">
        <v>1024</v>
      </c>
      <c r="ER89">
        <v>142.02000000000001</v>
      </c>
      <c r="ES89">
        <v>0</v>
      </c>
      <c r="ET89">
        <v>0</v>
      </c>
      <c r="EU89">
        <v>0</v>
      </c>
      <c r="EV89">
        <v>142.02000000000001</v>
      </c>
      <c r="EW89">
        <v>0.23</v>
      </c>
      <c r="EX89">
        <v>0</v>
      </c>
      <c r="EY89">
        <v>0</v>
      </c>
      <c r="FQ89">
        <v>0</v>
      </c>
      <c r="FR89">
        <f t="shared" si="100"/>
        <v>0</v>
      </c>
      <c r="FS89">
        <v>0</v>
      </c>
      <c r="FX89">
        <v>70</v>
      </c>
      <c r="FY89">
        <v>10</v>
      </c>
      <c r="GA89" t="s">
        <v>3</v>
      </c>
      <c r="GD89">
        <v>0</v>
      </c>
      <c r="GF89">
        <v>1349611776</v>
      </c>
      <c r="GG89">
        <v>2</v>
      </c>
      <c r="GH89">
        <v>1</v>
      </c>
      <c r="GI89">
        <v>-2</v>
      </c>
      <c r="GJ89">
        <v>0</v>
      </c>
      <c r="GK89">
        <f>ROUND(R89*(R12)/100,2)</f>
        <v>0</v>
      </c>
      <c r="GL89">
        <f t="shared" si="101"/>
        <v>0</v>
      </c>
      <c r="GM89">
        <f t="shared" si="102"/>
        <v>869.17</v>
      </c>
      <c r="GN89">
        <f t="shared" si="103"/>
        <v>0</v>
      </c>
      <c r="GO89">
        <f t="shared" si="104"/>
        <v>0</v>
      </c>
      <c r="GP89">
        <f t="shared" si="105"/>
        <v>869.17</v>
      </c>
      <c r="GR89">
        <v>0</v>
      </c>
      <c r="GS89">
        <v>3</v>
      </c>
      <c r="GT89">
        <v>0</v>
      </c>
      <c r="GU89" t="s">
        <v>3</v>
      </c>
      <c r="GV89">
        <f t="shared" si="106"/>
        <v>0</v>
      </c>
      <c r="GW89">
        <v>1</v>
      </c>
      <c r="GX89">
        <f t="shared" si="107"/>
        <v>0</v>
      </c>
      <c r="HA89">
        <v>0</v>
      </c>
      <c r="HB89">
        <v>0</v>
      </c>
      <c r="HC89">
        <f t="shared" si="108"/>
        <v>0</v>
      </c>
      <c r="HE89" t="s">
        <v>3</v>
      </c>
      <c r="HF89" t="s">
        <v>3</v>
      </c>
      <c r="HM89" t="s">
        <v>3</v>
      </c>
      <c r="HN89" t="s">
        <v>3</v>
      </c>
      <c r="HO89" t="s">
        <v>3</v>
      </c>
      <c r="HP89" t="s">
        <v>3</v>
      </c>
      <c r="HQ89" t="s">
        <v>3</v>
      </c>
      <c r="IK89">
        <v>0</v>
      </c>
    </row>
    <row r="90" spans="1:245" x14ac:dyDescent="0.2">
      <c r="A90">
        <v>17</v>
      </c>
      <c r="B90">
        <v>1</v>
      </c>
      <c r="D90">
        <f>ROW(EtalonRes!A34)</f>
        <v>34</v>
      </c>
      <c r="E90" t="s">
        <v>3</v>
      </c>
      <c r="F90" t="s">
        <v>106</v>
      </c>
      <c r="G90" t="s">
        <v>133</v>
      </c>
      <c r="H90" t="s">
        <v>37</v>
      </c>
      <c r="I90">
        <f>ROUND(4/10,9)</f>
        <v>0.4</v>
      </c>
      <c r="J90">
        <v>0</v>
      </c>
      <c r="K90">
        <f>ROUND(4/10,9)</f>
        <v>0.4</v>
      </c>
      <c r="O90">
        <f t="shared" si="76"/>
        <v>965.74</v>
      </c>
      <c r="P90">
        <f t="shared" si="77"/>
        <v>0</v>
      </c>
      <c r="Q90">
        <f t="shared" si="78"/>
        <v>0</v>
      </c>
      <c r="R90">
        <f t="shared" si="79"/>
        <v>0</v>
      </c>
      <c r="S90">
        <f t="shared" si="80"/>
        <v>965.74</v>
      </c>
      <c r="T90">
        <f t="shared" si="81"/>
        <v>0</v>
      </c>
      <c r="U90">
        <f t="shared" si="82"/>
        <v>1.5640000000000001</v>
      </c>
      <c r="V90">
        <f t="shared" si="83"/>
        <v>0</v>
      </c>
      <c r="W90">
        <f t="shared" si="84"/>
        <v>0</v>
      </c>
      <c r="X90">
        <f t="shared" si="85"/>
        <v>676.02</v>
      </c>
      <c r="Y90">
        <f t="shared" si="85"/>
        <v>96.57</v>
      </c>
      <c r="AA90">
        <v>-1</v>
      </c>
      <c r="AB90">
        <f t="shared" si="86"/>
        <v>2414.34</v>
      </c>
      <c r="AC90">
        <f>ROUND(((ES90*17)),6)</f>
        <v>0</v>
      </c>
      <c r="AD90">
        <f>ROUND(((((ET90*17))-((EU90*17)))+AE90),6)</f>
        <v>0</v>
      </c>
      <c r="AE90">
        <f t="shared" si="87"/>
        <v>0</v>
      </c>
      <c r="AF90">
        <f t="shared" si="87"/>
        <v>2414.34</v>
      </c>
      <c r="AG90">
        <f t="shared" si="88"/>
        <v>0</v>
      </c>
      <c r="AH90">
        <f t="shared" si="89"/>
        <v>3.91</v>
      </c>
      <c r="AI90">
        <f t="shared" si="89"/>
        <v>0</v>
      </c>
      <c r="AJ90">
        <f t="shared" si="90"/>
        <v>0</v>
      </c>
      <c r="AK90">
        <v>142.02000000000001</v>
      </c>
      <c r="AL90">
        <v>0</v>
      </c>
      <c r="AM90">
        <v>0</v>
      </c>
      <c r="AN90">
        <v>0</v>
      </c>
      <c r="AO90">
        <v>142.02000000000001</v>
      </c>
      <c r="AP90">
        <v>0</v>
      </c>
      <c r="AQ90">
        <v>0.23</v>
      </c>
      <c r="AR90">
        <v>0</v>
      </c>
      <c r="AS90">
        <v>0</v>
      </c>
      <c r="AT90">
        <v>70</v>
      </c>
      <c r="AU90">
        <v>10</v>
      </c>
      <c r="AV90">
        <v>1</v>
      </c>
      <c r="AW90">
        <v>1</v>
      </c>
      <c r="AZ90">
        <v>1</v>
      </c>
      <c r="BA90">
        <v>1</v>
      </c>
      <c r="BB90">
        <v>1</v>
      </c>
      <c r="BC90">
        <v>1</v>
      </c>
      <c r="BD90" t="s">
        <v>3</v>
      </c>
      <c r="BE90" t="s">
        <v>3</v>
      </c>
      <c r="BF90" t="s">
        <v>3</v>
      </c>
      <c r="BG90" t="s">
        <v>3</v>
      </c>
      <c r="BH90">
        <v>0</v>
      </c>
      <c r="BI90">
        <v>4</v>
      </c>
      <c r="BJ90" t="s">
        <v>108</v>
      </c>
      <c r="BM90">
        <v>0</v>
      </c>
      <c r="BN90">
        <v>0</v>
      </c>
      <c r="BO90" t="s">
        <v>3</v>
      </c>
      <c r="BP90">
        <v>0</v>
      </c>
      <c r="BQ90">
        <v>1</v>
      </c>
      <c r="BR90">
        <v>0</v>
      </c>
      <c r="BS90">
        <v>1</v>
      </c>
      <c r="BT90">
        <v>1</v>
      </c>
      <c r="BU90">
        <v>1</v>
      </c>
      <c r="BV90">
        <v>1</v>
      </c>
      <c r="BW90">
        <v>1</v>
      </c>
      <c r="BX90">
        <v>1</v>
      </c>
      <c r="BY90" t="s">
        <v>3</v>
      </c>
      <c r="BZ90">
        <v>70</v>
      </c>
      <c r="CA90">
        <v>10</v>
      </c>
      <c r="CB90" t="s">
        <v>3</v>
      </c>
      <c r="CE90">
        <v>0</v>
      </c>
      <c r="CF90">
        <v>0</v>
      </c>
      <c r="CG90">
        <v>0</v>
      </c>
      <c r="CM90">
        <v>0</v>
      </c>
      <c r="CN90" t="s">
        <v>3</v>
      </c>
      <c r="CO90">
        <v>0</v>
      </c>
      <c r="CP90">
        <f t="shared" si="91"/>
        <v>965.74</v>
      </c>
      <c r="CQ90">
        <f t="shared" si="92"/>
        <v>0</v>
      </c>
      <c r="CR90">
        <f>(((((ET90*17))*BB90-((EU90*17))*BS90)+AE90*BS90)*AV90)</f>
        <v>0</v>
      </c>
      <c r="CS90">
        <f t="shared" si="93"/>
        <v>0</v>
      </c>
      <c r="CT90">
        <f t="shared" si="94"/>
        <v>2414.34</v>
      </c>
      <c r="CU90">
        <f t="shared" si="95"/>
        <v>0</v>
      </c>
      <c r="CV90">
        <f t="shared" si="96"/>
        <v>3.91</v>
      </c>
      <c r="CW90">
        <f t="shared" si="97"/>
        <v>0</v>
      </c>
      <c r="CX90">
        <f t="shared" si="97"/>
        <v>0</v>
      </c>
      <c r="CY90">
        <f t="shared" si="98"/>
        <v>676.01800000000003</v>
      </c>
      <c r="CZ90">
        <f t="shared" si="99"/>
        <v>96.573999999999998</v>
      </c>
      <c r="DC90" t="s">
        <v>3</v>
      </c>
      <c r="DD90" t="s">
        <v>105</v>
      </c>
      <c r="DE90" t="s">
        <v>105</v>
      </c>
      <c r="DF90" t="s">
        <v>105</v>
      </c>
      <c r="DG90" t="s">
        <v>105</v>
      </c>
      <c r="DH90" t="s">
        <v>3</v>
      </c>
      <c r="DI90" t="s">
        <v>105</v>
      </c>
      <c r="DJ90" t="s">
        <v>105</v>
      </c>
      <c r="DK90" t="s">
        <v>3</v>
      </c>
      <c r="DL90" t="s">
        <v>3</v>
      </c>
      <c r="DM90" t="s">
        <v>3</v>
      </c>
      <c r="DN90">
        <v>0</v>
      </c>
      <c r="DO90">
        <v>0</v>
      </c>
      <c r="DP90">
        <v>1</v>
      </c>
      <c r="DQ90">
        <v>1</v>
      </c>
      <c r="DU90">
        <v>16987630</v>
      </c>
      <c r="DV90" t="s">
        <v>37</v>
      </c>
      <c r="DW90" t="s">
        <v>37</v>
      </c>
      <c r="DX90">
        <v>10</v>
      </c>
      <c r="DZ90" t="s">
        <v>3</v>
      </c>
      <c r="EA90" t="s">
        <v>3</v>
      </c>
      <c r="EB90" t="s">
        <v>3</v>
      </c>
      <c r="EC90" t="s">
        <v>3</v>
      </c>
      <c r="EE90">
        <v>1441815344</v>
      </c>
      <c r="EF90">
        <v>1</v>
      </c>
      <c r="EG90" t="s">
        <v>23</v>
      </c>
      <c r="EH90">
        <v>0</v>
      </c>
      <c r="EI90" t="s">
        <v>3</v>
      </c>
      <c r="EJ90">
        <v>4</v>
      </c>
      <c r="EK90">
        <v>0</v>
      </c>
      <c r="EL90" t="s">
        <v>24</v>
      </c>
      <c r="EM90" t="s">
        <v>25</v>
      </c>
      <c r="EO90" t="s">
        <v>3</v>
      </c>
      <c r="EQ90">
        <v>1024</v>
      </c>
      <c r="ER90">
        <v>142.02000000000001</v>
      </c>
      <c r="ES90">
        <v>0</v>
      </c>
      <c r="ET90">
        <v>0</v>
      </c>
      <c r="EU90">
        <v>0</v>
      </c>
      <c r="EV90">
        <v>142.02000000000001</v>
      </c>
      <c r="EW90">
        <v>0.23</v>
      </c>
      <c r="EX90">
        <v>0</v>
      </c>
      <c r="EY90">
        <v>0</v>
      </c>
      <c r="FQ90">
        <v>0</v>
      </c>
      <c r="FR90">
        <f t="shared" si="100"/>
        <v>0</v>
      </c>
      <c r="FS90">
        <v>0</v>
      </c>
      <c r="FX90">
        <v>70</v>
      </c>
      <c r="FY90">
        <v>10</v>
      </c>
      <c r="GA90" t="s">
        <v>3</v>
      </c>
      <c r="GD90">
        <v>0</v>
      </c>
      <c r="GF90">
        <v>-1574517107</v>
      </c>
      <c r="GG90">
        <v>2</v>
      </c>
      <c r="GH90">
        <v>1</v>
      </c>
      <c r="GI90">
        <v>-2</v>
      </c>
      <c r="GJ90">
        <v>0</v>
      </c>
      <c r="GK90">
        <f>ROUND(R90*(R12)/100,2)</f>
        <v>0</v>
      </c>
      <c r="GL90">
        <f t="shared" si="101"/>
        <v>0</v>
      </c>
      <c r="GM90">
        <f t="shared" si="102"/>
        <v>1738.33</v>
      </c>
      <c r="GN90">
        <f t="shared" si="103"/>
        <v>0</v>
      </c>
      <c r="GO90">
        <f t="shared" si="104"/>
        <v>0</v>
      </c>
      <c r="GP90">
        <f t="shared" si="105"/>
        <v>1738.33</v>
      </c>
      <c r="GR90">
        <v>0</v>
      </c>
      <c r="GS90">
        <v>3</v>
      </c>
      <c r="GT90">
        <v>0</v>
      </c>
      <c r="GU90" t="s">
        <v>3</v>
      </c>
      <c r="GV90">
        <f t="shared" si="106"/>
        <v>0</v>
      </c>
      <c r="GW90">
        <v>1</v>
      </c>
      <c r="GX90">
        <f t="shared" si="107"/>
        <v>0</v>
      </c>
      <c r="HA90">
        <v>0</v>
      </c>
      <c r="HB90">
        <v>0</v>
      </c>
      <c r="HC90">
        <f t="shared" si="108"/>
        <v>0</v>
      </c>
      <c r="HE90" t="s">
        <v>3</v>
      </c>
      <c r="HF90" t="s">
        <v>3</v>
      </c>
      <c r="HM90" t="s">
        <v>3</v>
      </c>
      <c r="HN90" t="s">
        <v>3</v>
      </c>
      <c r="HO90" t="s">
        <v>3</v>
      </c>
      <c r="HP90" t="s">
        <v>3</v>
      </c>
      <c r="HQ90" t="s">
        <v>3</v>
      </c>
      <c r="IK90">
        <v>0</v>
      </c>
    </row>
    <row r="91" spans="1:245" x14ac:dyDescent="0.2">
      <c r="A91">
        <v>17</v>
      </c>
      <c r="B91">
        <v>1</v>
      </c>
      <c r="D91">
        <f>ROW(EtalonRes!A39)</f>
        <v>39</v>
      </c>
      <c r="E91" t="s">
        <v>134</v>
      </c>
      <c r="F91" t="s">
        <v>110</v>
      </c>
      <c r="G91" t="s">
        <v>111</v>
      </c>
      <c r="H91" t="s">
        <v>112</v>
      </c>
      <c r="I91">
        <f>ROUND(18/100,9)</f>
        <v>0.18</v>
      </c>
      <c r="J91">
        <v>0</v>
      </c>
      <c r="K91">
        <f>ROUND(18/100,9)</f>
        <v>0.18</v>
      </c>
      <c r="O91">
        <f t="shared" si="76"/>
        <v>9679.2800000000007</v>
      </c>
      <c r="P91">
        <f t="shared" si="77"/>
        <v>139.78</v>
      </c>
      <c r="Q91">
        <f t="shared" si="78"/>
        <v>11.13</v>
      </c>
      <c r="R91">
        <f t="shared" si="79"/>
        <v>0.13</v>
      </c>
      <c r="S91">
        <f t="shared" si="80"/>
        <v>9528.3700000000008</v>
      </c>
      <c r="T91">
        <f t="shared" si="81"/>
        <v>0</v>
      </c>
      <c r="U91">
        <f t="shared" si="82"/>
        <v>18.799199999999999</v>
      </c>
      <c r="V91">
        <f t="shared" si="83"/>
        <v>0</v>
      </c>
      <c r="W91">
        <f t="shared" si="84"/>
        <v>0</v>
      </c>
      <c r="X91">
        <f t="shared" si="85"/>
        <v>6669.86</v>
      </c>
      <c r="Y91">
        <f t="shared" si="85"/>
        <v>952.84</v>
      </c>
      <c r="AA91">
        <v>1472224561</v>
      </c>
      <c r="AB91">
        <f t="shared" si="86"/>
        <v>53773.79</v>
      </c>
      <c r="AC91">
        <f>ROUND((ES91),6)</f>
        <v>776.55</v>
      </c>
      <c r="AD91">
        <f>ROUND((((ET91)-(EU91))+AE91),6)</f>
        <v>61.83</v>
      </c>
      <c r="AE91">
        <f t="shared" ref="AE91:AF94" si="109">ROUND((EU91),6)</f>
        <v>0.7</v>
      </c>
      <c r="AF91">
        <f t="shared" si="109"/>
        <v>52935.41</v>
      </c>
      <c r="AG91">
        <f t="shared" si="88"/>
        <v>0</v>
      </c>
      <c r="AH91">
        <f t="shared" ref="AH91:AI94" si="110">(EW91)</f>
        <v>104.44</v>
      </c>
      <c r="AI91">
        <f t="shared" si="110"/>
        <v>0</v>
      </c>
      <c r="AJ91">
        <f t="shared" si="90"/>
        <v>0</v>
      </c>
      <c r="AK91">
        <v>53773.79</v>
      </c>
      <c r="AL91">
        <v>776.55</v>
      </c>
      <c r="AM91">
        <v>61.83</v>
      </c>
      <c r="AN91">
        <v>0.7</v>
      </c>
      <c r="AO91">
        <v>52935.41</v>
      </c>
      <c r="AP91">
        <v>0</v>
      </c>
      <c r="AQ91">
        <v>104.44</v>
      </c>
      <c r="AR91">
        <v>0</v>
      </c>
      <c r="AS91">
        <v>0</v>
      </c>
      <c r="AT91">
        <v>70</v>
      </c>
      <c r="AU91">
        <v>10</v>
      </c>
      <c r="AV91">
        <v>1</v>
      </c>
      <c r="AW91">
        <v>1</v>
      </c>
      <c r="AZ91">
        <v>1</v>
      </c>
      <c r="BA91">
        <v>1</v>
      </c>
      <c r="BB91">
        <v>1</v>
      </c>
      <c r="BC91">
        <v>1</v>
      </c>
      <c r="BD91" t="s">
        <v>3</v>
      </c>
      <c r="BE91" t="s">
        <v>3</v>
      </c>
      <c r="BF91" t="s">
        <v>3</v>
      </c>
      <c r="BG91" t="s">
        <v>3</v>
      </c>
      <c r="BH91">
        <v>0</v>
      </c>
      <c r="BI91">
        <v>4</v>
      </c>
      <c r="BJ91" t="s">
        <v>113</v>
      </c>
      <c r="BM91">
        <v>0</v>
      </c>
      <c r="BN91">
        <v>0</v>
      </c>
      <c r="BO91" t="s">
        <v>3</v>
      </c>
      <c r="BP91">
        <v>0</v>
      </c>
      <c r="BQ91">
        <v>1</v>
      </c>
      <c r="BR91">
        <v>0</v>
      </c>
      <c r="BS91">
        <v>1</v>
      </c>
      <c r="BT91">
        <v>1</v>
      </c>
      <c r="BU91">
        <v>1</v>
      </c>
      <c r="BV91">
        <v>1</v>
      </c>
      <c r="BW91">
        <v>1</v>
      </c>
      <c r="BX91">
        <v>1</v>
      </c>
      <c r="BY91" t="s">
        <v>3</v>
      </c>
      <c r="BZ91">
        <v>70</v>
      </c>
      <c r="CA91">
        <v>10</v>
      </c>
      <c r="CB91" t="s">
        <v>3</v>
      </c>
      <c r="CE91">
        <v>0</v>
      </c>
      <c r="CF91">
        <v>0</v>
      </c>
      <c r="CG91">
        <v>0</v>
      </c>
      <c r="CM91">
        <v>0</v>
      </c>
      <c r="CN91" t="s">
        <v>3</v>
      </c>
      <c r="CO91">
        <v>0</v>
      </c>
      <c r="CP91">
        <f t="shared" si="91"/>
        <v>9679.2800000000007</v>
      </c>
      <c r="CQ91">
        <f t="shared" si="92"/>
        <v>776.55</v>
      </c>
      <c r="CR91">
        <f>((((ET91)*BB91-(EU91)*BS91)+AE91*BS91)*AV91)</f>
        <v>61.83</v>
      </c>
      <c r="CS91">
        <f t="shared" si="93"/>
        <v>0.7</v>
      </c>
      <c r="CT91">
        <f t="shared" si="94"/>
        <v>52935.41</v>
      </c>
      <c r="CU91">
        <f t="shared" si="95"/>
        <v>0</v>
      </c>
      <c r="CV91">
        <f t="shared" si="96"/>
        <v>104.44</v>
      </c>
      <c r="CW91">
        <f t="shared" si="97"/>
        <v>0</v>
      </c>
      <c r="CX91">
        <f t="shared" si="97"/>
        <v>0</v>
      </c>
      <c r="CY91">
        <f t="shared" si="98"/>
        <v>6669.8590000000004</v>
      </c>
      <c r="CZ91">
        <f t="shared" si="99"/>
        <v>952.8370000000001</v>
      </c>
      <c r="DC91" t="s">
        <v>3</v>
      </c>
      <c r="DD91" t="s">
        <v>3</v>
      </c>
      <c r="DE91" t="s">
        <v>3</v>
      </c>
      <c r="DF91" t="s">
        <v>3</v>
      </c>
      <c r="DG91" t="s">
        <v>3</v>
      </c>
      <c r="DH91" t="s">
        <v>3</v>
      </c>
      <c r="DI91" t="s">
        <v>3</v>
      </c>
      <c r="DJ91" t="s">
        <v>3</v>
      </c>
      <c r="DK91" t="s">
        <v>3</v>
      </c>
      <c r="DL91" t="s">
        <v>3</v>
      </c>
      <c r="DM91" t="s">
        <v>3</v>
      </c>
      <c r="DN91">
        <v>0</v>
      </c>
      <c r="DO91">
        <v>0</v>
      </c>
      <c r="DP91">
        <v>1</v>
      </c>
      <c r="DQ91">
        <v>1</v>
      </c>
      <c r="DU91">
        <v>16987630</v>
      </c>
      <c r="DV91" t="s">
        <v>112</v>
      </c>
      <c r="DW91" t="s">
        <v>112</v>
      </c>
      <c r="DX91">
        <v>100</v>
      </c>
      <c r="DZ91" t="s">
        <v>3</v>
      </c>
      <c r="EA91" t="s">
        <v>3</v>
      </c>
      <c r="EB91" t="s">
        <v>3</v>
      </c>
      <c r="EC91" t="s">
        <v>3</v>
      </c>
      <c r="EE91">
        <v>1441815344</v>
      </c>
      <c r="EF91">
        <v>1</v>
      </c>
      <c r="EG91" t="s">
        <v>23</v>
      </c>
      <c r="EH91">
        <v>0</v>
      </c>
      <c r="EI91" t="s">
        <v>3</v>
      </c>
      <c r="EJ91">
        <v>4</v>
      </c>
      <c r="EK91">
        <v>0</v>
      </c>
      <c r="EL91" t="s">
        <v>24</v>
      </c>
      <c r="EM91" t="s">
        <v>25</v>
      </c>
      <c r="EO91" t="s">
        <v>3</v>
      </c>
      <c r="EQ91">
        <v>0</v>
      </c>
      <c r="ER91">
        <v>53773.79</v>
      </c>
      <c r="ES91">
        <v>776.55</v>
      </c>
      <c r="ET91">
        <v>61.83</v>
      </c>
      <c r="EU91">
        <v>0.7</v>
      </c>
      <c r="EV91">
        <v>52935.41</v>
      </c>
      <c r="EW91">
        <v>104.44</v>
      </c>
      <c r="EX91">
        <v>0</v>
      </c>
      <c r="EY91">
        <v>0</v>
      </c>
      <c r="FQ91">
        <v>0</v>
      </c>
      <c r="FR91">
        <f t="shared" si="100"/>
        <v>0</v>
      </c>
      <c r="FS91">
        <v>0</v>
      </c>
      <c r="FX91">
        <v>70</v>
      </c>
      <c r="FY91">
        <v>10</v>
      </c>
      <c r="GA91" t="s">
        <v>3</v>
      </c>
      <c r="GD91">
        <v>0</v>
      </c>
      <c r="GF91">
        <v>-36092940</v>
      </c>
      <c r="GG91">
        <v>2</v>
      </c>
      <c r="GH91">
        <v>1</v>
      </c>
      <c r="GI91">
        <v>-2</v>
      </c>
      <c r="GJ91">
        <v>0</v>
      </c>
      <c r="GK91">
        <f>ROUND(R91*(R12)/100,2)</f>
        <v>0.14000000000000001</v>
      </c>
      <c r="GL91">
        <f t="shared" si="101"/>
        <v>0</v>
      </c>
      <c r="GM91">
        <f t="shared" si="102"/>
        <v>17302.12</v>
      </c>
      <c r="GN91">
        <f t="shared" si="103"/>
        <v>0</v>
      </c>
      <c r="GO91">
        <f t="shared" si="104"/>
        <v>0</v>
      </c>
      <c r="GP91">
        <f t="shared" si="105"/>
        <v>17302.12</v>
      </c>
      <c r="GR91">
        <v>0</v>
      </c>
      <c r="GS91">
        <v>3</v>
      </c>
      <c r="GT91">
        <v>0</v>
      </c>
      <c r="GU91" t="s">
        <v>3</v>
      </c>
      <c r="GV91">
        <f t="shared" si="106"/>
        <v>0</v>
      </c>
      <c r="GW91">
        <v>1</v>
      </c>
      <c r="GX91">
        <f t="shared" si="107"/>
        <v>0</v>
      </c>
      <c r="HA91">
        <v>0</v>
      </c>
      <c r="HB91">
        <v>0</v>
      </c>
      <c r="HC91">
        <f t="shared" si="108"/>
        <v>0</v>
      </c>
      <c r="HE91" t="s">
        <v>3</v>
      </c>
      <c r="HF91" t="s">
        <v>3</v>
      </c>
      <c r="HM91" t="s">
        <v>3</v>
      </c>
      <c r="HN91" t="s">
        <v>3</v>
      </c>
      <c r="HO91" t="s">
        <v>3</v>
      </c>
      <c r="HP91" t="s">
        <v>3</v>
      </c>
      <c r="HQ91" t="s">
        <v>3</v>
      </c>
      <c r="IK91">
        <v>0</v>
      </c>
    </row>
    <row r="92" spans="1:245" x14ac:dyDescent="0.2">
      <c r="A92">
        <v>17</v>
      </c>
      <c r="B92">
        <v>1</v>
      </c>
      <c r="D92">
        <f>ROW(EtalonRes!A44)</f>
        <v>44</v>
      </c>
      <c r="E92" t="s">
        <v>135</v>
      </c>
      <c r="F92" t="s">
        <v>115</v>
      </c>
      <c r="G92" t="s">
        <v>116</v>
      </c>
      <c r="H92" t="s">
        <v>112</v>
      </c>
      <c r="I92">
        <f>ROUND(16/100,9)</f>
        <v>0.16</v>
      </c>
      <c r="J92">
        <v>0</v>
      </c>
      <c r="K92">
        <f>ROUND(16/100,9)</f>
        <v>0.16</v>
      </c>
      <c r="O92">
        <f t="shared" si="76"/>
        <v>12455.06</v>
      </c>
      <c r="P92">
        <f t="shared" si="77"/>
        <v>124.25</v>
      </c>
      <c r="Q92">
        <f t="shared" si="78"/>
        <v>9.89</v>
      </c>
      <c r="R92">
        <f t="shared" si="79"/>
        <v>0.11</v>
      </c>
      <c r="S92">
        <f t="shared" si="80"/>
        <v>12320.92</v>
      </c>
      <c r="T92">
        <f t="shared" si="81"/>
        <v>0</v>
      </c>
      <c r="U92">
        <f t="shared" si="82"/>
        <v>24.308800000000002</v>
      </c>
      <c r="V92">
        <f t="shared" si="83"/>
        <v>0</v>
      </c>
      <c r="W92">
        <f t="shared" si="84"/>
        <v>0</v>
      </c>
      <c r="X92">
        <f t="shared" si="85"/>
        <v>8624.64</v>
      </c>
      <c r="Y92">
        <f t="shared" si="85"/>
        <v>1232.0899999999999</v>
      </c>
      <c r="AA92">
        <v>1472224561</v>
      </c>
      <c r="AB92">
        <f t="shared" si="86"/>
        <v>77844.100000000006</v>
      </c>
      <c r="AC92">
        <f>ROUND((ES92),6)</f>
        <v>776.55</v>
      </c>
      <c r="AD92">
        <f>ROUND((((ET92)-(EU92))+AE92),6)</f>
        <v>61.83</v>
      </c>
      <c r="AE92">
        <f t="shared" si="109"/>
        <v>0.7</v>
      </c>
      <c r="AF92">
        <f t="shared" si="109"/>
        <v>77005.72</v>
      </c>
      <c r="AG92">
        <f t="shared" si="88"/>
        <v>0</v>
      </c>
      <c r="AH92">
        <f t="shared" si="110"/>
        <v>151.93</v>
      </c>
      <c r="AI92">
        <f t="shared" si="110"/>
        <v>0</v>
      </c>
      <c r="AJ92">
        <f t="shared" si="90"/>
        <v>0</v>
      </c>
      <c r="AK92">
        <v>77844.100000000006</v>
      </c>
      <c r="AL92">
        <v>776.55</v>
      </c>
      <c r="AM92">
        <v>61.83</v>
      </c>
      <c r="AN92">
        <v>0.7</v>
      </c>
      <c r="AO92">
        <v>77005.72</v>
      </c>
      <c r="AP92">
        <v>0</v>
      </c>
      <c r="AQ92">
        <v>151.93</v>
      </c>
      <c r="AR92">
        <v>0</v>
      </c>
      <c r="AS92">
        <v>0</v>
      </c>
      <c r="AT92">
        <v>70</v>
      </c>
      <c r="AU92">
        <v>10</v>
      </c>
      <c r="AV92">
        <v>1</v>
      </c>
      <c r="AW92">
        <v>1</v>
      </c>
      <c r="AZ92">
        <v>1</v>
      </c>
      <c r="BA92">
        <v>1</v>
      </c>
      <c r="BB92">
        <v>1</v>
      </c>
      <c r="BC92">
        <v>1</v>
      </c>
      <c r="BD92" t="s">
        <v>3</v>
      </c>
      <c r="BE92" t="s">
        <v>3</v>
      </c>
      <c r="BF92" t="s">
        <v>3</v>
      </c>
      <c r="BG92" t="s">
        <v>3</v>
      </c>
      <c r="BH92">
        <v>0</v>
      </c>
      <c r="BI92">
        <v>4</v>
      </c>
      <c r="BJ92" t="s">
        <v>117</v>
      </c>
      <c r="BM92">
        <v>0</v>
      </c>
      <c r="BN92">
        <v>0</v>
      </c>
      <c r="BO92" t="s">
        <v>3</v>
      </c>
      <c r="BP92">
        <v>0</v>
      </c>
      <c r="BQ92">
        <v>1</v>
      </c>
      <c r="BR92">
        <v>0</v>
      </c>
      <c r="BS92">
        <v>1</v>
      </c>
      <c r="BT92">
        <v>1</v>
      </c>
      <c r="BU92">
        <v>1</v>
      </c>
      <c r="BV92">
        <v>1</v>
      </c>
      <c r="BW92">
        <v>1</v>
      </c>
      <c r="BX92">
        <v>1</v>
      </c>
      <c r="BY92" t="s">
        <v>3</v>
      </c>
      <c r="BZ92">
        <v>70</v>
      </c>
      <c r="CA92">
        <v>10</v>
      </c>
      <c r="CB92" t="s">
        <v>3</v>
      </c>
      <c r="CE92">
        <v>0</v>
      </c>
      <c r="CF92">
        <v>0</v>
      </c>
      <c r="CG92">
        <v>0</v>
      </c>
      <c r="CM92">
        <v>0</v>
      </c>
      <c r="CN92" t="s">
        <v>3</v>
      </c>
      <c r="CO92">
        <v>0</v>
      </c>
      <c r="CP92">
        <f t="shared" si="91"/>
        <v>12455.06</v>
      </c>
      <c r="CQ92">
        <f t="shared" si="92"/>
        <v>776.55</v>
      </c>
      <c r="CR92">
        <f>((((ET92)*BB92-(EU92)*BS92)+AE92*BS92)*AV92)</f>
        <v>61.83</v>
      </c>
      <c r="CS92">
        <f t="shared" si="93"/>
        <v>0.7</v>
      </c>
      <c r="CT92">
        <f t="shared" si="94"/>
        <v>77005.72</v>
      </c>
      <c r="CU92">
        <f t="shared" si="95"/>
        <v>0</v>
      </c>
      <c r="CV92">
        <f t="shared" si="96"/>
        <v>151.93</v>
      </c>
      <c r="CW92">
        <f t="shared" si="97"/>
        <v>0</v>
      </c>
      <c r="CX92">
        <f t="shared" si="97"/>
        <v>0</v>
      </c>
      <c r="CY92">
        <f t="shared" si="98"/>
        <v>8624.6440000000002</v>
      </c>
      <c r="CZ92">
        <f t="shared" si="99"/>
        <v>1232.0919999999999</v>
      </c>
      <c r="DC92" t="s">
        <v>3</v>
      </c>
      <c r="DD92" t="s">
        <v>3</v>
      </c>
      <c r="DE92" t="s">
        <v>3</v>
      </c>
      <c r="DF92" t="s">
        <v>3</v>
      </c>
      <c r="DG92" t="s">
        <v>3</v>
      </c>
      <c r="DH92" t="s">
        <v>3</v>
      </c>
      <c r="DI92" t="s">
        <v>3</v>
      </c>
      <c r="DJ92" t="s">
        <v>3</v>
      </c>
      <c r="DK92" t="s">
        <v>3</v>
      </c>
      <c r="DL92" t="s">
        <v>3</v>
      </c>
      <c r="DM92" t="s">
        <v>3</v>
      </c>
      <c r="DN92">
        <v>0</v>
      </c>
      <c r="DO92">
        <v>0</v>
      </c>
      <c r="DP92">
        <v>1</v>
      </c>
      <c r="DQ92">
        <v>1</v>
      </c>
      <c r="DU92">
        <v>16987630</v>
      </c>
      <c r="DV92" t="s">
        <v>112</v>
      </c>
      <c r="DW92" t="s">
        <v>112</v>
      </c>
      <c r="DX92">
        <v>100</v>
      </c>
      <c r="DZ92" t="s">
        <v>3</v>
      </c>
      <c r="EA92" t="s">
        <v>3</v>
      </c>
      <c r="EB92" t="s">
        <v>3</v>
      </c>
      <c r="EC92" t="s">
        <v>3</v>
      </c>
      <c r="EE92">
        <v>1441815344</v>
      </c>
      <c r="EF92">
        <v>1</v>
      </c>
      <c r="EG92" t="s">
        <v>23</v>
      </c>
      <c r="EH92">
        <v>0</v>
      </c>
      <c r="EI92" t="s">
        <v>3</v>
      </c>
      <c r="EJ92">
        <v>4</v>
      </c>
      <c r="EK92">
        <v>0</v>
      </c>
      <c r="EL92" t="s">
        <v>24</v>
      </c>
      <c r="EM92" t="s">
        <v>25</v>
      </c>
      <c r="EO92" t="s">
        <v>3</v>
      </c>
      <c r="EQ92">
        <v>0</v>
      </c>
      <c r="ER92">
        <v>77844.100000000006</v>
      </c>
      <c r="ES92">
        <v>776.55</v>
      </c>
      <c r="ET92">
        <v>61.83</v>
      </c>
      <c r="EU92">
        <v>0.7</v>
      </c>
      <c r="EV92">
        <v>77005.72</v>
      </c>
      <c r="EW92">
        <v>151.93</v>
      </c>
      <c r="EX92">
        <v>0</v>
      </c>
      <c r="EY92">
        <v>0</v>
      </c>
      <c r="FQ92">
        <v>0</v>
      </c>
      <c r="FR92">
        <f t="shared" si="100"/>
        <v>0</v>
      </c>
      <c r="FS92">
        <v>0</v>
      </c>
      <c r="FX92">
        <v>70</v>
      </c>
      <c r="FY92">
        <v>10</v>
      </c>
      <c r="GA92" t="s">
        <v>3</v>
      </c>
      <c r="GD92">
        <v>0</v>
      </c>
      <c r="GF92">
        <v>1944845796</v>
      </c>
      <c r="GG92">
        <v>2</v>
      </c>
      <c r="GH92">
        <v>1</v>
      </c>
      <c r="GI92">
        <v>-2</v>
      </c>
      <c r="GJ92">
        <v>0</v>
      </c>
      <c r="GK92">
        <f>ROUND(R92*(R12)/100,2)</f>
        <v>0.12</v>
      </c>
      <c r="GL92">
        <f t="shared" si="101"/>
        <v>0</v>
      </c>
      <c r="GM92">
        <f t="shared" si="102"/>
        <v>22311.91</v>
      </c>
      <c r="GN92">
        <f t="shared" si="103"/>
        <v>0</v>
      </c>
      <c r="GO92">
        <f t="shared" si="104"/>
        <v>0</v>
      </c>
      <c r="GP92">
        <f t="shared" si="105"/>
        <v>22311.91</v>
      </c>
      <c r="GR92">
        <v>0</v>
      </c>
      <c r="GS92">
        <v>3</v>
      </c>
      <c r="GT92">
        <v>0</v>
      </c>
      <c r="GU92" t="s">
        <v>3</v>
      </c>
      <c r="GV92">
        <f t="shared" si="106"/>
        <v>0</v>
      </c>
      <c r="GW92">
        <v>1</v>
      </c>
      <c r="GX92">
        <f t="shared" si="107"/>
        <v>0</v>
      </c>
      <c r="HA92">
        <v>0</v>
      </c>
      <c r="HB92">
        <v>0</v>
      </c>
      <c r="HC92">
        <f t="shared" si="108"/>
        <v>0</v>
      </c>
      <c r="HE92" t="s">
        <v>3</v>
      </c>
      <c r="HF92" t="s">
        <v>3</v>
      </c>
      <c r="HM92" t="s">
        <v>3</v>
      </c>
      <c r="HN92" t="s">
        <v>3</v>
      </c>
      <c r="HO92" t="s">
        <v>3</v>
      </c>
      <c r="HP92" t="s">
        <v>3</v>
      </c>
      <c r="HQ92" t="s">
        <v>3</v>
      </c>
      <c r="IK92">
        <v>0</v>
      </c>
    </row>
    <row r="93" spans="1:245" x14ac:dyDescent="0.2">
      <c r="A93">
        <v>17</v>
      </c>
      <c r="B93">
        <v>1</v>
      </c>
      <c r="D93">
        <f>ROW(EtalonRes!A46)</f>
        <v>46</v>
      </c>
      <c r="E93" t="s">
        <v>136</v>
      </c>
      <c r="F93" t="s">
        <v>30</v>
      </c>
      <c r="G93" t="s">
        <v>119</v>
      </c>
      <c r="H93" t="s">
        <v>32</v>
      </c>
      <c r="I93">
        <v>22</v>
      </c>
      <c r="J93">
        <v>0</v>
      </c>
      <c r="K93">
        <v>22</v>
      </c>
      <c r="O93">
        <f t="shared" si="76"/>
        <v>6295.96</v>
      </c>
      <c r="P93">
        <f t="shared" si="77"/>
        <v>0</v>
      </c>
      <c r="Q93">
        <f t="shared" si="78"/>
        <v>1719.96</v>
      </c>
      <c r="R93">
        <f t="shared" si="79"/>
        <v>1090.54</v>
      </c>
      <c r="S93">
        <f t="shared" si="80"/>
        <v>4576</v>
      </c>
      <c r="T93">
        <f t="shared" si="81"/>
        <v>0</v>
      </c>
      <c r="U93">
        <f t="shared" si="82"/>
        <v>8.14</v>
      </c>
      <c r="V93">
        <f t="shared" si="83"/>
        <v>0</v>
      </c>
      <c r="W93">
        <f t="shared" si="84"/>
        <v>0</v>
      </c>
      <c r="X93">
        <f t="shared" si="85"/>
        <v>3203.2</v>
      </c>
      <c r="Y93">
        <f t="shared" si="85"/>
        <v>457.6</v>
      </c>
      <c r="AA93">
        <v>1472224561</v>
      </c>
      <c r="AB93">
        <f t="shared" si="86"/>
        <v>286.18</v>
      </c>
      <c r="AC93">
        <f>ROUND((ES93),6)</f>
        <v>0</v>
      </c>
      <c r="AD93">
        <f>ROUND((((ET93)-(EU93))+AE93),6)</f>
        <v>78.180000000000007</v>
      </c>
      <c r="AE93">
        <f t="shared" si="109"/>
        <v>49.57</v>
      </c>
      <c r="AF93">
        <f t="shared" si="109"/>
        <v>208</v>
      </c>
      <c r="AG93">
        <f t="shared" si="88"/>
        <v>0</v>
      </c>
      <c r="AH93">
        <f t="shared" si="110"/>
        <v>0.37</v>
      </c>
      <c r="AI93">
        <f t="shared" si="110"/>
        <v>0</v>
      </c>
      <c r="AJ93">
        <f t="shared" si="90"/>
        <v>0</v>
      </c>
      <c r="AK93">
        <v>286.18</v>
      </c>
      <c r="AL93">
        <v>0</v>
      </c>
      <c r="AM93">
        <v>78.180000000000007</v>
      </c>
      <c r="AN93">
        <v>49.57</v>
      </c>
      <c r="AO93">
        <v>208</v>
      </c>
      <c r="AP93">
        <v>0</v>
      </c>
      <c r="AQ93">
        <v>0.37</v>
      </c>
      <c r="AR93">
        <v>0</v>
      </c>
      <c r="AS93">
        <v>0</v>
      </c>
      <c r="AT93">
        <v>70</v>
      </c>
      <c r="AU93">
        <v>10</v>
      </c>
      <c r="AV93">
        <v>1</v>
      </c>
      <c r="AW93">
        <v>1</v>
      </c>
      <c r="AZ93">
        <v>1</v>
      </c>
      <c r="BA93">
        <v>1</v>
      </c>
      <c r="BB93">
        <v>1</v>
      </c>
      <c r="BC93">
        <v>1</v>
      </c>
      <c r="BD93" t="s">
        <v>3</v>
      </c>
      <c r="BE93" t="s">
        <v>3</v>
      </c>
      <c r="BF93" t="s">
        <v>3</v>
      </c>
      <c r="BG93" t="s">
        <v>3</v>
      </c>
      <c r="BH93">
        <v>0</v>
      </c>
      <c r="BI93">
        <v>4</v>
      </c>
      <c r="BJ93" t="s">
        <v>33</v>
      </c>
      <c r="BM93">
        <v>0</v>
      </c>
      <c r="BN93">
        <v>0</v>
      </c>
      <c r="BO93" t="s">
        <v>3</v>
      </c>
      <c r="BP93">
        <v>0</v>
      </c>
      <c r="BQ93">
        <v>1</v>
      </c>
      <c r="BR93">
        <v>0</v>
      </c>
      <c r="BS93">
        <v>1</v>
      </c>
      <c r="BT93">
        <v>1</v>
      </c>
      <c r="BU93">
        <v>1</v>
      </c>
      <c r="BV93">
        <v>1</v>
      </c>
      <c r="BW93">
        <v>1</v>
      </c>
      <c r="BX93">
        <v>1</v>
      </c>
      <c r="BY93" t="s">
        <v>3</v>
      </c>
      <c r="BZ93">
        <v>70</v>
      </c>
      <c r="CA93">
        <v>10</v>
      </c>
      <c r="CB93" t="s">
        <v>3</v>
      </c>
      <c r="CE93">
        <v>0</v>
      </c>
      <c r="CF93">
        <v>0</v>
      </c>
      <c r="CG93">
        <v>0</v>
      </c>
      <c r="CM93">
        <v>0</v>
      </c>
      <c r="CN93" t="s">
        <v>3</v>
      </c>
      <c r="CO93">
        <v>0</v>
      </c>
      <c r="CP93">
        <f t="shared" si="91"/>
        <v>6295.96</v>
      </c>
      <c r="CQ93">
        <f t="shared" si="92"/>
        <v>0</v>
      </c>
      <c r="CR93">
        <f>((((ET93)*BB93-(EU93)*BS93)+AE93*BS93)*AV93)</f>
        <v>78.180000000000007</v>
      </c>
      <c r="CS93">
        <f t="shared" si="93"/>
        <v>49.57</v>
      </c>
      <c r="CT93">
        <f t="shared" si="94"/>
        <v>208</v>
      </c>
      <c r="CU93">
        <f t="shared" si="95"/>
        <v>0</v>
      </c>
      <c r="CV93">
        <f t="shared" si="96"/>
        <v>0.37</v>
      </c>
      <c r="CW93">
        <f t="shared" si="97"/>
        <v>0</v>
      </c>
      <c r="CX93">
        <f t="shared" si="97"/>
        <v>0</v>
      </c>
      <c r="CY93">
        <f t="shared" si="98"/>
        <v>3203.2</v>
      </c>
      <c r="CZ93">
        <f t="shared" si="99"/>
        <v>457.6</v>
      </c>
      <c r="DC93" t="s">
        <v>3</v>
      </c>
      <c r="DD93" t="s">
        <v>3</v>
      </c>
      <c r="DE93" t="s">
        <v>3</v>
      </c>
      <c r="DF93" t="s">
        <v>3</v>
      </c>
      <c r="DG93" t="s">
        <v>3</v>
      </c>
      <c r="DH93" t="s">
        <v>3</v>
      </c>
      <c r="DI93" t="s">
        <v>3</v>
      </c>
      <c r="DJ93" t="s">
        <v>3</v>
      </c>
      <c r="DK93" t="s">
        <v>3</v>
      </c>
      <c r="DL93" t="s">
        <v>3</v>
      </c>
      <c r="DM93" t="s">
        <v>3</v>
      </c>
      <c r="DN93">
        <v>0</v>
      </c>
      <c r="DO93">
        <v>0</v>
      </c>
      <c r="DP93">
        <v>1</v>
      </c>
      <c r="DQ93">
        <v>1</v>
      </c>
      <c r="DU93">
        <v>16987630</v>
      </c>
      <c r="DV93" t="s">
        <v>32</v>
      </c>
      <c r="DW93" t="s">
        <v>32</v>
      </c>
      <c r="DX93">
        <v>1</v>
      </c>
      <c r="DZ93" t="s">
        <v>3</v>
      </c>
      <c r="EA93" t="s">
        <v>3</v>
      </c>
      <c r="EB93" t="s">
        <v>3</v>
      </c>
      <c r="EC93" t="s">
        <v>3</v>
      </c>
      <c r="EE93">
        <v>1441815344</v>
      </c>
      <c r="EF93">
        <v>1</v>
      </c>
      <c r="EG93" t="s">
        <v>23</v>
      </c>
      <c r="EH93">
        <v>0</v>
      </c>
      <c r="EI93" t="s">
        <v>3</v>
      </c>
      <c r="EJ93">
        <v>4</v>
      </c>
      <c r="EK93">
        <v>0</v>
      </c>
      <c r="EL93" t="s">
        <v>24</v>
      </c>
      <c r="EM93" t="s">
        <v>25</v>
      </c>
      <c r="EO93" t="s">
        <v>3</v>
      </c>
      <c r="EQ93">
        <v>0</v>
      </c>
      <c r="ER93">
        <v>286.18</v>
      </c>
      <c r="ES93">
        <v>0</v>
      </c>
      <c r="ET93">
        <v>78.180000000000007</v>
      </c>
      <c r="EU93">
        <v>49.57</v>
      </c>
      <c r="EV93">
        <v>208</v>
      </c>
      <c r="EW93">
        <v>0.37</v>
      </c>
      <c r="EX93">
        <v>0</v>
      </c>
      <c r="EY93">
        <v>0</v>
      </c>
      <c r="FQ93">
        <v>0</v>
      </c>
      <c r="FR93">
        <f t="shared" si="100"/>
        <v>0</v>
      </c>
      <c r="FS93">
        <v>0</v>
      </c>
      <c r="FX93">
        <v>70</v>
      </c>
      <c r="FY93">
        <v>10</v>
      </c>
      <c r="GA93" t="s">
        <v>3</v>
      </c>
      <c r="GD93">
        <v>0</v>
      </c>
      <c r="GF93">
        <v>724910390</v>
      </c>
      <c r="GG93">
        <v>2</v>
      </c>
      <c r="GH93">
        <v>1</v>
      </c>
      <c r="GI93">
        <v>-2</v>
      </c>
      <c r="GJ93">
        <v>0</v>
      </c>
      <c r="GK93">
        <f>ROUND(R93*(R12)/100,2)</f>
        <v>1177.78</v>
      </c>
      <c r="GL93">
        <f t="shared" si="101"/>
        <v>0</v>
      </c>
      <c r="GM93">
        <f t="shared" si="102"/>
        <v>11134.54</v>
      </c>
      <c r="GN93">
        <f t="shared" si="103"/>
        <v>0</v>
      </c>
      <c r="GO93">
        <f t="shared" si="104"/>
        <v>0</v>
      </c>
      <c r="GP93">
        <f t="shared" si="105"/>
        <v>11134.54</v>
      </c>
      <c r="GR93">
        <v>0</v>
      </c>
      <c r="GS93">
        <v>3</v>
      </c>
      <c r="GT93">
        <v>0</v>
      </c>
      <c r="GU93" t="s">
        <v>3</v>
      </c>
      <c r="GV93">
        <f t="shared" si="106"/>
        <v>0</v>
      </c>
      <c r="GW93">
        <v>1</v>
      </c>
      <c r="GX93">
        <f t="shared" si="107"/>
        <v>0</v>
      </c>
      <c r="HA93">
        <v>0</v>
      </c>
      <c r="HB93">
        <v>0</v>
      </c>
      <c r="HC93">
        <f t="shared" si="108"/>
        <v>0</v>
      </c>
      <c r="HE93" t="s">
        <v>3</v>
      </c>
      <c r="HF93" t="s">
        <v>3</v>
      </c>
      <c r="HM93" t="s">
        <v>3</v>
      </c>
      <c r="HN93" t="s">
        <v>3</v>
      </c>
      <c r="HO93" t="s">
        <v>3</v>
      </c>
      <c r="HP93" t="s">
        <v>3</v>
      </c>
      <c r="HQ93" t="s">
        <v>3</v>
      </c>
      <c r="IK93">
        <v>0</v>
      </c>
    </row>
    <row r="94" spans="1:245" x14ac:dyDescent="0.2">
      <c r="A94">
        <v>17</v>
      </c>
      <c r="B94">
        <v>1</v>
      </c>
      <c r="D94">
        <f>ROW(EtalonRes!A47)</f>
        <v>47</v>
      </c>
      <c r="E94" t="s">
        <v>137</v>
      </c>
      <c r="F94" t="s">
        <v>121</v>
      </c>
      <c r="G94" t="s">
        <v>122</v>
      </c>
      <c r="H94" t="s">
        <v>123</v>
      </c>
      <c r="I94">
        <f>ROUND(16/100,9)</f>
        <v>0.16</v>
      </c>
      <c r="J94">
        <v>0</v>
      </c>
      <c r="K94">
        <f>ROUND(16/100,9)</f>
        <v>0.16</v>
      </c>
      <c r="O94">
        <f t="shared" si="76"/>
        <v>2543.38</v>
      </c>
      <c r="P94">
        <f t="shared" si="77"/>
        <v>0</v>
      </c>
      <c r="Q94">
        <f t="shared" si="78"/>
        <v>0</v>
      </c>
      <c r="R94">
        <f t="shared" si="79"/>
        <v>0</v>
      </c>
      <c r="S94">
        <f t="shared" si="80"/>
        <v>2543.38</v>
      </c>
      <c r="T94">
        <f t="shared" si="81"/>
        <v>0</v>
      </c>
      <c r="U94">
        <f t="shared" si="82"/>
        <v>4.2720000000000002</v>
      </c>
      <c r="V94">
        <f t="shared" si="83"/>
        <v>0</v>
      </c>
      <c r="W94">
        <f t="shared" si="84"/>
        <v>0</v>
      </c>
      <c r="X94">
        <f t="shared" si="85"/>
        <v>1780.37</v>
      </c>
      <c r="Y94">
        <f t="shared" si="85"/>
        <v>254.34</v>
      </c>
      <c r="AA94">
        <v>1472224561</v>
      </c>
      <c r="AB94">
        <f t="shared" si="86"/>
        <v>15896.11</v>
      </c>
      <c r="AC94">
        <f>ROUND((ES94),6)</f>
        <v>0</v>
      </c>
      <c r="AD94">
        <f>ROUND((((ET94)-(EU94))+AE94),6)</f>
        <v>0</v>
      </c>
      <c r="AE94">
        <f t="shared" si="109"/>
        <v>0</v>
      </c>
      <c r="AF94">
        <f t="shared" si="109"/>
        <v>15896.11</v>
      </c>
      <c r="AG94">
        <f t="shared" si="88"/>
        <v>0</v>
      </c>
      <c r="AH94">
        <f t="shared" si="110"/>
        <v>26.7</v>
      </c>
      <c r="AI94">
        <f t="shared" si="110"/>
        <v>0</v>
      </c>
      <c r="AJ94">
        <f t="shared" si="90"/>
        <v>0</v>
      </c>
      <c r="AK94">
        <v>15896.11</v>
      </c>
      <c r="AL94">
        <v>0</v>
      </c>
      <c r="AM94">
        <v>0</v>
      </c>
      <c r="AN94">
        <v>0</v>
      </c>
      <c r="AO94">
        <v>15896.11</v>
      </c>
      <c r="AP94">
        <v>0</v>
      </c>
      <c r="AQ94">
        <v>26.7</v>
      </c>
      <c r="AR94">
        <v>0</v>
      </c>
      <c r="AS94">
        <v>0</v>
      </c>
      <c r="AT94">
        <v>70</v>
      </c>
      <c r="AU94">
        <v>10</v>
      </c>
      <c r="AV94">
        <v>1</v>
      </c>
      <c r="AW94">
        <v>1</v>
      </c>
      <c r="AZ94">
        <v>1</v>
      </c>
      <c r="BA94">
        <v>1</v>
      </c>
      <c r="BB94">
        <v>1</v>
      </c>
      <c r="BC94">
        <v>1</v>
      </c>
      <c r="BD94" t="s">
        <v>3</v>
      </c>
      <c r="BE94" t="s">
        <v>3</v>
      </c>
      <c r="BF94" t="s">
        <v>3</v>
      </c>
      <c r="BG94" t="s">
        <v>3</v>
      </c>
      <c r="BH94">
        <v>0</v>
      </c>
      <c r="BI94">
        <v>4</v>
      </c>
      <c r="BJ94" t="s">
        <v>124</v>
      </c>
      <c r="BM94">
        <v>0</v>
      </c>
      <c r="BN94">
        <v>0</v>
      </c>
      <c r="BO94" t="s">
        <v>3</v>
      </c>
      <c r="BP94">
        <v>0</v>
      </c>
      <c r="BQ94">
        <v>1</v>
      </c>
      <c r="BR94">
        <v>0</v>
      </c>
      <c r="BS94">
        <v>1</v>
      </c>
      <c r="BT94">
        <v>1</v>
      </c>
      <c r="BU94">
        <v>1</v>
      </c>
      <c r="BV94">
        <v>1</v>
      </c>
      <c r="BW94">
        <v>1</v>
      </c>
      <c r="BX94">
        <v>1</v>
      </c>
      <c r="BY94" t="s">
        <v>3</v>
      </c>
      <c r="BZ94">
        <v>70</v>
      </c>
      <c r="CA94">
        <v>10</v>
      </c>
      <c r="CB94" t="s">
        <v>3</v>
      </c>
      <c r="CE94">
        <v>0</v>
      </c>
      <c r="CF94">
        <v>0</v>
      </c>
      <c r="CG94">
        <v>0</v>
      </c>
      <c r="CM94">
        <v>0</v>
      </c>
      <c r="CN94" t="s">
        <v>3</v>
      </c>
      <c r="CO94">
        <v>0</v>
      </c>
      <c r="CP94">
        <f t="shared" si="91"/>
        <v>2543.38</v>
      </c>
      <c r="CQ94">
        <f t="shared" si="92"/>
        <v>0</v>
      </c>
      <c r="CR94">
        <f>((((ET94)*BB94-(EU94)*BS94)+AE94*BS94)*AV94)</f>
        <v>0</v>
      </c>
      <c r="CS94">
        <f t="shared" si="93"/>
        <v>0</v>
      </c>
      <c r="CT94">
        <f t="shared" si="94"/>
        <v>15896.11</v>
      </c>
      <c r="CU94">
        <f t="shared" si="95"/>
        <v>0</v>
      </c>
      <c r="CV94">
        <f t="shared" si="96"/>
        <v>26.7</v>
      </c>
      <c r="CW94">
        <f t="shared" si="97"/>
        <v>0</v>
      </c>
      <c r="CX94">
        <f t="shared" si="97"/>
        <v>0</v>
      </c>
      <c r="CY94">
        <f t="shared" si="98"/>
        <v>1780.366</v>
      </c>
      <c r="CZ94">
        <f t="shared" si="99"/>
        <v>254.33800000000002</v>
      </c>
      <c r="DC94" t="s">
        <v>3</v>
      </c>
      <c r="DD94" t="s">
        <v>3</v>
      </c>
      <c r="DE94" t="s">
        <v>3</v>
      </c>
      <c r="DF94" t="s">
        <v>3</v>
      </c>
      <c r="DG94" t="s">
        <v>3</v>
      </c>
      <c r="DH94" t="s">
        <v>3</v>
      </c>
      <c r="DI94" t="s">
        <v>3</v>
      </c>
      <c r="DJ94" t="s">
        <v>3</v>
      </c>
      <c r="DK94" t="s">
        <v>3</v>
      </c>
      <c r="DL94" t="s">
        <v>3</v>
      </c>
      <c r="DM94" t="s">
        <v>3</v>
      </c>
      <c r="DN94">
        <v>0</v>
      </c>
      <c r="DO94">
        <v>0</v>
      </c>
      <c r="DP94">
        <v>1</v>
      </c>
      <c r="DQ94">
        <v>1</v>
      </c>
      <c r="DU94">
        <v>1013</v>
      </c>
      <c r="DV94" t="s">
        <v>123</v>
      </c>
      <c r="DW94" t="s">
        <v>123</v>
      </c>
      <c r="DX94">
        <v>1</v>
      </c>
      <c r="DZ94" t="s">
        <v>3</v>
      </c>
      <c r="EA94" t="s">
        <v>3</v>
      </c>
      <c r="EB94" t="s">
        <v>3</v>
      </c>
      <c r="EC94" t="s">
        <v>3</v>
      </c>
      <c r="EE94">
        <v>1441815344</v>
      </c>
      <c r="EF94">
        <v>1</v>
      </c>
      <c r="EG94" t="s">
        <v>23</v>
      </c>
      <c r="EH94">
        <v>0</v>
      </c>
      <c r="EI94" t="s">
        <v>3</v>
      </c>
      <c r="EJ94">
        <v>4</v>
      </c>
      <c r="EK94">
        <v>0</v>
      </c>
      <c r="EL94" t="s">
        <v>24</v>
      </c>
      <c r="EM94" t="s">
        <v>25</v>
      </c>
      <c r="EO94" t="s">
        <v>3</v>
      </c>
      <c r="EQ94">
        <v>0</v>
      </c>
      <c r="ER94">
        <v>15896.11</v>
      </c>
      <c r="ES94">
        <v>0</v>
      </c>
      <c r="ET94">
        <v>0</v>
      </c>
      <c r="EU94">
        <v>0</v>
      </c>
      <c r="EV94">
        <v>15896.11</v>
      </c>
      <c r="EW94">
        <v>26.7</v>
      </c>
      <c r="EX94">
        <v>0</v>
      </c>
      <c r="EY94">
        <v>0</v>
      </c>
      <c r="FQ94">
        <v>0</v>
      </c>
      <c r="FR94">
        <f t="shared" si="100"/>
        <v>0</v>
      </c>
      <c r="FS94">
        <v>0</v>
      </c>
      <c r="FX94">
        <v>70</v>
      </c>
      <c r="FY94">
        <v>10</v>
      </c>
      <c r="GA94" t="s">
        <v>3</v>
      </c>
      <c r="GD94">
        <v>0</v>
      </c>
      <c r="GF94">
        <v>-1089660975</v>
      </c>
      <c r="GG94">
        <v>2</v>
      </c>
      <c r="GH94">
        <v>1</v>
      </c>
      <c r="GI94">
        <v>-2</v>
      </c>
      <c r="GJ94">
        <v>0</v>
      </c>
      <c r="GK94">
        <f>ROUND(R94*(R12)/100,2)</f>
        <v>0</v>
      </c>
      <c r="GL94">
        <f t="shared" si="101"/>
        <v>0</v>
      </c>
      <c r="GM94">
        <f t="shared" si="102"/>
        <v>4578.09</v>
      </c>
      <c r="GN94">
        <f t="shared" si="103"/>
        <v>0</v>
      </c>
      <c r="GO94">
        <f t="shared" si="104"/>
        <v>0</v>
      </c>
      <c r="GP94">
        <f t="shared" si="105"/>
        <v>4578.09</v>
      </c>
      <c r="GR94">
        <v>0</v>
      </c>
      <c r="GS94">
        <v>3</v>
      </c>
      <c r="GT94">
        <v>0</v>
      </c>
      <c r="GU94" t="s">
        <v>3</v>
      </c>
      <c r="GV94">
        <f t="shared" si="106"/>
        <v>0</v>
      </c>
      <c r="GW94">
        <v>1</v>
      </c>
      <c r="GX94">
        <f t="shared" si="107"/>
        <v>0</v>
      </c>
      <c r="HA94">
        <v>0</v>
      </c>
      <c r="HB94">
        <v>0</v>
      </c>
      <c r="HC94">
        <f t="shared" si="108"/>
        <v>0</v>
      </c>
      <c r="HE94" t="s">
        <v>3</v>
      </c>
      <c r="HF94" t="s">
        <v>3</v>
      </c>
      <c r="HM94" t="s">
        <v>3</v>
      </c>
      <c r="HN94" t="s">
        <v>3</v>
      </c>
      <c r="HO94" t="s">
        <v>3</v>
      </c>
      <c r="HP94" t="s">
        <v>3</v>
      </c>
      <c r="HQ94" t="s">
        <v>3</v>
      </c>
      <c r="IK94">
        <v>0</v>
      </c>
    </row>
    <row r="95" spans="1:245" x14ac:dyDescent="0.2">
      <c r="A95">
        <v>17</v>
      </c>
      <c r="B95">
        <v>1</v>
      </c>
      <c r="D95">
        <f>ROW(EtalonRes!A49)</f>
        <v>49</v>
      </c>
      <c r="E95" t="s">
        <v>138</v>
      </c>
      <c r="F95" t="s">
        <v>126</v>
      </c>
      <c r="G95" t="s">
        <v>127</v>
      </c>
      <c r="H95" t="s">
        <v>112</v>
      </c>
      <c r="I95">
        <f>ROUND(11/100,9)</f>
        <v>0.11</v>
      </c>
      <c r="J95">
        <v>0</v>
      </c>
      <c r="K95">
        <f>ROUND(11/100,9)</f>
        <v>0.11</v>
      </c>
      <c r="O95">
        <f t="shared" si="76"/>
        <v>6356.02</v>
      </c>
      <c r="P95">
        <f t="shared" si="77"/>
        <v>107.17</v>
      </c>
      <c r="Q95">
        <f t="shared" si="78"/>
        <v>0</v>
      </c>
      <c r="R95">
        <f t="shared" si="79"/>
        <v>0</v>
      </c>
      <c r="S95">
        <f t="shared" si="80"/>
        <v>6248.85</v>
      </c>
      <c r="T95">
        <f t="shared" si="81"/>
        <v>0</v>
      </c>
      <c r="U95">
        <f t="shared" si="82"/>
        <v>12.328799999999999</v>
      </c>
      <c r="V95">
        <f t="shared" si="83"/>
        <v>0</v>
      </c>
      <c r="W95">
        <f t="shared" si="84"/>
        <v>0</v>
      </c>
      <c r="X95">
        <f t="shared" si="85"/>
        <v>4374.2</v>
      </c>
      <c r="Y95">
        <f t="shared" si="85"/>
        <v>624.89</v>
      </c>
      <c r="AA95">
        <v>1472224561</v>
      </c>
      <c r="AB95">
        <f t="shared" si="86"/>
        <v>57782.04</v>
      </c>
      <c r="AC95">
        <f>ROUND(((ES95*4)),6)</f>
        <v>974.28</v>
      </c>
      <c r="AD95">
        <f>ROUND(((((ET95*4))-((EU95*4)))+AE95),6)</f>
        <v>0</v>
      </c>
      <c r="AE95">
        <f>ROUND(((EU95*4)),6)</f>
        <v>0</v>
      </c>
      <c r="AF95">
        <f>ROUND(((EV95*4)),6)</f>
        <v>56807.76</v>
      </c>
      <c r="AG95">
        <f t="shared" si="88"/>
        <v>0</v>
      </c>
      <c r="AH95">
        <f>((EW95*4))</f>
        <v>112.08</v>
      </c>
      <c r="AI95">
        <f>((EX95*4))</f>
        <v>0</v>
      </c>
      <c r="AJ95">
        <f t="shared" si="90"/>
        <v>0</v>
      </c>
      <c r="AK95">
        <v>14445.51</v>
      </c>
      <c r="AL95">
        <v>243.57</v>
      </c>
      <c r="AM95">
        <v>0</v>
      </c>
      <c r="AN95">
        <v>0</v>
      </c>
      <c r="AO95">
        <v>14201.94</v>
      </c>
      <c r="AP95">
        <v>0</v>
      </c>
      <c r="AQ95">
        <v>28.02</v>
      </c>
      <c r="AR95">
        <v>0</v>
      </c>
      <c r="AS95">
        <v>0</v>
      </c>
      <c r="AT95">
        <v>70</v>
      </c>
      <c r="AU95">
        <v>10</v>
      </c>
      <c r="AV95">
        <v>1</v>
      </c>
      <c r="AW95">
        <v>1</v>
      </c>
      <c r="AZ95">
        <v>1</v>
      </c>
      <c r="BA95">
        <v>1</v>
      </c>
      <c r="BB95">
        <v>1</v>
      </c>
      <c r="BC95">
        <v>1</v>
      </c>
      <c r="BD95" t="s">
        <v>3</v>
      </c>
      <c r="BE95" t="s">
        <v>3</v>
      </c>
      <c r="BF95" t="s">
        <v>3</v>
      </c>
      <c r="BG95" t="s">
        <v>3</v>
      </c>
      <c r="BH95">
        <v>0</v>
      </c>
      <c r="BI95">
        <v>4</v>
      </c>
      <c r="BJ95" t="s">
        <v>128</v>
      </c>
      <c r="BM95">
        <v>0</v>
      </c>
      <c r="BN95">
        <v>0</v>
      </c>
      <c r="BO95" t="s">
        <v>3</v>
      </c>
      <c r="BP95">
        <v>0</v>
      </c>
      <c r="BQ95">
        <v>1</v>
      </c>
      <c r="BR95">
        <v>0</v>
      </c>
      <c r="BS95">
        <v>1</v>
      </c>
      <c r="BT95">
        <v>1</v>
      </c>
      <c r="BU95">
        <v>1</v>
      </c>
      <c r="BV95">
        <v>1</v>
      </c>
      <c r="BW95">
        <v>1</v>
      </c>
      <c r="BX95">
        <v>1</v>
      </c>
      <c r="BY95" t="s">
        <v>3</v>
      </c>
      <c r="BZ95">
        <v>70</v>
      </c>
      <c r="CA95">
        <v>10</v>
      </c>
      <c r="CB95" t="s">
        <v>3</v>
      </c>
      <c r="CE95">
        <v>0</v>
      </c>
      <c r="CF95">
        <v>0</v>
      </c>
      <c r="CG95">
        <v>0</v>
      </c>
      <c r="CM95">
        <v>0</v>
      </c>
      <c r="CN95" t="s">
        <v>3</v>
      </c>
      <c r="CO95">
        <v>0</v>
      </c>
      <c r="CP95">
        <f t="shared" si="91"/>
        <v>6356.02</v>
      </c>
      <c r="CQ95">
        <f t="shared" si="92"/>
        <v>974.28</v>
      </c>
      <c r="CR95">
        <f>(((((ET95*4))*BB95-((EU95*4))*BS95)+AE95*BS95)*AV95)</f>
        <v>0</v>
      </c>
      <c r="CS95">
        <f t="shared" si="93"/>
        <v>0</v>
      </c>
      <c r="CT95">
        <f t="shared" si="94"/>
        <v>56807.76</v>
      </c>
      <c r="CU95">
        <f t="shared" si="95"/>
        <v>0</v>
      </c>
      <c r="CV95">
        <f t="shared" si="96"/>
        <v>112.08</v>
      </c>
      <c r="CW95">
        <f t="shared" si="97"/>
        <v>0</v>
      </c>
      <c r="CX95">
        <f t="shared" si="97"/>
        <v>0</v>
      </c>
      <c r="CY95">
        <f t="shared" si="98"/>
        <v>4374.1949999999997</v>
      </c>
      <c r="CZ95">
        <f t="shared" si="99"/>
        <v>624.88499999999999</v>
      </c>
      <c r="DC95" t="s">
        <v>3</v>
      </c>
      <c r="DD95" t="s">
        <v>22</v>
      </c>
      <c r="DE95" t="s">
        <v>22</v>
      </c>
      <c r="DF95" t="s">
        <v>22</v>
      </c>
      <c r="DG95" t="s">
        <v>22</v>
      </c>
      <c r="DH95" t="s">
        <v>3</v>
      </c>
      <c r="DI95" t="s">
        <v>22</v>
      </c>
      <c r="DJ95" t="s">
        <v>22</v>
      </c>
      <c r="DK95" t="s">
        <v>3</v>
      </c>
      <c r="DL95" t="s">
        <v>3</v>
      </c>
      <c r="DM95" t="s">
        <v>3</v>
      </c>
      <c r="DN95">
        <v>0</v>
      </c>
      <c r="DO95">
        <v>0</v>
      </c>
      <c r="DP95">
        <v>1</v>
      </c>
      <c r="DQ95">
        <v>1</v>
      </c>
      <c r="DU95">
        <v>16987630</v>
      </c>
      <c r="DV95" t="s">
        <v>112</v>
      </c>
      <c r="DW95" t="s">
        <v>112</v>
      </c>
      <c r="DX95">
        <v>100</v>
      </c>
      <c r="DZ95" t="s">
        <v>3</v>
      </c>
      <c r="EA95" t="s">
        <v>3</v>
      </c>
      <c r="EB95" t="s">
        <v>3</v>
      </c>
      <c r="EC95" t="s">
        <v>3</v>
      </c>
      <c r="EE95">
        <v>1441815344</v>
      </c>
      <c r="EF95">
        <v>1</v>
      </c>
      <c r="EG95" t="s">
        <v>23</v>
      </c>
      <c r="EH95">
        <v>0</v>
      </c>
      <c r="EI95" t="s">
        <v>3</v>
      </c>
      <c r="EJ95">
        <v>4</v>
      </c>
      <c r="EK95">
        <v>0</v>
      </c>
      <c r="EL95" t="s">
        <v>24</v>
      </c>
      <c r="EM95" t="s">
        <v>25</v>
      </c>
      <c r="EO95" t="s">
        <v>3</v>
      </c>
      <c r="EQ95">
        <v>0</v>
      </c>
      <c r="ER95">
        <v>14445.51</v>
      </c>
      <c r="ES95">
        <v>243.57</v>
      </c>
      <c r="ET95">
        <v>0</v>
      </c>
      <c r="EU95">
        <v>0</v>
      </c>
      <c r="EV95">
        <v>14201.94</v>
      </c>
      <c r="EW95">
        <v>28.02</v>
      </c>
      <c r="EX95">
        <v>0</v>
      </c>
      <c r="EY95">
        <v>0</v>
      </c>
      <c r="FQ95">
        <v>0</v>
      </c>
      <c r="FR95">
        <f t="shared" si="100"/>
        <v>0</v>
      </c>
      <c r="FS95">
        <v>0</v>
      </c>
      <c r="FX95">
        <v>70</v>
      </c>
      <c r="FY95">
        <v>10</v>
      </c>
      <c r="GA95" t="s">
        <v>3</v>
      </c>
      <c r="GD95">
        <v>0</v>
      </c>
      <c r="GF95">
        <v>1586733399</v>
      </c>
      <c r="GG95">
        <v>2</v>
      </c>
      <c r="GH95">
        <v>1</v>
      </c>
      <c r="GI95">
        <v>-2</v>
      </c>
      <c r="GJ95">
        <v>0</v>
      </c>
      <c r="GK95">
        <f>ROUND(R95*(R12)/100,2)</f>
        <v>0</v>
      </c>
      <c r="GL95">
        <f t="shared" si="101"/>
        <v>0</v>
      </c>
      <c r="GM95">
        <f t="shared" si="102"/>
        <v>11355.11</v>
      </c>
      <c r="GN95">
        <f t="shared" si="103"/>
        <v>0</v>
      </c>
      <c r="GO95">
        <f t="shared" si="104"/>
        <v>0</v>
      </c>
      <c r="GP95">
        <f t="shared" si="105"/>
        <v>11355.11</v>
      </c>
      <c r="GR95">
        <v>0</v>
      </c>
      <c r="GS95">
        <v>3</v>
      </c>
      <c r="GT95">
        <v>0</v>
      </c>
      <c r="GU95" t="s">
        <v>3</v>
      </c>
      <c r="GV95">
        <f t="shared" si="106"/>
        <v>0</v>
      </c>
      <c r="GW95">
        <v>1</v>
      </c>
      <c r="GX95">
        <f t="shared" si="107"/>
        <v>0</v>
      </c>
      <c r="HA95">
        <v>0</v>
      </c>
      <c r="HB95">
        <v>0</v>
      </c>
      <c r="HC95">
        <f t="shared" si="108"/>
        <v>0</v>
      </c>
      <c r="HE95" t="s">
        <v>3</v>
      </c>
      <c r="HF95" t="s">
        <v>3</v>
      </c>
      <c r="HM95" t="s">
        <v>3</v>
      </c>
      <c r="HN95" t="s">
        <v>3</v>
      </c>
      <c r="HO95" t="s">
        <v>3</v>
      </c>
      <c r="HP95" t="s">
        <v>3</v>
      </c>
      <c r="HQ95" t="s">
        <v>3</v>
      </c>
      <c r="IK95">
        <v>0</v>
      </c>
    </row>
    <row r="97" spans="1:206" x14ac:dyDescent="0.2">
      <c r="A97" s="2">
        <v>51</v>
      </c>
      <c r="B97" s="2">
        <f>B74</f>
        <v>1</v>
      </c>
      <c r="C97" s="2">
        <f>A74</f>
        <v>5</v>
      </c>
      <c r="D97" s="2">
        <f>ROW(A74)</f>
        <v>74</v>
      </c>
      <c r="E97" s="2"/>
      <c r="F97" s="2" t="str">
        <f>IF(F74&lt;&gt;"",F74,"")</f>
        <v>Новый подраздел</v>
      </c>
      <c r="G97" s="2" t="str">
        <f>IF(G74&lt;&gt;"",G74,"")</f>
        <v>Сантехника</v>
      </c>
      <c r="H97" s="2">
        <v>0</v>
      </c>
      <c r="I97" s="2"/>
      <c r="J97" s="2"/>
      <c r="K97" s="2"/>
      <c r="L97" s="2"/>
      <c r="M97" s="2"/>
      <c r="N97" s="2"/>
      <c r="O97" s="2">
        <f t="shared" ref="O97:T97" si="111">ROUND(AB97,2)</f>
        <v>205270.95</v>
      </c>
      <c r="P97" s="2">
        <f t="shared" si="111"/>
        <v>2190.92</v>
      </c>
      <c r="Q97" s="2">
        <f t="shared" si="111"/>
        <v>7458.98</v>
      </c>
      <c r="R97" s="2">
        <f t="shared" si="111"/>
        <v>4660.82</v>
      </c>
      <c r="S97" s="2">
        <f t="shared" si="111"/>
        <v>195621.05</v>
      </c>
      <c r="T97" s="2">
        <f t="shared" si="111"/>
        <v>0</v>
      </c>
      <c r="U97" s="2">
        <f>AH97</f>
        <v>378.19579999999996</v>
      </c>
      <c r="V97" s="2">
        <f>AI97</f>
        <v>0</v>
      </c>
      <c r="W97" s="2">
        <f>ROUND(AJ97,2)</f>
        <v>0</v>
      </c>
      <c r="X97" s="2">
        <f>ROUND(AK97,2)</f>
        <v>136934.73000000001</v>
      </c>
      <c r="Y97" s="2">
        <f>ROUND(AL97,2)</f>
        <v>19562.11</v>
      </c>
      <c r="Z97" s="2"/>
      <c r="AA97" s="2"/>
      <c r="AB97" s="2">
        <f>ROUND(SUMIF(AA78:AA95,"=1472224561",O78:O95),2)</f>
        <v>205270.95</v>
      </c>
      <c r="AC97" s="2">
        <f>ROUND(SUMIF(AA78:AA95,"=1472224561",P78:P95),2)</f>
        <v>2190.92</v>
      </c>
      <c r="AD97" s="2">
        <f>ROUND(SUMIF(AA78:AA95,"=1472224561",Q78:Q95),2)</f>
        <v>7458.98</v>
      </c>
      <c r="AE97" s="2">
        <f>ROUND(SUMIF(AA78:AA95,"=1472224561",R78:R95),2)</f>
        <v>4660.82</v>
      </c>
      <c r="AF97" s="2">
        <f>ROUND(SUMIF(AA78:AA95,"=1472224561",S78:S95),2)</f>
        <v>195621.05</v>
      </c>
      <c r="AG97" s="2">
        <f>ROUND(SUMIF(AA78:AA95,"=1472224561",T78:T95),2)</f>
        <v>0</v>
      </c>
      <c r="AH97" s="2">
        <f>SUMIF(AA78:AA95,"=1472224561",U78:U95)</f>
        <v>378.19579999999996</v>
      </c>
      <c r="AI97" s="2">
        <f>SUMIF(AA78:AA95,"=1472224561",V78:V95)</f>
        <v>0</v>
      </c>
      <c r="AJ97" s="2">
        <f>ROUND(SUMIF(AA78:AA95,"=1472224561",W78:W95),2)</f>
        <v>0</v>
      </c>
      <c r="AK97" s="2">
        <f>ROUND(SUMIF(AA78:AA95,"=1472224561",X78:X95),2)</f>
        <v>136934.73000000001</v>
      </c>
      <c r="AL97" s="2">
        <f>ROUND(SUMIF(AA78:AA95,"=1472224561",Y78:Y95),2)</f>
        <v>19562.11</v>
      </c>
      <c r="AM97" s="2"/>
      <c r="AN97" s="2"/>
      <c r="AO97" s="2">
        <f t="shared" ref="AO97:BD97" si="112">ROUND(BX97,2)</f>
        <v>0</v>
      </c>
      <c r="AP97" s="2">
        <f t="shared" si="112"/>
        <v>0</v>
      </c>
      <c r="AQ97" s="2">
        <f t="shared" si="112"/>
        <v>0</v>
      </c>
      <c r="AR97" s="2">
        <f t="shared" si="112"/>
        <v>366801.47</v>
      </c>
      <c r="AS97" s="2">
        <f t="shared" si="112"/>
        <v>0</v>
      </c>
      <c r="AT97" s="2">
        <f t="shared" si="112"/>
        <v>0</v>
      </c>
      <c r="AU97" s="2">
        <f t="shared" si="112"/>
        <v>366801.47</v>
      </c>
      <c r="AV97" s="2">
        <f t="shared" si="112"/>
        <v>2190.92</v>
      </c>
      <c r="AW97" s="2">
        <f t="shared" si="112"/>
        <v>2190.92</v>
      </c>
      <c r="AX97" s="2">
        <f t="shared" si="112"/>
        <v>0</v>
      </c>
      <c r="AY97" s="2">
        <f t="shared" si="112"/>
        <v>2190.92</v>
      </c>
      <c r="AZ97" s="2">
        <f t="shared" si="112"/>
        <v>0</v>
      </c>
      <c r="BA97" s="2">
        <f t="shared" si="112"/>
        <v>0</v>
      </c>
      <c r="BB97" s="2">
        <f t="shared" si="112"/>
        <v>0</v>
      </c>
      <c r="BC97" s="2">
        <f t="shared" si="112"/>
        <v>0</v>
      </c>
      <c r="BD97" s="2">
        <f t="shared" si="112"/>
        <v>0</v>
      </c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>
        <f>ROUND(SUMIF(AA78:AA95,"=1472224561",FQ78:FQ95),2)</f>
        <v>0</v>
      </c>
      <c r="BY97" s="2">
        <f>ROUND(SUMIF(AA78:AA95,"=1472224561",FR78:FR95),2)</f>
        <v>0</v>
      </c>
      <c r="BZ97" s="2">
        <f>ROUND(SUMIF(AA78:AA95,"=1472224561",GL78:GL95),2)</f>
        <v>0</v>
      </c>
      <c r="CA97" s="2">
        <f>ROUND(SUMIF(AA78:AA95,"=1472224561",GM78:GM95),2)</f>
        <v>366801.47</v>
      </c>
      <c r="CB97" s="2">
        <f>ROUND(SUMIF(AA78:AA95,"=1472224561",GN78:GN95),2)</f>
        <v>0</v>
      </c>
      <c r="CC97" s="2">
        <f>ROUND(SUMIF(AA78:AA95,"=1472224561",GO78:GO95),2)</f>
        <v>0</v>
      </c>
      <c r="CD97" s="2">
        <f>ROUND(SUMIF(AA78:AA95,"=1472224561",GP78:GP95),2)</f>
        <v>366801.47</v>
      </c>
      <c r="CE97" s="2">
        <f>AC97-BX97</f>
        <v>2190.92</v>
      </c>
      <c r="CF97" s="2">
        <f>AC97-BY97</f>
        <v>2190.92</v>
      </c>
      <c r="CG97" s="2">
        <f>BX97-BZ97</f>
        <v>0</v>
      </c>
      <c r="CH97" s="2">
        <f>AC97-BX97-BY97+BZ97</f>
        <v>2190.92</v>
      </c>
      <c r="CI97" s="2">
        <f>BY97-BZ97</f>
        <v>0</v>
      </c>
      <c r="CJ97" s="2">
        <f>ROUND(SUMIF(AA78:AA95,"=1472224561",GX78:GX95),2)</f>
        <v>0</v>
      </c>
      <c r="CK97" s="2">
        <f>ROUND(SUMIF(AA78:AA95,"=1472224561",GY78:GY95),2)</f>
        <v>0</v>
      </c>
      <c r="CL97" s="2">
        <f>ROUND(SUMIF(AA78:AA95,"=1472224561",GZ78:GZ95),2)</f>
        <v>0</v>
      </c>
      <c r="CM97" s="2">
        <f>ROUND(SUMIF(AA78:AA95,"=1472224561",HD78:HD95),2)</f>
        <v>0</v>
      </c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/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/>
      <c r="FS97" s="3"/>
      <c r="FT97" s="3"/>
      <c r="FU97" s="3"/>
      <c r="FV97" s="3"/>
      <c r="FW97" s="3"/>
      <c r="FX97" s="3"/>
      <c r="FY97" s="3"/>
      <c r="FZ97" s="3"/>
      <c r="GA97" s="3"/>
      <c r="GB97" s="3"/>
      <c r="GC97" s="3"/>
      <c r="GD97" s="3"/>
      <c r="GE97" s="3"/>
      <c r="GF97" s="3"/>
      <c r="GG97" s="3"/>
      <c r="GH97" s="3"/>
      <c r="GI97" s="3"/>
      <c r="GJ97" s="3"/>
      <c r="GK97" s="3"/>
      <c r="GL97" s="3"/>
      <c r="GM97" s="3"/>
      <c r="GN97" s="3"/>
      <c r="GO97" s="3"/>
      <c r="GP97" s="3"/>
      <c r="GQ97" s="3"/>
      <c r="GR97" s="3"/>
      <c r="GS97" s="3"/>
      <c r="GT97" s="3"/>
      <c r="GU97" s="3"/>
      <c r="GV97" s="3"/>
      <c r="GW97" s="3"/>
      <c r="GX97" s="3">
        <v>0</v>
      </c>
    </row>
    <row r="99" spans="1:206" x14ac:dyDescent="0.2">
      <c r="A99" s="4">
        <v>50</v>
      </c>
      <c r="B99" s="4">
        <v>0</v>
      </c>
      <c r="C99" s="4">
        <v>0</v>
      </c>
      <c r="D99" s="4">
        <v>1</v>
      </c>
      <c r="E99" s="4">
        <v>201</v>
      </c>
      <c r="F99" s="4">
        <f>ROUND(Source!O97,O99)</f>
        <v>205270.95</v>
      </c>
      <c r="G99" s="4" t="s">
        <v>46</v>
      </c>
      <c r="H99" s="4" t="s">
        <v>47</v>
      </c>
      <c r="I99" s="4"/>
      <c r="J99" s="4"/>
      <c r="K99" s="4">
        <v>201</v>
      </c>
      <c r="L99" s="4">
        <v>1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27650.42</v>
      </c>
      <c r="X99" s="4">
        <v>1</v>
      </c>
      <c r="Y99" s="4">
        <v>27650.42</v>
      </c>
      <c r="Z99" s="4"/>
      <c r="AA99" s="4"/>
      <c r="AB99" s="4"/>
    </row>
    <row r="100" spans="1:206" x14ac:dyDescent="0.2">
      <c r="A100" s="4">
        <v>50</v>
      </c>
      <c r="B100" s="4">
        <v>0</v>
      </c>
      <c r="C100" s="4">
        <v>0</v>
      </c>
      <c r="D100" s="4">
        <v>1</v>
      </c>
      <c r="E100" s="4">
        <v>202</v>
      </c>
      <c r="F100" s="4">
        <f>ROUND(Source!P97,O100)</f>
        <v>2190.92</v>
      </c>
      <c r="G100" s="4" t="s">
        <v>48</v>
      </c>
      <c r="H100" s="4" t="s">
        <v>49</v>
      </c>
      <c r="I100" s="4"/>
      <c r="J100" s="4"/>
      <c r="K100" s="4">
        <v>202</v>
      </c>
      <c r="L100" s="4">
        <v>2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231.42</v>
      </c>
      <c r="X100" s="4">
        <v>1</v>
      </c>
      <c r="Y100" s="4">
        <v>231.42</v>
      </c>
      <c r="Z100" s="4"/>
      <c r="AA100" s="4"/>
      <c r="AB100" s="4"/>
    </row>
    <row r="101" spans="1:206" x14ac:dyDescent="0.2">
      <c r="A101" s="4">
        <v>50</v>
      </c>
      <c r="B101" s="4">
        <v>0</v>
      </c>
      <c r="C101" s="4">
        <v>0</v>
      </c>
      <c r="D101" s="4">
        <v>1</v>
      </c>
      <c r="E101" s="4">
        <v>222</v>
      </c>
      <c r="F101" s="4">
        <f>ROUND(Source!AO97,O101)</f>
        <v>0</v>
      </c>
      <c r="G101" s="4" t="s">
        <v>50</v>
      </c>
      <c r="H101" s="4" t="s">
        <v>51</v>
      </c>
      <c r="I101" s="4"/>
      <c r="J101" s="4"/>
      <c r="K101" s="4">
        <v>222</v>
      </c>
      <c r="L101" s="4">
        <v>3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06" x14ac:dyDescent="0.2">
      <c r="A102" s="4">
        <v>50</v>
      </c>
      <c r="B102" s="4">
        <v>0</v>
      </c>
      <c r="C102" s="4">
        <v>0</v>
      </c>
      <c r="D102" s="4">
        <v>1</v>
      </c>
      <c r="E102" s="4">
        <v>225</v>
      </c>
      <c r="F102" s="4">
        <f>ROUND(Source!AV97,O102)</f>
        <v>2190.92</v>
      </c>
      <c r="G102" s="4" t="s">
        <v>52</v>
      </c>
      <c r="H102" s="4" t="s">
        <v>53</v>
      </c>
      <c r="I102" s="4"/>
      <c r="J102" s="4"/>
      <c r="K102" s="4">
        <v>225</v>
      </c>
      <c r="L102" s="4">
        <v>4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231.42</v>
      </c>
      <c r="X102" s="4">
        <v>1</v>
      </c>
      <c r="Y102" s="4">
        <v>231.42</v>
      </c>
      <c r="Z102" s="4"/>
      <c r="AA102" s="4"/>
      <c r="AB102" s="4"/>
    </row>
    <row r="103" spans="1:206" x14ac:dyDescent="0.2">
      <c r="A103" s="4">
        <v>50</v>
      </c>
      <c r="B103" s="4">
        <v>0</v>
      </c>
      <c r="C103" s="4">
        <v>0</v>
      </c>
      <c r="D103" s="4">
        <v>1</v>
      </c>
      <c r="E103" s="4">
        <v>226</v>
      </c>
      <c r="F103" s="4">
        <f>ROUND(Source!AW97,O103)</f>
        <v>2190.92</v>
      </c>
      <c r="G103" s="4" t="s">
        <v>54</v>
      </c>
      <c r="H103" s="4" t="s">
        <v>55</v>
      </c>
      <c r="I103" s="4"/>
      <c r="J103" s="4"/>
      <c r="K103" s="4">
        <v>226</v>
      </c>
      <c r="L103" s="4">
        <v>5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231.42</v>
      </c>
      <c r="X103" s="4">
        <v>1</v>
      </c>
      <c r="Y103" s="4">
        <v>231.42</v>
      </c>
      <c r="Z103" s="4"/>
      <c r="AA103" s="4"/>
      <c r="AB103" s="4"/>
    </row>
    <row r="104" spans="1:206" x14ac:dyDescent="0.2">
      <c r="A104" s="4">
        <v>50</v>
      </c>
      <c r="B104" s="4">
        <v>0</v>
      </c>
      <c r="C104" s="4">
        <v>0</v>
      </c>
      <c r="D104" s="4">
        <v>1</v>
      </c>
      <c r="E104" s="4">
        <v>227</v>
      </c>
      <c r="F104" s="4">
        <f>ROUND(Source!AX97,O104)</f>
        <v>0</v>
      </c>
      <c r="G104" s="4" t="s">
        <v>56</v>
      </c>
      <c r="H104" s="4" t="s">
        <v>57</v>
      </c>
      <c r="I104" s="4"/>
      <c r="J104" s="4"/>
      <c r="K104" s="4">
        <v>227</v>
      </c>
      <c r="L104" s="4">
        <v>6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06" x14ac:dyDescent="0.2">
      <c r="A105" s="4">
        <v>50</v>
      </c>
      <c r="B105" s="4">
        <v>0</v>
      </c>
      <c r="C105" s="4">
        <v>0</v>
      </c>
      <c r="D105" s="4">
        <v>1</v>
      </c>
      <c r="E105" s="4">
        <v>228</v>
      </c>
      <c r="F105" s="4">
        <f>ROUND(Source!AY97,O105)</f>
        <v>2190.92</v>
      </c>
      <c r="G105" s="4" t="s">
        <v>58</v>
      </c>
      <c r="H105" s="4" t="s">
        <v>59</v>
      </c>
      <c r="I105" s="4"/>
      <c r="J105" s="4"/>
      <c r="K105" s="4">
        <v>228</v>
      </c>
      <c r="L105" s="4">
        <v>7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231.42</v>
      </c>
      <c r="X105" s="4">
        <v>1</v>
      </c>
      <c r="Y105" s="4">
        <v>231.42</v>
      </c>
      <c r="Z105" s="4"/>
      <c r="AA105" s="4"/>
      <c r="AB105" s="4"/>
    </row>
    <row r="106" spans="1:206" x14ac:dyDescent="0.2">
      <c r="A106" s="4">
        <v>50</v>
      </c>
      <c r="B106" s="4">
        <v>0</v>
      </c>
      <c r="C106" s="4">
        <v>0</v>
      </c>
      <c r="D106" s="4">
        <v>1</v>
      </c>
      <c r="E106" s="4">
        <v>216</v>
      </c>
      <c r="F106" s="4">
        <f>ROUND(Source!AP97,O106)</f>
        <v>0</v>
      </c>
      <c r="G106" s="4" t="s">
        <v>60</v>
      </c>
      <c r="H106" s="4" t="s">
        <v>61</v>
      </c>
      <c r="I106" s="4"/>
      <c r="J106" s="4"/>
      <c r="K106" s="4">
        <v>216</v>
      </c>
      <c r="L106" s="4">
        <v>8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06" x14ac:dyDescent="0.2">
      <c r="A107" s="4">
        <v>50</v>
      </c>
      <c r="B107" s="4">
        <v>0</v>
      </c>
      <c r="C107" s="4">
        <v>0</v>
      </c>
      <c r="D107" s="4">
        <v>1</v>
      </c>
      <c r="E107" s="4">
        <v>223</v>
      </c>
      <c r="F107" s="4">
        <f>ROUND(Source!AQ97,O107)</f>
        <v>0</v>
      </c>
      <c r="G107" s="4" t="s">
        <v>62</v>
      </c>
      <c r="H107" s="4" t="s">
        <v>63</v>
      </c>
      <c r="I107" s="4"/>
      <c r="J107" s="4"/>
      <c r="K107" s="4">
        <v>223</v>
      </c>
      <c r="L107" s="4">
        <v>9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0</v>
      </c>
      <c r="X107" s="4">
        <v>1</v>
      </c>
      <c r="Y107" s="4">
        <v>0</v>
      </c>
      <c r="Z107" s="4"/>
      <c r="AA107" s="4"/>
      <c r="AB107" s="4"/>
    </row>
    <row r="108" spans="1:206" x14ac:dyDescent="0.2">
      <c r="A108" s="4">
        <v>50</v>
      </c>
      <c r="B108" s="4">
        <v>0</v>
      </c>
      <c r="C108" s="4">
        <v>0</v>
      </c>
      <c r="D108" s="4">
        <v>1</v>
      </c>
      <c r="E108" s="4">
        <v>229</v>
      </c>
      <c r="F108" s="4">
        <f>ROUND(Source!AZ97,O108)</f>
        <v>0</v>
      </c>
      <c r="G108" s="4" t="s">
        <v>64</v>
      </c>
      <c r="H108" s="4" t="s">
        <v>65</v>
      </c>
      <c r="I108" s="4"/>
      <c r="J108" s="4"/>
      <c r="K108" s="4">
        <v>229</v>
      </c>
      <c r="L108" s="4">
        <v>10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06" x14ac:dyDescent="0.2">
      <c r="A109" s="4">
        <v>50</v>
      </c>
      <c r="B109" s="4">
        <v>0</v>
      </c>
      <c r="C109" s="4">
        <v>0</v>
      </c>
      <c r="D109" s="4">
        <v>1</v>
      </c>
      <c r="E109" s="4">
        <v>203</v>
      </c>
      <c r="F109" s="4">
        <f>ROUND(Source!Q97,O109)</f>
        <v>7458.98</v>
      </c>
      <c r="G109" s="4" t="s">
        <v>66</v>
      </c>
      <c r="H109" s="4" t="s">
        <v>67</v>
      </c>
      <c r="I109" s="4"/>
      <c r="J109" s="4"/>
      <c r="K109" s="4">
        <v>203</v>
      </c>
      <c r="L109" s="4">
        <v>11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1729.85</v>
      </c>
      <c r="X109" s="4">
        <v>1</v>
      </c>
      <c r="Y109" s="4">
        <v>1729.85</v>
      </c>
      <c r="Z109" s="4"/>
      <c r="AA109" s="4"/>
      <c r="AB109" s="4"/>
    </row>
    <row r="110" spans="1:206" x14ac:dyDescent="0.2">
      <c r="A110" s="4">
        <v>50</v>
      </c>
      <c r="B110" s="4">
        <v>0</v>
      </c>
      <c r="C110" s="4">
        <v>0</v>
      </c>
      <c r="D110" s="4">
        <v>1</v>
      </c>
      <c r="E110" s="4">
        <v>231</v>
      </c>
      <c r="F110" s="4">
        <f>ROUND(Source!BB97,O110)</f>
        <v>0</v>
      </c>
      <c r="G110" s="4" t="s">
        <v>68</v>
      </c>
      <c r="H110" s="4" t="s">
        <v>69</v>
      </c>
      <c r="I110" s="4"/>
      <c r="J110" s="4"/>
      <c r="K110" s="4">
        <v>231</v>
      </c>
      <c r="L110" s="4">
        <v>12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0</v>
      </c>
      <c r="X110" s="4">
        <v>1</v>
      </c>
      <c r="Y110" s="4">
        <v>0</v>
      </c>
      <c r="Z110" s="4"/>
      <c r="AA110" s="4"/>
      <c r="AB110" s="4"/>
    </row>
    <row r="111" spans="1:206" x14ac:dyDescent="0.2">
      <c r="A111" s="4">
        <v>50</v>
      </c>
      <c r="B111" s="4">
        <v>0</v>
      </c>
      <c r="C111" s="4">
        <v>0</v>
      </c>
      <c r="D111" s="4">
        <v>1</v>
      </c>
      <c r="E111" s="4">
        <v>204</v>
      </c>
      <c r="F111" s="4">
        <f>ROUND(Source!R97,O111)</f>
        <v>4660.82</v>
      </c>
      <c r="G111" s="4" t="s">
        <v>70</v>
      </c>
      <c r="H111" s="4" t="s">
        <v>71</v>
      </c>
      <c r="I111" s="4"/>
      <c r="J111" s="4"/>
      <c r="K111" s="4">
        <v>204</v>
      </c>
      <c r="L111" s="4">
        <v>13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1090.6500000000001</v>
      </c>
      <c r="X111" s="4">
        <v>1</v>
      </c>
      <c r="Y111" s="4">
        <v>1090.6500000000001</v>
      </c>
      <c r="Z111" s="4"/>
      <c r="AA111" s="4"/>
      <c r="AB111" s="4"/>
    </row>
    <row r="112" spans="1:206" x14ac:dyDescent="0.2">
      <c r="A112" s="4">
        <v>50</v>
      </c>
      <c r="B112" s="4">
        <v>0</v>
      </c>
      <c r="C112" s="4">
        <v>0</v>
      </c>
      <c r="D112" s="4">
        <v>1</v>
      </c>
      <c r="E112" s="4">
        <v>205</v>
      </c>
      <c r="F112" s="4">
        <f>ROUND(Source!S97,O112)</f>
        <v>195621.05</v>
      </c>
      <c r="G112" s="4" t="s">
        <v>72</v>
      </c>
      <c r="H112" s="4" t="s">
        <v>73</v>
      </c>
      <c r="I112" s="4"/>
      <c r="J112" s="4"/>
      <c r="K112" s="4">
        <v>205</v>
      </c>
      <c r="L112" s="4">
        <v>14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25689.15</v>
      </c>
      <c r="X112" s="4">
        <v>1</v>
      </c>
      <c r="Y112" s="4">
        <v>25689.15</v>
      </c>
      <c r="Z112" s="4"/>
      <c r="AA112" s="4"/>
      <c r="AB112" s="4"/>
    </row>
    <row r="113" spans="1:88" x14ac:dyDescent="0.2">
      <c r="A113" s="4">
        <v>50</v>
      </c>
      <c r="B113" s="4">
        <v>0</v>
      </c>
      <c r="C113" s="4">
        <v>0</v>
      </c>
      <c r="D113" s="4">
        <v>1</v>
      </c>
      <c r="E113" s="4">
        <v>232</v>
      </c>
      <c r="F113" s="4">
        <f>ROUND(Source!BC97,O113)</f>
        <v>0</v>
      </c>
      <c r="G113" s="4" t="s">
        <v>74</v>
      </c>
      <c r="H113" s="4" t="s">
        <v>75</v>
      </c>
      <c r="I113" s="4"/>
      <c r="J113" s="4"/>
      <c r="K113" s="4">
        <v>232</v>
      </c>
      <c r="L113" s="4">
        <v>15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88" x14ac:dyDescent="0.2">
      <c r="A114" s="4">
        <v>50</v>
      </c>
      <c r="B114" s="4">
        <v>0</v>
      </c>
      <c r="C114" s="4">
        <v>0</v>
      </c>
      <c r="D114" s="4">
        <v>1</v>
      </c>
      <c r="E114" s="4">
        <v>214</v>
      </c>
      <c r="F114" s="4">
        <f>ROUND(Source!AS97,O114)</f>
        <v>0</v>
      </c>
      <c r="G114" s="4" t="s">
        <v>76</v>
      </c>
      <c r="H114" s="4" t="s">
        <v>77</v>
      </c>
      <c r="I114" s="4"/>
      <c r="J114" s="4"/>
      <c r="K114" s="4">
        <v>214</v>
      </c>
      <c r="L114" s="4">
        <v>16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88" x14ac:dyDescent="0.2">
      <c r="A115" s="4">
        <v>50</v>
      </c>
      <c r="B115" s="4">
        <v>0</v>
      </c>
      <c r="C115" s="4">
        <v>0</v>
      </c>
      <c r="D115" s="4">
        <v>1</v>
      </c>
      <c r="E115" s="4">
        <v>215</v>
      </c>
      <c r="F115" s="4">
        <f>ROUND(Source!AT97,O115)</f>
        <v>0</v>
      </c>
      <c r="G115" s="4" t="s">
        <v>78</v>
      </c>
      <c r="H115" s="4" t="s">
        <v>79</v>
      </c>
      <c r="I115" s="4"/>
      <c r="J115" s="4"/>
      <c r="K115" s="4">
        <v>215</v>
      </c>
      <c r="L115" s="4">
        <v>17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88" x14ac:dyDescent="0.2">
      <c r="A116" s="4">
        <v>50</v>
      </c>
      <c r="B116" s="4">
        <v>0</v>
      </c>
      <c r="C116" s="4">
        <v>0</v>
      </c>
      <c r="D116" s="4">
        <v>1</v>
      </c>
      <c r="E116" s="4">
        <v>217</v>
      </c>
      <c r="F116" s="4">
        <f>ROUND(Source!AU97,O116)</f>
        <v>366801.47</v>
      </c>
      <c r="G116" s="4" t="s">
        <v>80</v>
      </c>
      <c r="H116" s="4" t="s">
        <v>81</v>
      </c>
      <c r="I116" s="4"/>
      <c r="J116" s="4"/>
      <c r="K116" s="4">
        <v>217</v>
      </c>
      <c r="L116" s="4">
        <v>18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49379.65</v>
      </c>
      <c r="X116" s="4">
        <v>1</v>
      </c>
      <c r="Y116" s="4">
        <v>49379.65</v>
      </c>
      <c r="Z116" s="4"/>
      <c r="AA116" s="4"/>
      <c r="AB116" s="4"/>
    </row>
    <row r="117" spans="1:88" x14ac:dyDescent="0.2">
      <c r="A117" s="4">
        <v>50</v>
      </c>
      <c r="B117" s="4">
        <v>0</v>
      </c>
      <c r="C117" s="4">
        <v>0</v>
      </c>
      <c r="D117" s="4">
        <v>1</v>
      </c>
      <c r="E117" s="4">
        <v>230</v>
      </c>
      <c r="F117" s="4">
        <f>ROUND(Source!BA97,O117)</f>
        <v>0</v>
      </c>
      <c r="G117" s="4" t="s">
        <v>82</v>
      </c>
      <c r="H117" s="4" t="s">
        <v>83</v>
      </c>
      <c r="I117" s="4"/>
      <c r="J117" s="4"/>
      <c r="K117" s="4">
        <v>230</v>
      </c>
      <c r="L117" s="4">
        <v>19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88" x14ac:dyDescent="0.2">
      <c r="A118" s="4">
        <v>50</v>
      </c>
      <c r="B118" s="4">
        <v>0</v>
      </c>
      <c r="C118" s="4">
        <v>0</v>
      </c>
      <c r="D118" s="4">
        <v>1</v>
      </c>
      <c r="E118" s="4">
        <v>206</v>
      </c>
      <c r="F118" s="4">
        <f>ROUND(Source!T97,O118)</f>
        <v>0</v>
      </c>
      <c r="G118" s="4" t="s">
        <v>84</v>
      </c>
      <c r="H118" s="4" t="s">
        <v>85</v>
      </c>
      <c r="I118" s="4"/>
      <c r="J118" s="4"/>
      <c r="K118" s="4">
        <v>206</v>
      </c>
      <c r="L118" s="4">
        <v>20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88" x14ac:dyDescent="0.2">
      <c r="A119" s="4">
        <v>50</v>
      </c>
      <c r="B119" s="4">
        <v>0</v>
      </c>
      <c r="C119" s="4">
        <v>0</v>
      </c>
      <c r="D119" s="4">
        <v>1</v>
      </c>
      <c r="E119" s="4">
        <v>207</v>
      </c>
      <c r="F119" s="4">
        <f>Source!U97</f>
        <v>378.19579999999996</v>
      </c>
      <c r="G119" s="4" t="s">
        <v>86</v>
      </c>
      <c r="H119" s="4" t="s">
        <v>87</v>
      </c>
      <c r="I119" s="4"/>
      <c r="J119" s="4"/>
      <c r="K119" s="4">
        <v>207</v>
      </c>
      <c r="L119" s="4">
        <v>21</v>
      </c>
      <c r="M119" s="4">
        <v>3</v>
      </c>
      <c r="N119" s="4" t="s">
        <v>3</v>
      </c>
      <c r="O119" s="4">
        <v>-1</v>
      </c>
      <c r="P119" s="4"/>
      <c r="Q119" s="4"/>
      <c r="R119" s="4"/>
      <c r="S119" s="4"/>
      <c r="T119" s="4"/>
      <c r="U119" s="4"/>
      <c r="V119" s="4"/>
      <c r="W119" s="4">
        <v>49.049600000000005</v>
      </c>
      <c r="X119" s="4">
        <v>1</v>
      </c>
      <c r="Y119" s="4">
        <v>49.049600000000005</v>
      </c>
      <c r="Z119" s="4"/>
      <c r="AA119" s="4"/>
      <c r="AB119" s="4"/>
    </row>
    <row r="120" spans="1:88" x14ac:dyDescent="0.2">
      <c r="A120" s="4">
        <v>50</v>
      </c>
      <c r="B120" s="4">
        <v>0</v>
      </c>
      <c r="C120" s="4">
        <v>0</v>
      </c>
      <c r="D120" s="4">
        <v>1</v>
      </c>
      <c r="E120" s="4">
        <v>208</v>
      </c>
      <c r="F120" s="4">
        <f>Source!V97</f>
        <v>0</v>
      </c>
      <c r="G120" s="4" t="s">
        <v>88</v>
      </c>
      <c r="H120" s="4" t="s">
        <v>89</v>
      </c>
      <c r="I120" s="4"/>
      <c r="J120" s="4"/>
      <c r="K120" s="4">
        <v>208</v>
      </c>
      <c r="L120" s="4">
        <v>22</v>
      </c>
      <c r="M120" s="4">
        <v>3</v>
      </c>
      <c r="N120" s="4" t="s">
        <v>3</v>
      </c>
      <c r="O120" s="4">
        <v>-1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88" x14ac:dyDescent="0.2">
      <c r="A121" s="4">
        <v>50</v>
      </c>
      <c r="B121" s="4">
        <v>0</v>
      </c>
      <c r="C121" s="4">
        <v>0</v>
      </c>
      <c r="D121" s="4">
        <v>1</v>
      </c>
      <c r="E121" s="4">
        <v>209</v>
      </c>
      <c r="F121" s="4">
        <f>ROUND(Source!W97,O121)</f>
        <v>0</v>
      </c>
      <c r="G121" s="4" t="s">
        <v>90</v>
      </c>
      <c r="H121" s="4" t="s">
        <v>91</v>
      </c>
      <c r="I121" s="4"/>
      <c r="J121" s="4"/>
      <c r="K121" s="4">
        <v>209</v>
      </c>
      <c r="L121" s="4">
        <v>23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0</v>
      </c>
      <c r="X121" s="4">
        <v>1</v>
      </c>
      <c r="Y121" s="4">
        <v>0</v>
      </c>
      <c r="Z121" s="4"/>
      <c r="AA121" s="4"/>
      <c r="AB121" s="4"/>
    </row>
    <row r="122" spans="1:88" x14ac:dyDescent="0.2">
      <c r="A122" s="4">
        <v>50</v>
      </c>
      <c r="B122" s="4">
        <v>0</v>
      </c>
      <c r="C122" s="4">
        <v>0</v>
      </c>
      <c r="D122" s="4">
        <v>1</v>
      </c>
      <c r="E122" s="4">
        <v>233</v>
      </c>
      <c r="F122" s="4">
        <f>ROUND(Source!BD97,O122)</f>
        <v>0</v>
      </c>
      <c r="G122" s="4" t="s">
        <v>92</v>
      </c>
      <c r="H122" s="4" t="s">
        <v>93</v>
      </c>
      <c r="I122" s="4"/>
      <c r="J122" s="4"/>
      <c r="K122" s="4">
        <v>233</v>
      </c>
      <c r="L122" s="4">
        <v>24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0</v>
      </c>
      <c r="X122" s="4">
        <v>1</v>
      </c>
      <c r="Y122" s="4">
        <v>0</v>
      </c>
      <c r="Z122" s="4"/>
      <c r="AA122" s="4"/>
      <c r="AB122" s="4"/>
    </row>
    <row r="123" spans="1:88" x14ac:dyDescent="0.2">
      <c r="A123" s="4">
        <v>50</v>
      </c>
      <c r="B123" s="4">
        <v>0</v>
      </c>
      <c r="C123" s="4">
        <v>0</v>
      </c>
      <c r="D123" s="4">
        <v>1</v>
      </c>
      <c r="E123" s="4">
        <v>210</v>
      </c>
      <c r="F123" s="4">
        <f>ROUND(Source!X97,O123)</f>
        <v>136934.73000000001</v>
      </c>
      <c r="G123" s="4" t="s">
        <v>94</v>
      </c>
      <c r="H123" s="4" t="s">
        <v>95</v>
      </c>
      <c r="I123" s="4"/>
      <c r="J123" s="4"/>
      <c r="K123" s="4">
        <v>210</v>
      </c>
      <c r="L123" s="4">
        <v>25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17982.41</v>
      </c>
      <c r="X123" s="4">
        <v>1</v>
      </c>
      <c r="Y123" s="4">
        <v>17982.41</v>
      </c>
      <c r="Z123" s="4"/>
      <c r="AA123" s="4"/>
      <c r="AB123" s="4"/>
    </row>
    <row r="124" spans="1:88" x14ac:dyDescent="0.2">
      <c r="A124" s="4">
        <v>50</v>
      </c>
      <c r="B124" s="4">
        <v>0</v>
      </c>
      <c r="C124" s="4">
        <v>0</v>
      </c>
      <c r="D124" s="4">
        <v>1</v>
      </c>
      <c r="E124" s="4">
        <v>211</v>
      </c>
      <c r="F124" s="4">
        <f>ROUND(Source!Y97,O124)</f>
        <v>19562.11</v>
      </c>
      <c r="G124" s="4" t="s">
        <v>96</v>
      </c>
      <c r="H124" s="4" t="s">
        <v>97</v>
      </c>
      <c r="I124" s="4"/>
      <c r="J124" s="4"/>
      <c r="K124" s="4">
        <v>211</v>
      </c>
      <c r="L124" s="4">
        <v>26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2568.92</v>
      </c>
      <c r="X124" s="4">
        <v>1</v>
      </c>
      <c r="Y124" s="4">
        <v>2568.92</v>
      </c>
      <c r="Z124" s="4"/>
      <c r="AA124" s="4"/>
      <c r="AB124" s="4"/>
    </row>
    <row r="125" spans="1:88" x14ac:dyDescent="0.2">
      <c r="A125" s="4">
        <v>50</v>
      </c>
      <c r="B125" s="4">
        <v>0</v>
      </c>
      <c r="C125" s="4">
        <v>0</v>
      </c>
      <c r="D125" s="4">
        <v>1</v>
      </c>
      <c r="E125" s="4">
        <v>224</v>
      </c>
      <c r="F125" s="4">
        <f>ROUND(Source!AR97,O125)</f>
        <v>366801.47</v>
      </c>
      <c r="G125" s="4" t="s">
        <v>98</v>
      </c>
      <c r="H125" s="4" t="s">
        <v>99</v>
      </c>
      <c r="I125" s="4"/>
      <c r="J125" s="4"/>
      <c r="K125" s="4">
        <v>224</v>
      </c>
      <c r="L125" s="4">
        <v>27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49379.65</v>
      </c>
      <c r="X125" s="4">
        <v>1</v>
      </c>
      <c r="Y125" s="4">
        <v>49379.65</v>
      </c>
      <c r="Z125" s="4"/>
      <c r="AA125" s="4"/>
      <c r="AB125" s="4"/>
    </row>
    <row r="127" spans="1:88" x14ac:dyDescent="0.2">
      <c r="A127" s="1">
        <v>5</v>
      </c>
      <c r="B127" s="1">
        <v>1</v>
      </c>
      <c r="C127" s="1"/>
      <c r="D127" s="1">
        <f>ROW(A142)</f>
        <v>142</v>
      </c>
      <c r="E127" s="1"/>
      <c r="F127" s="1" t="s">
        <v>15</v>
      </c>
      <c r="G127" s="1" t="s">
        <v>139</v>
      </c>
      <c r="H127" s="1" t="s">
        <v>3</v>
      </c>
      <c r="I127" s="1">
        <v>0</v>
      </c>
      <c r="J127" s="1"/>
      <c r="K127" s="1">
        <v>0</v>
      </c>
      <c r="L127" s="1"/>
      <c r="M127" s="1" t="s">
        <v>3</v>
      </c>
      <c r="N127" s="1"/>
      <c r="O127" s="1"/>
      <c r="P127" s="1"/>
      <c r="Q127" s="1"/>
      <c r="R127" s="1"/>
      <c r="S127" s="1">
        <v>0</v>
      </c>
      <c r="T127" s="1"/>
      <c r="U127" s="1" t="s">
        <v>3</v>
      </c>
      <c r="V127" s="1">
        <v>0</v>
      </c>
      <c r="W127" s="1"/>
      <c r="X127" s="1"/>
      <c r="Y127" s="1"/>
      <c r="Z127" s="1"/>
      <c r="AA127" s="1"/>
      <c r="AB127" s="1" t="s">
        <v>3</v>
      </c>
      <c r="AC127" s="1" t="s">
        <v>3</v>
      </c>
      <c r="AD127" s="1" t="s">
        <v>3</v>
      </c>
      <c r="AE127" s="1" t="s">
        <v>3</v>
      </c>
      <c r="AF127" s="1" t="s">
        <v>3</v>
      </c>
      <c r="AG127" s="1" t="s">
        <v>3</v>
      </c>
      <c r="AH127" s="1"/>
      <c r="AI127" s="1"/>
      <c r="AJ127" s="1"/>
      <c r="AK127" s="1"/>
      <c r="AL127" s="1"/>
      <c r="AM127" s="1"/>
      <c r="AN127" s="1"/>
      <c r="AO127" s="1"/>
      <c r="AP127" s="1" t="s">
        <v>3</v>
      </c>
      <c r="AQ127" s="1" t="s">
        <v>3</v>
      </c>
      <c r="AR127" s="1" t="s">
        <v>3</v>
      </c>
      <c r="AS127" s="1"/>
      <c r="AT127" s="1"/>
      <c r="AU127" s="1"/>
      <c r="AV127" s="1"/>
      <c r="AW127" s="1"/>
      <c r="AX127" s="1"/>
      <c r="AY127" s="1"/>
      <c r="AZ127" s="1" t="s">
        <v>3</v>
      </c>
      <c r="BA127" s="1"/>
      <c r="BB127" s="1" t="s">
        <v>3</v>
      </c>
      <c r="BC127" s="1" t="s">
        <v>3</v>
      </c>
      <c r="BD127" s="1" t="s">
        <v>3</v>
      </c>
      <c r="BE127" s="1" t="s">
        <v>3</v>
      </c>
      <c r="BF127" s="1" t="s">
        <v>3</v>
      </c>
      <c r="BG127" s="1" t="s">
        <v>3</v>
      </c>
      <c r="BH127" s="1" t="s">
        <v>3</v>
      </c>
      <c r="BI127" s="1" t="s">
        <v>3</v>
      </c>
      <c r="BJ127" s="1" t="s">
        <v>3</v>
      </c>
      <c r="BK127" s="1" t="s">
        <v>3</v>
      </c>
      <c r="BL127" s="1" t="s">
        <v>3</v>
      </c>
      <c r="BM127" s="1" t="s">
        <v>3</v>
      </c>
      <c r="BN127" s="1" t="s">
        <v>3</v>
      </c>
      <c r="BO127" s="1" t="s">
        <v>3</v>
      </c>
      <c r="BP127" s="1" t="s">
        <v>3</v>
      </c>
      <c r="BQ127" s="1"/>
      <c r="BR127" s="1"/>
      <c r="BS127" s="1"/>
      <c r="BT127" s="1"/>
      <c r="BU127" s="1"/>
      <c r="BV127" s="1"/>
      <c r="BW127" s="1"/>
      <c r="BX127" s="1">
        <v>0</v>
      </c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>
        <v>0</v>
      </c>
    </row>
    <row r="129" spans="1:245" x14ac:dyDescent="0.2">
      <c r="A129" s="2">
        <v>52</v>
      </c>
      <c r="B129" s="2">
        <f t="shared" ref="B129:G129" si="113">B142</f>
        <v>1</v>
      </c>
      <c r="C129" s="2">
        <f t="shared" si="113"/>
        <v>5</v>
      </c>
      <c r="D129" s="2">
        <f t="shared" si="113"/>
        <v>127</v>
      </c>
      <c r="E129" s="2">
        <f t="shared" si="113"/>
        <v>0</v>
      </c>
      <c r="F129" s="2" t="str">
        <f t="shared" si="113"/>
        <v>Новый подраздел</v>
      </c>
      <c r="G129" s="2" t="str">
        <f t="shared" si="113"/>
        <v>Канализация</v>
      </c>
      <c r="H129" s="2"/>
      <c r="I129" s="2"/>
      <c r="J129" s="2"/>
      <c r="K129" s="2"/>
      <c r="L129" s="2"/>
      <c r="M129" s="2"/>
      <c r="N129" s="2"/>
      <c r="O129" s="2">
        <f t="shared" ref="O129:AT129" si="114">O142</f>
        <v>0</v>
      </c>
      <c r="P129" s="2">
        <f t="shared" si="114"/>
        <v>0</v>
      </c>
      <c r="Q129" s="2">
        <f t="shared" si="114"/>
        <v>0</v>
      </c>
      <c r="R129" s="2">
        <f t="shared" si="114"/>
        <v>0</v>
      </c>
      <c r="S129" s="2">
        <f t="shared" si="114"/>
        <v>0</v>
      </c>
      <c r="T129" s="2">
        <f t="shared" si="114"/>
        <v>0</v>
      </c>
      <c r="U129" s="2">
        <f t="shared" si="114"/>
        <v>0</v>
      </c>
      <c r="V129" s="2">
        <f t="shared" si="114"/>
        <v>0</v>
      </c>
      <c r="W129" s="2">
        <f t="shared" si="114"/>
        <v>0</v>
      </c>
      <c r="X129" s="2">
        <f t="shared" si="114"/>
        <v>0</v>
      </c>
      <c r="Y129" s="2">
        <f t="shared" si="114"/>
        <v>0</v>
      </c>
      <c r="Z129" s="2">
        <f t="shared" si="114"/>
        <v>0</v>
      </c>
      <c r="AA129" s="2">
        <f t="shared" si="114"/>
        <v>0</v>
      </c>
      <c r="AB129" s="2">
        <f t="shared" si="114"/>
        <v>0</v>
      </c>
      <c r="AC129" s="2">
        <f t="shared" si="114"/>
        <v>0</v>
      </c>
      <c r="AD129" s="2">
        <f t="shared" si="114"/>
        <v>0</v>
      </c>
      <c r="AE129" s="2">
        <f t="shared" si="114"/>
        <v>0</v>
      </c>
      <c r="AF129" s="2">
        <f t="shared" si="114"/>
        <v>0</v>
      </c>
      <c r="AG129" s="2">
        <f t="shared" si="114"/>
        <v>0</v>
      </c>
      <c r="AH129" s="2">
        <f t="shared" si="114"/>
        <v>0</v>
      </c>
      <c r="AI129" s="2">
        <f t="shared" si="114"/>
        <v>0</v>
      </c>
      <c r="AJ129" s="2">
        <f t="shared" si="114"/>
        <v>0</v>
      </c>
      <c r="AK129" s="2">
        <f t="shared" si="114"/>
        <v>0</v>
      </c>
      <c r="AL129" s="2">
        <f t="shared" si="114"/>
        <v>0</v>
      </c>
      <c r="AM129" s="2">
        <f t="shared" si="114"/>
        <v>0</v>
      </c>
      <c r="AN129" s="2">
        <f t="shared" si="114"/>
        <v>0</v>
      </c>
      <c r="AO129" s="2">
        <f t="shared" si="114"/>
        <v>0</v>
      </c>
      <c r="AP129" s="2">
        <f t="shared" si="114"/>
        <v>0</v>
      </c>
      <c r="AQ129" s="2">
        <f t="shared" si="114"/>
        <v>0</v>
      </c>
      <c r="AR129" s="2">
        <f t="shared" si="114"/>
        <v>0</v>
      </c>
      <c r="AS129" s="2">
        <f t="shared" si="114"/>
        <v>0</v>
      </c>
      <c r="AT129" s="2">
        <f t="shared" si="114"/>
        <v>0</v>
      </c>
      <c r="AU129" s="2">
        <f t="shared" ref="AU129:BZ129" si="115">AU142</f>
        <v>0</v>
      </c>
      <c r="AV129" s="2">
        <f t="shared" si="115"/>
        <v>0</v>
      </c>
      <c r="AW129" s="2">
        <f t="shared" si="115"/>
        <v>0</v>
      </c>
      <c r="AX129" s="2">
        <f t="shared" si="115"/>
        <v>0</v>
      </c>
      <c r="AY129" s="2">
        <f t="shared" si="115"/>
        <v>0</v>
      </c>
      <c r="AZ129" s="2">
        <f t="shared" si="115"/>
        <v>0</v>
      </c>
      <c r="BA129" s="2">
        <f t="shared" si="115"/>
        <v>0</v>
      </c>
      <c r="BB129" s="2">
        <f t="shared" si="115"/>
        <v>0</v>
      </c>
      <c r="BC129" s="2">
        <f t="shared" si="115"/>
        <v>0</v>
      </c>
      <c r="BD129" s="2">
        <f t="shared" si="115"/>
        <v>0</v>
      </c>
      <c r="BE129" s="2">
        <f t="shared" si="115"/>
        <v>0</v>
      </c>
      <c r="BF129" s="2">
        <f t="shared" si="115"/>
        <v>0</v>
      </c>
      <c r="BG129" s="2">
        <f t="shared" si="115"/>
        <v>0</v>
      </c>
      <c r="BH129" s="2">
        <f t="shared" si="115"/>
        <v>0</v>
      </c>
      <c r="BI129" s="2">
        <f t="shared" si="115"/>
        <v>0</v>
      </c>
      <c r="BJ129" s="2">
        <f t="shared" si="115"/>
        <v>0</v>
      </c>
      <c r="BK129" s="2">
        <f t="shared" si="115"/>
        <v>0</v>
      </c>
      <c r="BL129" s="2">
        <f t="shared" si="115"/>
        <v>0</v>
      </c>
      <c r="BM129" s="2">
        <f t="shared" si="115"/>
        <v>0</v>
      </c>
      <c r="BN129" s="2">
        <f t="shared" si="115"/>
        <v>0</v>
      </c>
      <c r="BO129" s="2">
        <f t="shared" si="115"/>
        <v>0</v>
      </c>
      <c r="BP129" s="2">
        <f t="shared" si="115"/>
        <v>0</v>
      </c>
      <c r="BQ129" s="2">
        <f t="shared" si="115"/>
        <v>0</v>
      </c>
      <c r="BR129" s="2">
        <f t="shared" si="115"/>
        <v>0</v>
      </c>
      <c r="BS129" s="2">
        <f t="shared" si="115"/>
        <v>0</v>
      </c>
      <c r="BT129" s="2">
        <f t="shared" si="115"/>
        <v>0</v>
      </c>
      <c r="BU129" s="2">
        <f t="shared" si="115"/>
        <v>0</v>
      </c>
      <c r="BV129" s="2">
        <f t="shared" si="115"/>
        <v>0</v>
      </c>
      <c r="BW129" s="2">
        <f t="shared" si="115"/>
        <v>0</v>
      </c>
      <c r="BX129" s="2">
        <f t="shared" si="115"/>
        <v>0</v>
      </c>
      <c r="BY129" s="2">
        <f t="shared" si="115"/>
        <v>0</v>
      </c>
      <c r="BZ129" s="2">
        <f t="shared" si="115"/>
        <v>0</v>
      </c>
      <c r="CA129" s="2">
        <f t="shared" ref="CA129:DF129" si="116">CA142</f>
        <v>0</v>
      </c>
      <c r="CB129" s="2">
        <f t="shared" si="116"/>
        <v>0</v>
      </c>
      <c r="CC129" s="2">
        <f t="shared" si="116"/>
        <v>0</v>
      </c>
      <c r="CD129" s="2">
        <f t="shared" si="116"/>
        <v>0</v>
      </c>
      <c r="CE129" s="2">
        <f t="shared" si="116"/>
        <v>0</v>
      </c>
      <c r="CF129" s="2">
        <f t="shared" si="116"/>
        <v>0</v>
      </c>
      <c r="CG129" s="2">
        <f t="shared" si="116"/>
        <v>0</v>
      </c>
      <c r="CH129" s="2">
        <f t="shared" si="116"/>
        <v>0</v>
      </c>
      <c r="CI129" s="2">
        <f t="shared" si="116"/>
        <v>0</v>
      </c>
      <c r="CJ129" s="2">
        <f t="shared" si="116"/>
        <v>0</v>
      </c>
      <c r="CK129" s="2">
        <f t="shared" si="116"/>
        <v>0</v>
      </c>
      <c r="CL129" s="2">
        <f t="shared" si="116"/>
        <v>0</v>
      </c>
      <c r="CM129" s="2">
        <f t="shared" si="116"/>
        <v>0</v>
      </c>
      <c r="CN129" s="2">
        <f t="shared" si="116"/>
        <v>0</v>
      </c>
      <c r="CO129" s="2">
        <f t="shared" si="116"/>
        <v>0</v>
      </c>
      <c r="CP129" s="2">
        <f t="shared" si="116"/>
        <v>0</v>
      </c>
      <c r="CQ129" s="2">
        <f t="shared" si="116"/>
        <v>0</v>
      </c>
      <c r="CR129" s="2">
        <f t="shared" si="116"/>
        <v>0</v>
      </c>
      <c r="CS129" s="2">
        <f t="shared" si="116"/>
        <v>0</v>
      </c>
      <c r="CT129" s="2">
        <f t="shared" si="116"/>
        <v>0</v>
      </c>
      <c r="CU129" s="2">
        <f t="shared" si="116"/>
        <v>0</v>
      </c>
      <c r="CV129" s="2">
        <f t="shared" si="116"/>
        <v>0</v>
      </c>
      <c r="CW129" s="2">
        <f t="shared" si="116"/>
        <v>0</v>
      </c>
      <c r="CX129" s="2">
        <f t="shared" si="116"/>
        <v>0</v>
      </c>
      <c r="CY129" s="2">
        <f t="shared" si="116"/>
        <v>0</v>
      </c>
      <c r="CZ129" s="2">
        <f t="shared" si="116"/>
        <v>0</v>
      </c>
      <c r="DA129" s="2">
        <f t="shared" si="116"/>
        <v>0</v>
      </c>
      <c r="DB129" s="2">
        <f t="shared" si="116"/>
        <v>0</v>
      </c>
      <c r="DC129" s="2">
        <f t="shared" si="116"/>
        <v>0</v>
      </c>
      <c r="DD129" s="2">
        <f t="shared" si="116"/>
        <v>0</v>
      </c>
      <c r="DE129" s="2">
        <f t="shared" si="116"/>
        <v>0</v>
      </c>
      <c r="DF129" s="2">
        <f t="shared" si="116"/>
        <v>0</v>
      </c>
      <c r="DG129" s="3">
        <f t="shared" ref="DG129:EL129" si="117">DG142</f>
        <v>0</v>
      </c>
      <c r="DH129" s="3">
        <f t="shared" si="117"/>
        <v>0</v>
      </c>
      <c r="DI129" s="3">
        <f t="shared" si="117"/>
        <v>0</v>
      </c>
      <c r="DJ129" s="3">
        <f t="shared" si="117"/>
        <v>0</v>
      </c>
      <c r="DK129" s="3">
        <f t="shared" si="117"/>
        <v>0</v>
      </c>
      <c r="DL129" s="3">
        <f t="shared" si="117"/>
        <v>0</v>
      </c>
      <c r="DM129" s="3">
        <f t="shared" si="117"/>
        <v>0</v>
      </c>
      <c r="DN129" s="3">
        <f t="shared" si="117"/>
        <v>0</v>
      </c>
      <c r="DO129" s="3">
        <f t="shared" si="117"/>
        <v>0</v>
      </c>
      <c r="DP129" s="3">
        <f t="shared" si="117"/>
        <v>0</v>
      </c>
      <c r="DQ129" s="3">
        <f t="shared" si="117"/>
        <v>0</v>
      </c>
      <c r="DR129" s="3">
        <f t="shared" si="117"/>
        <v>0</v>
      </c>
      <c r="DS129" s="3">
        <f t="shared" si="117"/>
        <v>0</v>
      </c>
      <c r="DT129" s="3">
        <f t="shared" si="117"/>
        <v>0</v>
      </c>
      <c r="DU129" s="3">
        <f t="shared" si="117"/>
        <v>0</v>
      </c>
      <c r="DV129" s="3">
        <f t="shared" si="117"/>
        <v>0</v>
      </c>
      <c r="DW129" s="3">
        <f t="shared" si="117"/>
        <v>0</v>
      </c>
      <c r="DX129" s="3">
        <f t="shared" si="117"/>
        <v>0</v>
      </c>
      <c r="DY129" s="3">
        <f t="shared" si="117"/>
        <v>0</v>
      </c>
      <c r="DZ129" s="3">
        <f t="shared" si="117"/>
        <v>0</v>
      </c>
      <c r="EA129" s="3">
        <f t="shared" si="117"/>
        <v>0</v>
      </c>
      <c r="EB129" s="3">
        <f t="shared" si="117"/>
        <v>0</v>
      </c>
      <c r="EC129" s="3">
        <f t="shared" si="117"/>
        <v>0</v>
      </c>
      <c r="ED129" s="3">
        <f t="shared" si="117"/>
        <v>0</v>
      </c>
      <c r="EE129" s="3">
        <f t="shared" si="117"/>
        <v>0</v>
      </c>
      <c r="EF129" s="3">
        <f t="shared" si="117"/>
        <v>0</v>
      </c>
      <c r="EG129" s="3">
        <f t="shared" si="117"/>
        <v>0</v>
      </c>
      <c r="EH129" s="3">
        <f t="shared" si="117"/>
        <v>0</v>
      </c>
      <c r="EI129" s="3">
        <f t="shared" si="117"/>
        <v>0</v>
      </c>
      <c r="EJ129" s="3">
        <f t="shared" si="117"/>
        <v>0</v>
      </c>
      <c r="EK129" s="3">
        <f t="shared" si="117"/>
        <v>0</v>
      </c>
      <c r="EL129" s="3">
        <f t="shared" si="117"/>
        <v>0</v>
      </c>
      <c r="EM129" s="3">
        <f t="shared" ref="EM129:FR129" si="118">EM142</f>
        <v>0</v>
      </c>
      <c r="EN129" s="3">
        <f t="shared" si="118"/>
        <v>0</v>
      </c>
      <c r="EO129" s="3">
        <f t="shared" si="118"/>
        <v>0</v>
      </c>
      <c r="EP129" s="3">
        <f t="shared" si="118"/>
        <v>0</v>
      </c>
      <c r="EQ129" s="3">
        <f t="shared" si="118"/>
        <v>0</v>
      </c>
      <c r="ER129" s="3">
        <f t="shared" si="118"/>
        <v>0</v>
      </c>
      <c r="ES129" s="3">
        <f t="shared" si="118"/>
        <v>0</v>
      </c>
      <c r="ET129" s="3">
        <f t="shared" si="118"/>
        <v>0</v>
      </c>
      <c r="EU129" s="3">
        <f t="shared" si="118"/>
        <v>0</v>
      </c>
      <c r="EV129" s="3">
        <f t="shared" si="118"/>
        <v>0</v>
      </c>
      <c r="EW129" s="3">
        <f t="shared" si="118"/>
        <v>0</v>
      </c>
      <c r="EX129" s="3">
        <f t="shared" si="118"/>
        <v>0</v>
      </c>
      <c r="EY129" s="3">
        <f t="shared" si="118"/>
        <v>0</v>
      </c>
      <c r="EZ129" s="3">
        <f t="shared" si="118"/>
        <v>0</v>
      </c>
      <c r="FA129" s="3">
        <f t="shared" si="118"/>
        <v>0</v>
      </c>
      <c r="FB129" s="3">
        <f t="shared" si="118"/>
        <v>0</v>
      </c>
      <c r="FC129" s="3">
        <f t="shared" si="118"/>
        <v>0</v>
      </c>
      <c r="FD129" s="3">
        <f t="shared" si="118"/>
        <v>0</v>
      </c>
      <c r="FE129" s="3">
        <f t="shared" si="118"/>
        <v>0</v>
      </c>
      <c r="FF129" s="3">
        <f t="shared" si="118"/>
        <v>0</v>
      </c>
      <c r="FG129" s="3">
        <f t="shared" si="118"/>
        <v>0</v>
      </c>
      <c r="FH129" s="3">
        <f t="shared" si="118"/>
        <v>0</v>
      </c>
      <c r="FI129" s="3">
        <f t="shared" si="118"/>
        <v>0</v>
      </c>
      <c r="FJ129" s="3">
        <f t="shared" si="118"/>
        <v>0</v>
      </c>
      <c r="FK129" s="3">
        <f t="shared" si="118"/>
        <v>0</v>
      </c>
      <c r="FL129" s="3">
        <f t="shared" si="118"/>
        <v>0</v>
      </c>
      <c r="FM129" s="3">
        <f t="shared" si="118"/>
        <v>0</v>
      </c>
      <c r="FN129" s="3">
        <f t="shared" si="118"/>
        <v>0</v>
      </c>
      <c r="FO129" s="3">
        <f t="shared" si="118"/>
        <v>0</v>
      </c>
      <c r="FP129" s="3">
        <f t="shared" si="118"/>
        <v>0</v>
      </c>
      <c r="FQ129" s="3">
        <f t="shared" si="118"/>
        <v>0</v>
      </c>
      <c r="FR129" s="3">
        <f t="shared" si="118"/>
        <v>0</v>
      </c>
      <c r="FS129" s="3">
        <f t="shared" ref="FS129:GX129" si="119">FS142</f>
        <v>0</v>
      </c>
      <c r="FT129" s="3">
        <f t="shared" si="119"/>
        <v>0</v>
      </c>
      <c r="FU129" s="3">
        <f t="shared" si="119"/>
        <v>0</v>
      </c>
      <c r="FV129" s="3">
        <f t="shared" si="119"/>
        <v>0</v>
      </c>
      <c r="FW129" s="3">
        <f t="shared" si="119"/>
        <v>0</v>
      </c>
      <c r="FX129" s="3">
        <f t="shared" si="119"/>
        <v>0</v>
      </c>
      <c r="FY129" s="3">
        <f t="shared" si="119"/>
        <v>0</v>
      </c>
      <c r="FZ129" s="3">
        <f t="shared" si="119"/>
        <v>0</v>
      </c>
      <c r="GA129" s="3">
        <f t="shared" si="119"/>
        <v>0</v>
      </c>
      <c r="GB129" s="3">
        <f t="shared" si="119"/>
        <v>0</v>
      </c>
      <c r="GC129" s="3">
        <f t="shared" si="119"/>
        <v>0</v>
      </c>
      <c r="GD129" s="3">
        <f t="shared" si="119"/>
        <v>0</v>
      </c>
      <c r="GE129" s="3">
        <f t="shared" si="119"/>
        <v>0</v>
      </c>
      <c r="GF129" s="3">
        <f t="shared" si="119"/>
        <v>0</v>
      </c>
      <c r="GG129" s="3">
        <f t="shared" si="119"/>
        <v>0</v>
      </c>
      <c r="GH129" s="3">
        <f t="shared" si="119"/>
        <v>0</v>
      </c>
      <c r="GI129" s="3">
        <f t="shared" si="119"/>
        <v>0</v>
      </c>
      <c r="GJ129" s="3">
        <f t="shared" si="119"/>
        <v>0</v>
      </c>
      <c r="GK129" s="3">
        <f t="shared" si="119"/>
        <v>0</v>
      </c>
      <c r="GL129" s="3">
        <f t="shared" si="119"/>
        <v>0</v>
      </c>
      <c r="GM129" s="3">
        <f t="shared" si="119"/>
        <v>0</v>
      </c>
      <c r="GN129" s="3">
        <f t="shared" si="119"/>
        <v>0</v>
      </c>
      <c r="GO129" s="3">
        <f t="shared" si="119"/>
        <v>0</v>
      </c>
      <c r="GP129" s="3">
        <f t="shared" si="119"/>
        <v>0</v>
      </c>
      <c r="GQ129" s="3">
        <f t="shared" si="119"/>
        <v>0</v>
      </c>
      <c r="GR129" s="3">
        <f t="shared" si="119"/>
        <v>0</v>
      </c>
      <c r="GS129" s="3">
        <f t="shared" si="119"/>
        <v>0</v>
      </c>
      <c r="GT129" s="3">
        <f t="shared" si="119"/>
        <v>0</v>
      </c>
      <c r="GU129" s="3">
        <f t="shared" si="119"/>
        <v>0</v>
      </c>
      <c r="GV129" s="3">
        <f t="shared" si="119"/>
        <v>0</v>
      </c>
      <c r="GW129" s="3">
        <f t="shared" si="119"/>
        <v>0</v>
      </c>
      <c r="GX129" s="3">
        <f t="shared" si="119"/>
        <v>0</v>
      </c>
    </row>
    <row r="131" spans="1:245" x14ac:dyDescent="0.2">
      <c r="A131">
        <v>19</v>
      </c>
      <c r="B131">
        <v>1</v>
      </c>
      <c r="F131" t="s">
        <v>3</v>
      </c>
      <c r="G131" t="s">
        <v>101</v>
      </c>
      <c r="H131" t="s">
        <v>3</v>
      </c>
      <c r="AA131">
        <v>1</v>
      </c>
      <c r="IK131">
        <v>0</v>
      </c>
    </row>
    <row r="132" spans="1:245" x14ac:dyDescent="0.2">
      <c r="A132">
        <v>17</v>
      </c>
      <c r="B132">
        <v>1</v>
      </c>
      <c r="D132">
        <f>ROW(EtalonRes!A53)</f>
        <v>53</v>
      </c>
      <c r="E132" t="s">
        <v>3</v>
      </c>
      <c r="F132" t="s">
        <v>140</v>
      </c>
      <c r="G132" t="s">
        <v>141</v>
      </c>
      <c r="H132" t="s">
        <v>20</v>
      </c>
      <c r="I132">
        <f>ROUND(ROUND((40+27+20+2+1.5+41+2.5)*3*0.1/100,9),9)</f>
        <v>0.40200000000000002</v>
      </c>
      <c r="J132">
        <v>0</v>
      </c>
      <c r="K132">
        <f>ROUND(ROUND((40+27+20+2+1.5+41+2.5)*3*0.1/100,9),9)</f>
        <v>0.40200000000000002</v>
      </c>
      <c r="O132">
        <f>ROUND(CP132,2)</f>
        <v>6796.78</v>
      </c>
      <c r="P132">
        <f>ROUND(CQ132*I132,2)</f>
        <v>1096.74</v>
      </c>
      <c r="Q132">
        <f>ROUND(CR132*I132,2)</f>
        <v>0</v>
      </c>
      <c r="R132">
        <f>ROUND(CS132*I132,2)</f>
        <v>0</v>
      </c>
      <c r="S132">
        <f>ROUND(CT132*I132,2)</f>
        <v>5700.04</v>
      </c>
      <c r="T132">
        <f>ROUND(CU132*I132,2)</f>
        <v>0</v>
      </c>
      <c r="U132">
        <f>CV132*I132</f>
        <v>11.875080000000001</v>
      </c>
      <c r="V132">
        <f>CW132*I132</f>
        <v>0</v>
      </c>
      <c r="W132">
        <f>ROUND(CX132*I132,2)</f>
        <v>0</v>
      </c>
      <c r="X132">
        <f t="shared" ref="X132:Y135" si="120">ROUND(CY132,2)</f>
        <v>3990.03</v>
      </c>
      <c r="Y132">
        <f t="shared" si="120"/>
        <v>570</v>
      </c>
      <c r="AA132">
        <v>-1</v>
      </c>
      <c r="AB132">
        <f>ROUND((AC132+AD132+AF132),6)</f>
        <v>16907.419999999998</v>
      </c>
      <c r="AC132">
        <f>ROUND((ES132),6)</f>
        <v>2728.22</v>
      </c>
      <c r="AD132">
        <f>ROUND((((ET132)-(EU132))+AE132),6)</f>
        <v>0</v>
      </c>
      <c r="AE132">
        <f>ROUND((EU132),6)</f>
        <v>0</v>
      </c>
      <c r="AF132">
        <f>ROUND((EV132),6)</f>
        <v>14179.2</v>
      </c>
      <c r="AG132">
        <f>ROUND((AP132),6)</f>
        <v>0</v>
      </c>
      <c r="AH132">
        <f>(EW132)</f>
        <v>29.54</v>
      </c>
      <c r="AI132">
        <f>(EX132)</f>
        <v>0</v>
      </c>
      <c r="AJ132">
        <f>(AS132)</f>
        <v>0</v>
      </c>
      <c r="AK132">
        <v>16907.419999999998</v>
      </c>
      <c r="AL132">
        <v>2728.22</v>
      </c>
      <c r="AM132">
        <v>0</v>
      </c>
      <c r="AN132">
        <v>0</v>
      </c>
      <c r="AO132">
        <v>14179.2</v>
      </c>
      <c r="AP132">
        <v>0</v>
      </c>
      <c r="AQ132">
        <v>29.54</v>
      </c>
      <c r="AR132">
        <v>0</v>
      </c>
      <c r="AS132">
        <v>0</v>
      </c>
      <c r="AT132">
        <v>70</v>
      </c>
      <c r="AU132">
        <v>10</v>
      </c>
      <c r="AV132">
        <v>1</v>
      </c>
      <c r="AW132">
        <v>1</v>
      </c>
      <c r="AZ132">
        <v>1</v>
      </c>
      <c r="BA132">
        <v>1</v>
      </c>
      <c r="BB132">
        <v>1</v>
      </c>
      <c r="BC132">
        <v>1</v>
      </c>
      <c r="BD132" t="s">
        <v>3</v>
      </c>
      <c r="BE132" t="s">
        <v>3</v>
      </c>
      <c r="BF132" t="s">
        <v>3</v>
      </c>
      <c r="BG132" t="s">
        <v>3</v>
      </c>
      <c r="BH132">
        <v>0</v>
      </c>
      <c r="BI132">
        <v>4</v>
      </c>
      <c r="BJ132" t="s">
        <v>142</v>
      </c>
      <c r="BM132">
        <v>0</v>
      </c>
      <c r="BN132">
        <v>0</v>
      </c>
      <c r="BO132" t="s">
        <v>3</v>
      </c>
      <c r="BP132">
        <v>0</v>
      </c>
      <c r="BQ132">
        <v>1</v>
      </c>
      <c r="BR132">
        <v>0</v>
      </c>
      <c r="BS132">
        <v>1</v>
      </c>
      <c r="BT132">
        <v>1</v>
      </c>
      <c r="BU132">
        <v>1</v>
      </c>
      <c r="BV132">
        <v>1</v>
      </c>
      <c r="BW132">
        <v>1</v>
      </c>
      <c r="BX132">
        <v>1</v>
      </c>
      <c r="BY132" t="s">
        <v>3</v>
      </c>
      <c r="BZ132">
        <v>70</v>
      </c>
      <c r="CA132">
        <v>10</v>
      </c>
      <c r="CB132" t="s">
        <v>3</v>
      </c>
      <c r="CE132">
        <v>0</v>
      </c>
      <c r="CF132">
        <v>0</v>
      </c>
      <c r="CG132">
        <v>0</v>
      </c>
      <c r="CM132">
        <v>0</v>
      </c>
      <c r="CN132" t="s">
        <v>3</v>
      </c>
      <c r="CO132">
        <v>0</v>
      </c>
      <c r="CP132">
        <f>(P132+Q132+S132)</f>
        <v>6796.78</v>
      </c>
      <c r="CQ132">
        <f>(AC132*BC132*AW132)</f>
        <v>2728.22</v>
      </c>
      <c r="CR132">
        <f>((((ET132)*BB132-(EU132)*BS132)+AE132*BS132)*AV132)</f>
        <v>0</v>
      </c>
      <c r="CS132">
        <f>(AE132*BS132*AV132)</f>
        <v>0</v>
      </c>
      <c r="CT132">
        <f>(AF132*BA132*AV132)</f>
        <v>14179.2</v>
      </c>
      <c r="CU132">
        <f>AG132</f>
        <v>0</v>
      </c>
      <c r="CV132">
        <f>(AH132*AV132)</f>
        <v>29.54</v>
      </c>
      <c r="CW132">
        <f t="shared" ref="CW132:CX135" si="121">AI132</f>
        <v>0</v>
      </c>
      <c r="CX132">
        <f t="shared" si="121"/>
        <v>0</v>
      </c>
      <c r="CY132">
        <f>((S132*BZ132)/100)</f>
        <v>3990.0279999999998</v>
      </c>
      <c r="CZ132">
        <f>((S132*CA132)/100)</f>
        <v>570.00400000000002</v>
      </c>
      <c r="DC132" t="s">
        <v>3</v>
      </c>
      <c r="DD132" t="s">
        <v>3</v>
      </c>
      <c r="DE132" t="s">
        <v>3</v>
      </c>
      <c r="DF132" t="s">
        <v>3</v>
      </c>
      <c r="DG132" t="s">
        <v>3</v>
      </c>
      <c r="DH132" t="s">
        <v>3</v>
      </c>
      <c r="DI132" t="s">
        <v>3</v>
      </c>
      <c r="DJ132" t="s">
        <v>3</v>
      </c>
      <c r="DK132" t="s">
        <v>3</v>
      </c>
      <c r="DL132" t="s">
        <v>3</v>
      </c>
      <c r="DM132" t="s">
        <v>3</v>
      </c>
      <c r="DN132">
        <v>0</v>
      </c>
      <c r="DO132">
        <v>0</v>
      </c>
      <c r="DP132">
        <v>1</v>
      </c>
      <c r="DQ132">
        <v>1</v>
      </c>
      <c r="DU132">
        <v>1003</v>
      </c>
      <c r="DV132" t="s">
        <v>20</v>
      </c>
      <c r="DW132" t="s">
        <v>20</v>
      </c>
      <c r="DX132">
        <v>100</v>
      </c>
      <c r="DZ132" t="s">
        <v>3</v>
      </c>
      <c r="EA132" t="s">
        <v>3</v>
      </c>
      <c r="EB132" t="s">
        <v>3</v>
      </c>
      <c r="EC132" t="s">
        <v>3</v>
      </c>
      <c r="EE132">
        <v>1441815344</v>
      </c>
      <c r="EF132">
        <v>1</v>
      </c>
      <c r="EG132" t="s">
        <v>23</v>
      </c>
      <c r="EH132">
        <v>0</v>
      </c>
      <c r="EI132" t="s">
        <v>3</v>
      </c>
      <c r="EJ132">
        <v>4</v>
      </c>
      <c r="EK132">
        <v>0</v>
      </c>
      <c r="EL132" t="s">
        <v>24</v>
      </c>
      <c r="EM132" t="s">
        <v>25</v>
      </c>
      <c r="EO132" t="s">
        <v>3</v>
      </c>
      <c r="EQ132">
        <v>1311744</v>
      </c>
      <c r="ER132">
        <v>16907.419999999998</v>
      </c>
      <c r="ES132">
        <v>2728.22</v>
      </c>
      <c r="ET132">
        <v>0</v>
      </c>
      <c r="EU132">
        <v>0</v>
      </c>
      <c r="EV132">
        <v>14179.2</v>
      </c>
      <c r="EW132">
        <v>29.54</v>
      </c>
      <c r="EX132">
        <v>0</v>
      </c>
      <c r="EY132">
        <v>0</v>
      </c>
      <c r="FQ132">
        <v>0</v>
      </c>
      <c r="FR132">
        <f>ROUND(IF(BI132=3,GM132,0),2)</f>
        <v>0</v>
      </c>
      <c r="FS132">
        <v>0</v>
      </c>
      <c r="FX132">
        <v>70</v>
      </c>
      <c r="FY132">
        <v>10</v>
      </c>
      <c r="GA132" t="s">
        <v>3</v>
      </c>
      <c r="GD132">
        <v>0</v>
      </c>
      <c r="GF132">
        <v>-317825441</v>
      </c>
      <c r="GG132">
        <v>2</v>
      </c>
      <c r="GH132">
        <v>1</v>
      </c>
      <c r="GI132">
        <v>-2</v>
      </c>
      <c r="GJ132">
        <v>0</v>
      </c>
      <c r="GK132">
        <f>ROUND(R132*(R12)/100,2)</f>
        <v>0</v>
      </c>
      <c r="GL132">
        <f>ROUND(IF(AND(BH132=3,BI132=3,FS132&lt;&gt;0),P132,0),2)</f>
        <v>0</v>
      </c>
      <c r="GM132">
        <f>ROUND(O132+X132+Y132+GK132,2)+GX132</f>
        <v>11356.81</v>
      </c>
      <c r="GN132">
        <f>IF(OR(BI132=0,BI132=1),GM132-GX132,0)</f>
        <v>0</v>
      </c>
      <c r="GO132">
        <f>IF(BI132=2,GM132-GX132,0)</f>
        <v>0</v>
      </c>
      <c r="GP132">
        <f>IF(BI132=4,GM132-GX132,0)</f>
        <v>11356.81</v>
      </c>
      <c r="GR132">
        <v>0</v>
      </c>
      <c r="GS132">
        <v>3</v>
      </c>
      <c r="GT132">
        <v>0</v>
      </c>
      <c r="GU132" t="s">
        <v>3</v>
      </c>
      <c r="GV132">
        <f>ROUND((GT132),6)</f>
        <v>0</v>
      </c>
      <c r="GW132">
        <v>1</v>
      </c>
      <c r="GX132">
        <f>ROUND(HC132*I132,2)</f>
        <v>0</v>
      </c>
      <c r="HA132">
        <v>0</v>
      </c>
      <c r="HB132">
        <v>0</v>
      </c>
      <c r="HC132">
        <f>GV132*GW132</f>
        <v>0</v>
      </c>
      <c r="HE132" t="s">
        <v>3</v>
      </c>
      <c r="HF132" t="s">
        <v>3</v>
      </c>
      <c r="HM132" t="s">
        <v>3</v>
      </c>
      <c r="HN132" t="s">
        <v>3</v>
      </c>
      <c r="HO132" t="s">
        <v>3</v>
      </c>
      <c r="HP132" t="s">
        <v>3</v>
      </c>
      <c r="HQ132" t="s">
        <v>3</v>
      </c>
      <c r="IK132">
        <v>0</v>
      </c>
    </row>
    <row r="133" spans="1:245" x14ac:dyDescent="0.2">
      <c r="A133">
        <v>17</v>
      </c>
      <c r="B133">
        <v>1</v>
      </c>
      <c r="D133">
        <f>ROW(EtalonRes!A54)</f>
        <v>54</v>
      </c>
      <c r="E133" t="s">
        <v>3</v>
      </c>
      <c r="F133" t="s">
        <v>143</v>
      </c>
      <c r="G133" t="s">
        <v>144</v>
      </c>
      <c r="H133" t="s">
        <v>20</v>
      </c>
      <c r="I133">
        <f>ROUND(ROUND(((40+27+20+2+1.5+41+2.5)*0.25)*3*0.1/100,9),9)</f>
        <v>0.10050000000000001</v>
      </c>
      <c r="J133">
        <v>0</v>
      </c>
      <c r="K133">
        <f>ROUND(ROUND(((40+27+20+2+1.5+41+2.5)*0.25)*3*0.1/100,9),9)</f>
        <v>0.10050000000000001</v>
      </c>
      <c r="O133">
        <f>ROUND(CP133,2)</f>
        <v>311.87</v>
      </c>
      <c r="P133">
        <f>ROUND(CQ133*I133,2)</f>
        <v>0</v>
      </c>
      <c r="Q133">
        <f>ROUND(CR133*I133,2)</f>
        <v>0</v>
      </c>
      <c r="R133">
        <f>ROUND(CS133*I133,2)</f>
        <v>0</v>
      </c>
      <c r="S133">
        <f>ROUND(CT133*I133,2)</f>
        <v>311.87</v>
      </c>
      <c r="T133">
        <f>ROUND(CU133*I133,2)</f>
        <v>0</v>
      </c>
      <c r="U133">
        <f>CV133*I133</f>
        <v>0.55476000000000003</v>
      </c>
      <c r="V133">
        <f>CW133*I133</f>
        <v>0</v>
      </c>
      <c r="W133">
        <f>ROUND(CX133*I133,2)</f>
        <v>0</v>
      </c>
      <c r="X133">
        <f t="shared" si="120"/>
        <v>218.31</v>
      </c>
      <c r="Y133">
        <f t="shared" si="120"/>
        <v>31.19</v>
      </c>
      <c r="AA133">
        <v>-1</v>
      </c>
      <c r="AB133">
        <f>ROUND((AC133+AD133+AF133),6)</f>
        <v>3103.2</v>
      </c>
      <c r="AC133">
        <f>ROUND(((ES133*4)),6)</f>
        <v>0</v>
      </c>
      <c r="AD133">
        <f>ROUND(((((ET133*4))-((EU133*4)))+AE133),6)</f>
        <v>0</v>
      </c>
      <c r="AE133">
        <f t="shared" ref="AE133:AF135" si="122">ROUND(((EU133*4)),6)</f>
        <v>0</v>
      </c>
      <c r="AF133">
        <f t="shared" si="122"/>
        <v>3103.2</v>
      </c>
      <c r="AG133">
        <f>ROUND((AP133),6)</f>
        <v>0</v>
      </c>
      <c r="AH133">
        <f t="shared" ref="AH133:AI135" si="123">((EW133*4))</f>
        <v>5.52</v>
      </c>
      <c r="AI133">
        <f t="shared" si="123"/>
        <v>0</v>
      </c>
      <c r="AJ133">
        <f>(AS133)</f>
        <v>0</v>
      </c>
      <c r="AK133">
        <v>775.8</v>
      </c>
      <c r="AL133">
        <v>0</v>
      </c>
      <c r="AM133">
        <v>0</v>
      </c>
      <c r="AN133">
        <v>0</v>
      </c>
      <c r="AO133">
        <v>775.8</v>
      </c>
      <c r="AP133">
        <v>0</v>
      </c>
      <c r="AQ133">
        <v>1.38</v>
      </c>
      <c r="AR133">
        <v>0</v>
      </c>
      <c r="AS133">
        <v>0</v>
      </c>
      <c r="AT133">
        <v>70</v>
      </c>
      <c r="AU133">
        <v>10</v>
      </c>
      <c r="AV133">
        <v>1</v>
      </c>
      <c r="AW133">
        <v>1</v>
      </c>
      <c r="AZ133">
        <v>1</v>
      </c>
      <c r="BA133">
        <v>1</v>
      </c>
      <c r="BB133">
        <v>1</v>
      </c>
      <c r="BC133">
        <v>1</v>
      </c>
      <c r="BD133" t="s">
        <v>3</v>
      </c>
      <c r="BE133" t="s">
        <v>3</v>
      </c>
      <c r="BF133" t="s">
        <v>3</v>
      </c>
      <c r="BG133" t="s">
        <v>3</v>
      </c>
      <c r="BH133">
        <v>0</v>
      </c>
      <c r="BI133">
        <v>4</v>
      </c>
      <c r="BJ133" t="s">
        <v>145</v>
      </c>
      <c r="BM133">
        <v>0</v>
      </c>
      <c r="BN133">
        <v>0</v>
      </c>
      <c r="BO133" t="s">
        <v>3</v>
      </c>
      <c r="BP133">
        <v>0</v>
      </c>
      <c r="BQ133">
        <v>1</v>
      </c>
      <c r="BR133">
        <v>0</v>
      </c>
      <c r="BS133">
        <v>1</v>
      </c>
      <c r="BT133">
        <v>1</v>
      </c>
      <c r="BU133">
        <v>1</v>
      </c>
      <c r="BV133">
        <v>1</v>
      </c>
      <c r="BW133">
        <v>1</v>
      </c>
      <c r="BX133">
        <v>1</v>
      </c>
      <c r="BY133" t="s">
        <v>3</v>
      </c>
      <c r="BZ133">
        <v>70</v>
      </c>
      <c r="CA133">
        <v>10</v>
      </c>
      <c r="CB133" t="s">
        <v>3</v>
      </c>
      <c r="CE133">
        <v>0</v>
      </c>
      <c r="CF133">
        <v>0</v>
      </c>
      <c r="CG133">
        <v>0</v>
      </c>
      <c r="CM133">
        <v>0</v>
      </c>
      <c r="CN133" t="s">
        <v>3</v>
      </c>
      <c r="CO133">
        <v>0</v>
      </c>
      <c r="CP133">
        <f>(P133+Q133+S133)</f>
        <v>311.87</v>
      </c>
      <c r="CQ133">
        <f>(AC133*BC133*AW133)</f>
        <v>0</v>
      </c>
      <c r="CR133">
        <f>(((((ET133*4))*BB133-((EU133*4))*BS133)+AE133*BS133)*AV133)</f>
        <v>0</v>
      </c>
      <c r="CS133">
        <f>(AE133*BS133*AV133)</f>
        <v>0</v>
      </c>
      <c r="CT133">
        <f>(AF133*BA133*AV133)</f>
        <v>3103.2</v>
      </c>
      <c r="CU133">
        <f>AG133</f>
        <v>0</v>
      </c>
      <c r="CV133">
        <f>(AH133*AV133)</f>
        <v>5.52</v>
      </c>
      <c r="CW133">
        <f t="shared" si="121"/>
        <v>0</v>
      </c>
      <c r="CX133">
        <f t="shared" si="121"/>
        <v>0</v>
      </c>
      <c r="CY133">
        <f>((S133*BZ133)/100)</f>
        <v>218.30900000000003</v>
      </c>
      <c r="CZ133">
        <f>((S133*CA133)/100)</f>
        <v>31.186999999999998</v>
      </c>
      <c r="DC133" t="s">
        <v>3</v>
      </c>
      <c r="DD133" t="s">
        <v>22</v>
      </c>
      <c r="DE133" t="s">
        <v>22</v>
      </c>
      <c r="DF133" t="s">
        <v>22</v>
      </c>
      <c r="DG133" t="s">
        <v>22</v>
      </c>
      <c r="DH133" t="s">
        <v>3</v>
      </c>
      <c r="DI133" t="s">
        <v>22</v>
      </c>
      <c r="DJ133" t="s">
        <v>22</v>
      </c>
      <c r="DK133" t="s">
        <v>3</v>
      </c>
      <c r="DL133" t="s">
        <v>3</v>
      </c>
      <c r="DM133" t="s">
        <v>3</v>
      </c>
      <c r="DN133">
        <v>0</v>
      </c>
      <c r="DO133">
        <v>0</v>
      </c>
      <c r="DP133">
        <v>1</v>
      </c>
      <c r="DQ133">
        <v>1</v>
      </c>
      <c r="DU133">
        <v>1003</v>
      </c>
      <c r="DV133" t="s">
        <v>20</v>
      </c>
      <c r="DW133" t="s">
        <v>20</v>
      </c>
      <c r="DX133">
        <v>100</v>
      </c>
      <c r="DZ133" t="s">
        <v>3</v>
      </c>
      <c r="EA133" t="s">
        <v>3</v>
      </c>
      <c r="EB133" t="s">
        <v>3</v>
      </c>
      <c r="EC133" t="s">
        <v>3</v>
      </c>
      <c r="EE133">
        <v>1441815344</v>
      </c>
      <c r="EF133">
        <v>1</v>
      </c>
      <c r="EG133" t="s">
        <v>23</v>
      </c>
      <c r="EH133">
        <v>0</v>
      </c>
      <c r="EI133" t="s">
        <v>3</v>
      </c>
      <c r="EJ133">
        <v>4</v>
      </c>
      <c r="EK133">
        <v>0</v>
      </c>
      <c r="EL133" t="s">
        <v>24</v>
      </c>
      <c r="EM133" t="s">
        <v>25</v>
      </c>
      <c r="EO133" t="s">
        <v>3</v>
      </c>
      <c r="EQ133">
        <v>1024</v>
      </c>
      <c r="ER133">
        <v>775.8</v>
      </c>
      <c r="ES133">
        <v>0</v>
      </c>
      <c r="ET133">
        <v>0</v>
      </c>
      <c r="EU133">
        <v>0</v>
      </c>
      <c r="EV133">
        <v>775.8</v>
      </c>
      <c r="EW133">
        <v>1.38</v>
      </c>
      <c r="EX133">
        <v>0</v>
      </c>
      <c r="EY133">
        <v>0</v>
      </c>
      <c r="FQ133">
        <v>0</v>
      </c>
      <c r="FR133">
        <f>ROUND(IF(BI133=3,GM133,0),2)</f>
        <v>0</v>
      </c>
      <c r="FS133">
        <v>0</v>
      </c>
      <c r="FX133">
        <v>70</v>
      </c>
      <c r="FY133">
        <v>10</v>
      </c>
      <c r="GA133" t="s">
        <v>3</v>
      </c>
      <c r="GD133">
        <v>0</v>
      </c>
      <c r="GF133">
        <v>-1934492766</v>
      </c>
      <c r="GG133">
        <v>2</v>
      </c>
      <c r="GH133">
        <v>1</v>
      </c>
      <c r="GI133">
        <v>-2</v>
      </c>
      <c r="GJ133">
        <v>0</v>
      </c>
      <c r="GK133">
        <f>ROUND(R133*(R12)/100,2)</f>
        <v>0</v>
      </c>
      <c r="GL133">
        <f>ROUND(IF(AND(BH133=3,BI133=3,FS133&lt;&gt;0),P133,0),2)</f>
        <v>0</v>
      </c>
      <c r="GM133">
        <f>ROUND(O133+X133+Y133+GK133,2)+GX133</f>
        <v>561.37</v>
      </c>
      <c r="GN133">
        <f>IF(OR(BI133=0,BI133=1),GM133-GX133,0)</f>
        <v>0</v>
      </c>
      <c r="GO133">
        <f>IF(BI133=2,GM133-GX133,0)</f>
        <v>0</v>
      </c>
      <c r="GP133">
        <f>IF(BI133=4,GM133-GX133,0)</f>
        <v>561.37</v>
      </c>
      <c r="GR133">
        <v>0</v>
      </c>
      <c r="GS133">
        <v>3</v>
      </c>
      <c r="GT133">
        <v>0</v>
      </c>
      <c r="GU133" t="s">
        <v>3</v>
      </c>
      <c r="GV133">
        <f>ROUND((GT133),6)</f>
        <v>0</v>
      </c>
      <c r="GW133">
        <v>1</v>
      </c>
      <c r="GX133">
        <f>ROUND(HC133*I133,2)</f>
        <v>0</v>
      </c>
      <c r="HA133">
        <v>0</v>
      </c>
      <c r="HB133">
        <v>0</v>
      </c>
      <c r="HC133">
        <f>GV133*GW133</f>
        <v>0</v>
      </c>
      <c r="HE133" t="s">
        <v>3</v>
      </c>
      <c r="HF133" t="s">
        <v>3</v>
      </c>
      <c r="HM133" t="s">
        <v>3</v>
      </c>
      <c r="HN133" t="s">
        <v>3</v>
      </c>
      <c r="HO133" t="s">
        <v>3</v>
      </c>
      <c r="HP133" t="s">
        <v>3</v>
      </c>
      <c r="HQ133" t="s">
        <v>3</v>
      </c>
      <c r="IK133">
        <v>0</v>
      </c>
    </row>
    <row r="134" spans="1:245" x14ac:dyDescent="0.2">
      <c r="A134">
        <v>17</v>
      </c>
      <c r="B134">
        <v>1</v>
      </c>
      <c r="D134">
        <f>ROW(EtalonRes!A55)</f>
        <v>55</v>
      </c>
      <c r="E134" t="s">
        <v>3</v>
      </c>
      <c r="F134" t="s">
        <v>146</v>
      </c>
      <c r="G134" t="s">
        <v>147</v>
      </c>
      <c r="H134" t="s">
        <v>20</v>
      </c>
      <c r="I134">
        <f>ROUND(ROUND(((40+27+20+2+1.5+41+2.5)*0.75)*3*0.1/100,9),9)</f>
        <v>0.30149999999999999</v>
      </c>
      <c r="J134">
        <v>0</v>
      </c>
      <c r="K134">
        <f>ROUND(ROUND(((40+27+20+2+1.5+41+2.5)*0.75)*3*0.1/100,9),9)</f>
        <v>0.30149999999999999</v>
      </c>
      <c r="O134">
        <f>ROUND(CP134,2)</f>
        <v>3322.08</v>
      </c>
      <c r="P134">
        <f>ROUND(CQ134*I134,2)</f>
        <v>0</v>
      </c>
      <c r="Q134">
        <f>ROUND(CR134*I134,2)</f>
        <v>0</v>
      </c>
      <c r="R134">
        <f>ROUND(CS134*I134,2)</f>
        <v>0</v>
      </c>
      <c r="S134">
        <f>ROUND(CT134*I134,2)</f>
        <v>3322.08</v>
      </c>
      <c r="T134">
        <f>ROUND(CU134*I134,2)</f>
        <v>0</v>
      </c>
      <c r="U134">
        <f>CV134*I134</f>
        <v>5.9094000000000007</v>
      </c>
      <c r="V134">
        <f>CW134*I134</f>
        <v>0</v>
      </c>
      <c r="W134">
        <f>ROUND(CX134*I134,2)</f>
        <v>0</v>
      </c>
      <c r="X134">
        <f t="shared" si="120"/>
        <v>2325.46</v>
      </c>
      <c r="Y134">
        <f t="shared" si="120"/>
        <v>332.21</v>
      </c>
      <c r="AA134">
        <v>-1</v>
      </c>
      <c r="AB134">
        <f>ROUND((AC134+AD134+AF134),6)</f>
        <v>11018.52</v>
      </c>
      <c r="AC134">
        <f>ROUND(((ES134*4)),6)</f>
        <v>0</v>
      </c>
      <c r="AD134">
        <f>ROUND(((((ET134*4))-((EU134*4)))+AE134),6)</f>
        <v>0</v>
      </c>
      <c r="AE134">
        <f t="shared" si="122"/>
        <v>0</v>
      </c>
      <c r="AF134">
        <f t="shared" si="122"/>
        <v>11018.52</v>
      </c>
      <c r="AG134">
        <f>ROUND((AP134),6)</f>
        <v>0</v>
      </c>
      <c r="AH134">
        <f t="shared" si="123"/>
        <v>19.600000000000001</v>
      </c>
      <c r="AI134">
        <f t="shared" si="123"/>
        <v>0</v>
      </c>
      <c r="AJ134">
        <f>(AS134)</f>
        <v>0</v>
      </c>
      <c r="AK134">
        <v>2754.63</v>
      </c>
      <c r="AL134">
        <v>0</v>
      </c>
      <c r="AM134">
        <v>0</v>
      </c>
      <c r="AN134">
        <v>0</v>
      </c>
      <c r="AO134">
        <v>2754.63</v>
      </c>
      <c r="AP134">
        <v>0</v>
      </c>
      <c r="AQ134">
        <v>4.9000000000000004</v>
      </c>
      <c r="AR134">
        <v>0</v>
      </c>
      <c r="AS134">
        <v>0</v>
      </c>
      <c r="AT134">
        <v>70</v>
      </c>
      <c r="AU134">
        <v>10</v>
      </c>
      <c r="AV134">
        <v>1</v>
      </c>
      <c r="AW134">
        <v>1</v>
      </c>
      <c r="AZ134">
        <v>1</v>
      </c>
      <c r="BA134">
        <v>1</v>
      </c>
      <c r="BB134">
        <v>1</v>
      </c>
      <c r="BC134">
        <v>1</v>
      </c>
      <c r="BD134" t="s">
        <v>3</v>
      </c>
      <c r="BE134" t="s">
        <v>3</v>
      </c>
      <c r="BF134" t="s">
        <v>3</v>
      </c>
      <c r="BG134" t="s">
        <v>3</v>
      </c>
      <c r="BH134">
        <v>0</v>
      </c>
      <c r="BI134">
        <v>4</v>
      </c>
      <c r="BJ134" t="s">
        <v>148</v>
      </c>
      <c r="BM134">
        <v>0</v>
      </c>
      <c r="BN134">
        <v>0</v>
      </c>
      <c r="BO134" t="s">
        <v>3</v>
      </c>
      <c r="BP134">
        <v>0</v>
      </c>
      <c r="BQ134">
        <v>1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3</v>
      </c>
      <c r="BZ134">
        <v>70</v>
      </c>
      <c r="CA134">
        <v>10</v>
      </c>
      <c r="CB134" t="s">
        <v>3</v>
      </c>
      <c r="CE134">
        <v>0</v>
      </c>
      <c r="CF134">
        <v>0</v>
      </c>
      <c r="CG134">
        <v>0</v>
      </c>
      <c r="CM134">
        <v>0</v>
      </c>
      <c r="CN134" t="s">
        <v>3</v>
      </c>
      <c r="CO134">
        <v>0</v>
      </c>
      <c r="CP134">
        <f>(P134+Q134+S134)</f>
        <v>3322.08</v>
      </c>
      <c r="CQ134">
        <f>(AC134*BC134*AW134)</f>
        <v>0</v>
      </c>
      <c r="CR134">
        <f>(((((ET134*4))*BB134-((EU134*4))*BS134)+AE134*BS134)*AV134)</f>
        <v>0</v>
      </c>
      <c r="CS134">
        <f>(AE134*BS134*AV134)</f>
        <v>0</v>
      </c>
      <c r="CT134">
        <f>(AF134*BA134*AV134)</f>
        <v>11018.52</v>
      </c>
      <c r="CU134">
        <f>AG134</f>
        <v>0</v>
      </c>
      <c r="CV134">
        <f>(AH134*AV134)</f>
        <v>19.600000000000001</v>
      </c>
      <c r="CW134">
        <f t="shared" si="121"/>
        <v>0</v>
      </c>
      <c r="CX134">
        <f t="shared" si="121"/>
        <v>0</v>
      </c>
      <c r="CY134">
        <f>((S134*BZ134)/100)</f>
        <v>2325.4560000000001</v>
      </c>
      <c r="CZ134">
        <f>((S134*CA134)/100)</f>
        <v>332.20800000000003</v>
      </c>
      <c r="DC134" t="s">
        <v>3</v>
      </c>
      <c r="DD134" t="s">
        <v>22</v>
      </c>
      <c r="DE134" t="s">
        <v>22</v>
      </c>
      <c r="DF134" t="s">
        <v>22</v>
      </c>
      <c r="DG134" t="s">
        <v>22</v>
      </c>
      <c r="DH134" t="s">
        <v>3</v>
      </c>
      <c r="DI134" t="s">
        <v>22</v>
      </c>
      <c r="DJ134" t="s">
        <v>22</v>
      </c>
      <c r="DK134" t="s">
        <v>3</v>
      </c>
      <c r="DL134" t="s">
        <v>3</v>
      </c>
      <c r="DM134" t="s">
        <v>3</v>
      </c>
      <c r="DN134">
        <v>0</v>
      </c>
      <c r="DO134">
        <v>0</v>
      </c>
      <c r="DP134">
        <v>1</v>
      </c>
      <c r="DQ134">
        <v>1</v>
      </c>
      <c r="DU134">
        <v>1003</v>
      </c>
      <c r="DV134" t="s">
        <v>20</v>
      </c>
      <c r="DW134" t="s">
        <v>20</v>
      </c>
      <c r="DX134">
        <v>100</v>
      </c>
      <c r="DZ134" t="s">
        <v>3</v>
      </c>
      <c r="EA134" t="s">
        <v>3</v>
      </c>
      <c r="EB134" t="s">
        <v>3</v>
      </c>
      <c r="EC134" t="s">
        <v>3</v>
      </c>
      <c r="EE134">
        <v>1441815344</v>
      </c>
      <c r="EF134">
        <v>1</v>
      </c>
      <c r="EG134" t="s">
        <v>23</v>
      </c>
      <c r="EH134">
        <v>0</v>
      </c>
      <c r="EI134" t="s">
        <v>3</v>
      </c>
      <c r="EJ134">
        <v>4</v>
      </c>
      <c r="EK134">
        <v>0</v>
      </c>
      <c r="EL134" t="s">
        <v>24</v>
      </c>
      <c r="EM134" t="s">
        <v>25</v>
      </c>
      <c r="EO134" t="s">
        <v>3</v>
      </c>
      <c r="EQ134">
        <v>1024</v>
      </c>
      <c r="ER134">
        <v>2754.63</v>
      </c>
      <c r="ES134">
        <v>0</v>
      </c>
      <c r="ET134">
        <v>0</v>
      </c>
      <c r="EU134">
        <v>0</v>
      </c>
      <c r="EV134">
        <v>2754.63</v>
      </c>
      <c r="EW134">
        <v>4.9000000000000004</v>
      </c>
      <c r="EX134">
        <v>0</v>
      </c>
      <c r="EY134">
        <v>0</v>
      </c>
      <c r="FQ134">
        <v>0</v>
      </c>
      <c r="FR134">
        <f>ROUND(IF(BI134=3,GM134,0),2)</f>
        <v>0</v>
      </c>
      <c r="FS134">
        <v>0</v>
      </c>
      <c r="FX134">
        <v>70</v>
      </c>
      <c r="FY134">
        <v>10</v>
      </c>
      <c r="GA134" t="s">
        <v>3</v>
      </c>
      <c r="GD134">
        <v>0</v>
      </c>
      <c r="GF134">
        <v>329268789</v>
      </c>
      <c r="GG134">
        <v>2</v>
      </c>
      <c r="GH134">
        <v>1</v>
      </c>
      <c r="GI134">
        <v>-2</v>
      </c>
      <c r="GJ134">
        <v>0</v>
      </c>
      <c r="GK134">
        <f>ROUND(R134*(R12)/100,2)</f>
        <v>0</v>
      </c>
      <c r="GL134">
        <f>ROUND(IF(AND(BH134=3,BI134=3,FS134&lt;&gt;0),P134,0),2)</f>
        <v>0</v>
      </c>
      <c r="GM134">
        <f>ROUND(O134+X134+Y134+GK134,2)+GX134</f>
        <v>5979.75</v>
      </c>
      <c r="GN134">
        <f>IF(OR(BI134=0,BI134=1),GM134-GX134,0)</f>
        <v>0</v>
      </c>
      <c r="GO134">
        <f>IF(BI134=2,GM134-GX134,0)</f>
        <v>0</v>
      </c>
      <c r="GP134">
        <f>IF(BI134=4,GM134-GX134,0)</f>
        <v>5979.75</v>
      </c>
      <c r="GR134">
        <v>0</v>
      </c>
      <c r="GS134">
        <v>3</v>
      </c>
      <c r="GT134">
        <v>0</v>
      </c>
      <c r="GU134" t="s">
        <v>3</v>
      </c>
      <c r="GV134">
        <f>ROUND((GT134),6)</f>
        <v>0</v>
      </c>
      <c r="GW134">
        <v>1</v>
      </c>
      <c r="GX134">
        <f>ROUND(HC134*I134,2)</f>
        <v>0</v>
      </c>
      <c r="HA134">
        <v>0</v>
      </c>
      <c r="HB134">
        <v>0</v>
      </c>
      <c r="HC134">
        <f>GV134*GW134</f>
        <v>0</v>
      </c>
      <c r="HE134" t="s">
        <v>3</v>
      </c>
      <c r="HF134" t="s">
        <v>3</v>
      </c>
      <c r="HM134" t="s">
        <v>3</v>
      </c>
      <c r="HN134" t="s">
        <v>3</v>
      </c>
      <c r="HO134" t="s">
        <v>3</v>
      </c>
      <c r="HP134" t="s">
        <v>3</v>
      </c>
      <c r="HQ134" t="s">
        <v>3</v>
      </c>
      <c r="IK134">
        <v>0</v>
      </c>
    </row>
    <row r="135" spans="1:245" x14ac:dyDescent="0.2">
      <c r="A135">
        <v>17</v>
      </c>
      <c r="B135">
        <v>1</v>
      </c>
      <c r="D135">
        <f>ROW(EtalonRes!A56)</f>
        <v>56</v>
      </c>
      <c r="E135" t="s">
        <v>3</v>
      </c>
      <c r="F135" t="s">
        <v>149</v>
      </c>
      <c r="G135" t="s">
        <v>150</v>
      </c>
      <c r="H135" t="s">
        <v>32</v>
      </c>
      <c r="I135">
        <f>ROUND(ROUND(11*3,9),9)</f>
        <v>33</v>
      </c>
      <c r="J135">
        <v>0</v>
      </c>
      <c r="K135">
        <f>ROUND(ROUND(11*3,9),9)</f>
        <v>33</v>
      </c>
      <c r="O135">
        <f>ROUND(CP135,2)</f>
        <v>10595.64</v>
      </c>
      <c r="P135">
        <f>ROUND(CQ135*I135,2)</f>
        <v>0</v>
      </c>
      <c r="Q135">
        <f>ROUND(CR135*I135,2)</f>
        <v>0</v>
      </c>
      <c r="R135">
        <f>ROUND(CS135*I135,2)</f>
        <v>0</v>
      </c>
      <c r="S135">
        <f>ROUND(CT135*I135,2)</f>
        <v>10595.64</v>
      </c>
      <c r="T135">
        <f>ROUND(CU135*I135,2)</f>
        <v>0</v>
      </c>
      <c r="U135">
        <f>CV135*I135</f>
        <v>17.16</v>
      </c>
      <c r="V135">
        <f>CW135*I135</f>
        <v>0</v>
      </c>
      <c r="W135">
        <f>ROUND(CX135*I135,2)</f>
        <v>0</v>
      </c>
      <c r="X135">
        <f t="shared" si="120"/>
        <v>7416.95</v>
      </c>
      <c r="Y135">
        <f t="shared" si="120"/>
        <v>1059.56</v>
      </c>
      <c r="AA135">
        <v>-1</v>
      </c>
      <c r="AB135">
        <f>ROUND((AC135+AD135+AF135),6)</f>
        <v>321.08</v>
      </c>
      <c r="AC135">
        <f>ROUND(((ES135*4)),6)</f>
        <v>0</v>
      </c>
      <c r="AD135">
        <f>ROUND(((((ET135*4))-((EU135*4)))+AE135),6)</f>
        <v>0</v>
      </c>
      <c r="AE135">
        <f t="shared" si="122"/>
        <v>0</v>
      </c>
      <c r="AF135">
        <f t="shared" si="122"/>
        <v>321.08</v>
      </c>
      <c r="AG135">
        <f>ROUND((AP135),6)</f>
        <v>0</v>
      </c>
      <c r="AH135">
        <f t="shared" si="123"/>
        <v>0.52</v>
      </c>
      <c r="AI135">
        <f t="shared" si="123"/>
        <v>0</v>
      </c>
      <c r="AJ135">
        <f>(AS135)</f>
        <v>0</v>
      </c>
      <c r="AK135">
        <v>80.27</v>
      </c>
      <c r="AL135">
        <v>0</v>
      </c>
      <c r="AM135">
        <v>0</v>
      </c>
      <c r="AN135">
        <v>0</v>
      </c>
      <c r="AO135">
        <v>80.27</v>
      </c>
      <c r="AP135">
        <v>0</v>
      </c>
      <c r="AQ135">
        <v>0.13</v>
      </c>
      <c r="AR135">
        <v>0</v>
      </c>
      <c r="AS135">
        <v>0</v>
      </c>
      <c r="AT135">
        <v>70</v>
      </c>
      <c r="AU135">
        <v>10</v>
      </c>
      <c r="AV135">
        <v>1</v>
      </c>
      <c r="AW135">
        <v>1</v>
      </c>
      <c r="AZ135">
        <v>1</v>
      </c>
      <c r="BA135">
        <v>1</v>
      </c>
      <c r="BB135">
        <v>1</v>
      </c>
      <c r="BC135">
        <v>1</v>
      </c>
      <c r="BD135" t="s">
        <v>3</v>
      </c>
      <c r="BE135" t="s">
        <v>3</v>
      </c>
      <c r="BF135" t="s">
        <v>3</v>
      </c>
      <c r="BG135" t="s">
        <v>3</v>
      </c>
      <c r="BH135">
        <v>0</v>
      </c>
      <c r="BI135">
        <v>4</v>
      </c>
      <c r="BJ135" t="s">
        <v>151</v>
      </c>
      <c r="BM135">
        <v>0</v>
      </c>
      <c r="BN135">
        <v>0</v>
      </c>
      <c r="BO135" t="s">
        <v>3</v>
      </c>
      <c r="BP135">
        <v>0</v>
      </c>
      <c r="BQ135">
        <v>1</v>
      </c>
      <c r="BR135">
        <v>0</v>
      </c>
      <c r="BS135">
        <v>1</v>
      </c>
      <c r="BT135">
        <v>1</v>
      </c>
      <c r="BU135">
        <v>1</v>
      </c>
      <c r="BV135">
        <v>1</v>
      </c>
      <c r="BW135">
        <v>1</v>
      </c>
      <c r="BX135">
        <v>1</v>
      </c>
      <c r="BY135" t="s">
        <v>3</v>
      </c>
      <c r="BZ135">
        <v>70</v>
      </c>
      <c r="CA135">
        <v>10</v>
      </c>
      <c r="CB135" t="s">
        <v>3</v>
      </c>
      <c r="CE135">
        <v>0</v>
      </c>
      <c r="CF135">
        <v>0</v>
      </c>
      <c r="CG135">
        <v>0</v>
      </c>
      <c r="CM135">
        <v>0</v>
      </c>
      <c r="CN135" t="s">
        <v>3</v>
      </c>
      <c r="CO135">
        <v>0</v>
      </c>
      <c r="CP135">
        <f>(P135+Q135+S135)</f>
        <v>10595.64</v>
      </c>
      <c r="CQ135">
        <f>(AC135*BC135*AW135)</f>
        <v>0</v>
      </c>
      <c r="CR135">
        <f>(((((ET135*4))*BB135-((EU135*4))*BS135)+AE135*BS135)*AV135)</f>
        <v>0</v>
      </c>
      <c r="CS135">
        <f>(AE135*BS135*AV135)</f>
        <v>0</v>
      </c>
      <c r="CT135">
        <f>(AF135*BA135*AV135)</f>
        <v>321.08</v>
      </c>
      <c r="CU135">
        <f>AG135</f>
        <v>0</v>
      </c>
      <c r="CV135">
        <f>(AH135*AV135)</f>
        <v>0.52</v>
      </c>
      <c r="CW135">
        <f t="shared" si="121"/>
        <v>0</v>
      </c>
      <c r="CX135">
        <f t="shared" si="121"/>
        <v>0</v>
      </c>
      <c r="CY135">
        <f>((S135*BZ135)/100)</f>
        <v>7416.9479999999994</v>
      </c>
      <c r="CZ135">
        <f>((S135*CA135)/100)</f>
        <v>1059.5639999999999</v>
      </c>
      <c r="DC135" t="s">
        <v>3</v>
      </c>
      <c r="DD135" t="s">
        <v>22</v>
      </c>
      <c r="DE135" t="s">
        <v>22</v>
      </c>
      <c r="DF135" t="s">
        <v>22</v>
      </c>
      <c r="DG135" t="s">
        <v>22</v>
      </c>
      <c r="DH135" t="s">
        <v>3</v>
      </c>
      <c r="DI135" t="s">
        <v>22</v>
      </c>
      <c r="DJ135" t="s">
        <v>22</v>
      </c>
      <c r="DK135" t="s">
        <v>3</v>
      </c>
      <c r="DL135" t="s">
        <v>3</v>
      </c>
      <c r="DM135" t="s">
        <v>3</v>
      </c>
      <c r="DN135">
        <v>0</v>
      </c>
      <c r="DO135">
        <v>0</v>
      </c>
      <c r="DP135">
        <v>1</v>
      </c>
      <c r="DQ135">
        <v>1</v>
      </c>
      <c r="DU135">
        <v>16987630</v>
      </c>
      <c r="DV135" t="s">
        <v>32</v>
      </c>
      <c r="DW135" t="s">
        <v>32</v>
      </c>
      <c r="DX135">
        <v>1</v>
      </c>
      <c r="DZ135" t="s">
        <v>3</v>
      </c>
      <c r="EA135" t="s">
        <v>3</v>
      </c>
      <c r="EB135" t="s">
        <v>3</v>
      </c>
      <c r="EC135" t="s">
        <v>3</v>
      </c>
      <c r="EE135">
        <v>1441815344</v>
      </c>
      <c r="EF135">
        <v>1</v>
      </c>
      <c r="EG135" t="s">
        <v>23</v>
      </c>
      <c r="EH135">
        <v>0</v>
      </c>
      <c r="EI135" t="s">
        <v>3</v>
      </c>
      <c r="EJ135">
        <v>4</v>
      </c>
      <c r="EK135">
        <v>0</v>
      </c>
      <c r="EL135" t="s">
        <v>24</v>
      </c>
      <c r="EM135" t="s">
        <v>25</v>
      </c>
      <c r="EO135" t="s">
        <v>3</v>
      </c>
      <c r="EQ135">
        <v>1024</v>
      </c>
      <c r="ER135">
        <v>80.27</v>
      </c>
      <c r="ES135">
        <v>0</v>
      </c>
      <c r="ET135">
        <v>0</v>
      </c>
      <c r="EU135">
        <v>0</v>
      </c>
      <c r="EV135">
        <v>80.27</v>
      </c>
      <c r="EW135">
        <v>0.13</v>
      </c>
      <c r="EX135">
        <v>0</v>
      </c>
      <c r="EY135">
        <v>0</v>
      </c>
      <c r="FQ135">
        <v>0</v>
      </c>
      <c r="FR135">
        <f>ROUND(IF(BI135=3,GM135,0),2)</f>
        <v>0</v>
      </c>
      <c r="FS135">
        <v>0</v>
      </c>
      <c r="FX135">
        <v>70</v>
      </c>
      <c r="FY135">
        <v>10</v>
      </c>
      <c r="GA135" t="s">
        <v>3</v>
      </c>
      <c r="GD135">
        <v>0</v>
      </c>
      <c r="GF135">
        <v>1384570016</v>
      </c>
      <c r="GG135">
        <v>2</v>
      </c>
      <c r="GH135">
        <v>1</v>
      </c>
      <c r="GI135">
        <v>-2</v>
      </c>
      <c r="GJ135">
        <v>0</v>
      </c>
      <c r="GK135">
        <f>ROUND(R135*(R12)/100,2)</f>
        <v>0</v>
      </c>
      <c r="GL135">
        <f>ROUND(IF(AND(BH135=3,BI135=3,FS135&lt;&gt;0),P135,0),2)</f>
        <v>0</v>
      </c>
      <c r="GM135">
        <f>ROUND(O135+X135+Y135+GK135,2)+GX135</f>
        <v>19072.150000000001</v>
      </c>
      <c r="GN135">
        <f>IF(OR(BI135=0,BI135=1),GM135-GX135,0)</f>
        <v>0</v>
      </c>
      <c r="GO135">
        <f>IF(BI135=2,GM135-GX135,0)</f>
        <v>0</v>
      </c>
      <c r="GP135">
        <f>IF(BI135=4,GM135-GX135,0)</f>
        <v>19072.150000000001</v>
      </c>
      <c r="GR135">
        <v>0</v>
      </c>
      <c r="GS135">
        <v>3</v>
      </c>
      <c r="GT135">
        <v>0</v>
      </c>
      <c r="GU135" t="s">
        <v>3</v>
      </c>
      <c r="GV135">
        <f>ROUND((GT135),6)</f>
        <v>0</v>
      </c>
      <c r="GW135">
        <v>1</v>
      </c>
      <c r="GX135">
        <f>ROUND(HC135*I135,2)</f>
        <v>0</v>
      </c>
      <c r="HA135">
        <v>0</v>
      </c>
      <c r="HB135">
        <v>0</v>
      </c>
      <c r="HC135">
        <f>GV135*GW135</f>
        <v>0</v>
      </c>
      <c r="HE135" t="s">
        <v>3</v>
      </c>
      <c r="HF135" t="s">
        <v>3</v>
      </c>
      <c r="HM135" t="s">
        <v>3</v>
      </c>
      <c r="HN135" t="s">
        <v>3</v>
      </c>
      <c r="HO135" t="s">
        <v>3</v>
      </c>
      <c r="HP135" t="s">
        <v>3</v>
      </c>
      <c r="HQ135" t="s">
        <v>3</v>
      </c>
      <c r="IK135">
        <v>0</v>
      </c>
    </row>
    <row r="136" spans="1:245" x14ac:dyDescent="0.2">
      <c r="A136">
        <v>19</v>
      </c>
      <c r="B136">
        <v>1</v>
      </c>
      <c r="F136" t="s">
        <v>3</v>
      </c>
      <c r="G136" t="s">
        <v>43</v>
      </c>
      <c r="H136" t="s">
        <v>3</v>
      </c>
      <c r="AA136">
        <v>1</v>
      </c>
      <c r="IK136">
        <v>0</v>
      </c>
    </row>
    <row r="137" spans="1:245" x14ac:dyDescent="0.2">
      <c r="A137">
        <v>17</v>
      </c>
      <c r="B137">
        <v>1</v>
      </c>
      <c r="D137">
        <f>ROW(EtalonRes!A60)</f>
        <v>60</v>
      </c>
      <c r="E137" t="s">
        <v>3</v>
      </c>
      <c r="F137" t="s">
        <v>140</v>
      </c>
      <c r="G137" t="s">
        <v>141</v>
      </c>
      <c r="H137" t="s">
        <v>20</v>
      </c>
      <c r="I137">
        <f>ROUND(ROUND((40+25+10+2+1+10+2+2.5)*0.1/100,9),9)</f>
        <v>9.2499999999999999E-2</v>
      </c>
      <c r="J137">
        <v>0</v>
      </c>
      <c r="K137">
        <f>ROUND(ROUND((40+25+10+2+1+10+2+2.5)*0.1/100,9),9)</f>
        <v>9.2499999999999999E-2</v>
      </c>
      <c r="O137">
        <f>ROUND(CP137,2)</f>
        <v>1563.94</v>
      </c>
      <c r="P137">
        <f>ROUND(CQ137*I137,2)</f>
        <v>252.36</v>
      </c>
      <c r="Q137">
        <f>ROUND(CR137*I137,2)</f>
        <v>0</v>
      </c>
      <c r="R137">
        <f>ROUND(CS137*I137,2)</f>
        <v>0</v>
      </c>
      <c r="S137">
        <f>ROUND(CT137*I137,2)</f>
        <v>1311.58</v>
      </c>
      <c r="T137">
        <f>ROUND(CU137*I137,2)</f>
        <v>0</v>
      </c>
      <c r="U137">
        <f>CV137*I137</f>
        <v>2.73245</v>
      </c>
      <c r="V137">
        <f>CW137*I137</f>
        <v>0</v>
      </c>
      <c r="W137">
        <f>ROUND(CX137*I137,2)</f>
        <v>0</v>
      </c>
      <c r="X137">
        <f t="shared" ref="X137:Y140" si="124">ROUND(CY137,2)</f>
        <v>918.11</v>
      </c>
      <c r="Y137">
        <f t="shared" si="124"/>
        <v>131.16</v>
      </c>
      <c r="AA137">
        <v>-1</v>
      </c>
      <c r="AB137">
        <f>ROUND((AC137+AD137+AF137),6)</f>
        <v>16907.419999999998</v>
      </c>
      <c r="AC137">
        <f>ROUND((ES137),6)</f>
        <v>2728.22</v>
      </c>
      <c r="AD137">
        <f>ROUND((((ET137)-(EU137))+AE137),6)</f>
        <v>0</v>
      </c>
      <c r="AE137">
        <f>ROUND((EU137),6)</f>
        <v>0</v>
      </c>
      <c r="AF137">
        <f>ROUND((EV137),6)</f>
        <v>14179.2</v>
      </c>
      <c r="AG137">
        <f>ROUND((AP137),6)</f>
        <v>0</v>
      </c>
      <c r="AH137">
        <f>(EW137)</f>
        <v>29.54</v>
      </c>
      <c r="AI137">
        <f>(EX137)</f>
        <v>0</v>
      </c>
      <c r="AJ137">
        <f>(AS137)</f>
        <v>0</v>
      </c>
      <c r="AK137">
        <v>16907.419999999998</v>
      </c>
      <c r="AL137">
        <v>2728.22</v>
      </c>
      <c r="AM137">
        <v>0</v>
      </c>
      <c r="AN137">
        <v>0</v>
      </c>
      <c r="AO137">
        <v>14179.2</v>
      </c>
      <c r="AP137">
        <v>0</v>
      </c>
      <c r="AQ137">
        <v>29.54</v>
      </c>
      <c r="AR137">
        <v>0</v>
      </c>
      <c r="AS137">
        <v>0</v>
      </c>
      <c r="AT137">
        <v>70</v>
      </c>
      <c r="AU137">
        <v>10</v>
      </c>
      <c r="AV137">
        <v>1</v>
      </c>
      <c r="AW137">
        <v>1</v>
      </c>
      <c r="AZ137">
        <v>1</v>
      </c>
      <c r="BA137">
        <v>1</v>
      </c>
      <c r="BB137">
        <v>1</v>
      </c>
      <c r="BC137">
        <v>1</v>
      </c>
      <c r="BD137" t="s">
        <v>3</v>
      </c>
      <c r="BE137" t="s">
        <v>3</v>
      </c>
      <c r="BF137" t="s">
        <v>3</v>
      </c>
      <c r="BG137" t="s">
        <v>3</v>
      </c>
      <c r="BH137">
        <v>0</v>
      </c>
      <c r="BI137">
        <v>4</v>
      </c>
      <c r="BJ137" t="s">
        <v>142</v>
      </c>
      <c r="BM137">
        <v>0</v>
      </c>
      <c r="BN137">
        <v>0</v>
      </c>
      <c r="BO137" t="s">
        <v>3</v>
      </c>
      <c r="BP137">
        <v>0</v>
      </c>
      <c r="BQ137">
        <v>1</v>
      </c>
      <c r="BR137">
        <v>0</v>
      </c>
      <c r="BS137">
        <v>1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3</v>
      </c>
      <c r="BZ137">
        <v>70</v>
      </c>
      <c r="CA137">
        <v>10</v>
      </c>
      <c r="CB137" t="s">
        <v>3</v>
      </c>
      <c r="CE137">
        <v>0</v>
      </c>
      <c r="CF137">
        <v>0</v>
      </c>
      <c r="CG137">
        <v>0</v>
      </c>
      <c r="CM137">
        <v>0</v>
      </c>
      <c r="CN137" t="s">
        <v>3</v>
      </c>
      <c r="CO137">
        <v>0</v>
      </c>
      <c r="CP137">
        <f>(P137+Q137+S137)</f>
        <v>1563.94</v>
      </c>
      <c r="CQ137">
        <f>(AC137*BC137*AW137)</f>
        <v>2728.22</v>
      </c>
      <c r="CR137">
        <f>((((ET137)*BB137-(EU137)*BS137)+AE137*BS137)*AV137)</f>
        <v>0</v>
      </c>
      <c r="CS137">
        <f>(AE137*BS137*AV137)</f>
        <v>0</v>
      </c>
      <c r="CT137">
        <f>(AF137*BA137*AV137)</f>
        <v>14179.2</v>
      </c>
      <c r="CU137">
        <f>AG137</f>
        <v>0</v>
      </c>
      <c r="CV137">
        <f>(AH137*AV137)</f>
        <v>29.54</v>
      </c>
      <c r="CW137">
        <f t="shared" ref="CW137:CX140" si="125">AI137</f>
        <v>0</v>
      </c>
      <c r="CX137">
        <f t="shared" si="125"/>
        <v>0</v>
      </c>
      <c r="CY137">
        <f>((S137*BZ137)/100)</f>
        <v>918.10599999999988</v>
      </c>
      <c r="CZ137">
        <f>((S137*CA137)/100)</f>
        <v>131.15799999999999</v>
      </c>
      <c r="DC137" t="s">
        <v>3</v>
      </c>
      <c r="DD137" t="s">
        <v>3</v>
      </c>
      <c r="DE137" t="s">
        <v>3</v>
      </c>
      <c r="DF137" t="s">
        <v>3</v>
      </c>
      <c r="DG137" t="s">
        <v>3</v>
      </c>
      <c r="DH137" t="s">
        <v>3</v>
      </c>
      <c r="DI137" t="s">
        <v>3</v>
      </c>
      <c r="DJ137" t="s">
        <v>3</v>
      </c>
      <c r="DK137" t="s">
        <v>3</v>
      </c>
      <c r="DL137" t="s">
        <v>3</v>
      </c>
      <c r="DM137" t="s">
        <v>3</v>
      </c>
      <c r="DN137">
        <v>0</v>
      </c>
      <c r="DO137">
        <v>0</v>
      </c>
      <c r="DP137">
        <v>1</v>
      </c>
      <c r="DQ137">
        <v>1</v>
      </c>
      <c r="DU137">
        <v>1003</v>
      </c>
      <c r="DV137" t="s">
        <v>20</v>
      </c>
      <c r="DW137" t="s">
        <v>20</v>
      </c>
      <c r="DX137">
        <v>100</v>
      </c>
      <c r="DZ137" t="s">
        <v>3</v>
      </c>
      <c r="EA137" t="s">
        <v>3</v>
      </c>
      <c r="EB137" t="s">
        <v>3</v>
      </c>
      <c r="EC137" t="s">
        <v>3</v>
      </c>
      <c r="EE137">
        <v>1441815344</v>
      </c>
      <c r="EF137">
        <v>1</v>
      </c>
      <c r="EG137" t="s">
        <v>23</v>
      </c>
      <c r="EH137">
        <v>0</v>
      </c>
      <c r="EI137" t="s">
        <v>3</v>
      </c>
      <c r="EJ137">
        <v>4</v>
      </c>
      <c r="EK137">
        <v>0</v>
      </c>
      <c r="EL137" t="s">
        <v>24</v>
      </c>
      <c r="EM137" t="s">
        <v>25</v>
      </c>
      <c r="EO137" t="s">
        <v>3</v>
      </c>
      <c r="EQ137">
        <v>1311744</v>
      </c>
      <c r="ER137">
        <v>16907.419999999998</v>
      </c>
      <c r="ES137">
        <v>2728.22</v>
      </c>
      <c r="ET137">
        <v>0</v>
      </c>
      <c r="EU137">
        <v>0</v>
      </c>
      <c r="EV137">
        <v>14179.2</v>
      </c>
      <c r="EW137">
        <v>29.54</v>
      </c>
      <c r="EX137">
        <v>0</v>
      </c>
      <c r="EY137">
        <v>0</v>
      </c>
      <c r="FQ137">
        <v>0</v>
      </c>
      <c r="FR137">
        <f>ROUND(IF(BI137=3,GM137,0),2)</f>
        <v>0</v>
      </c>
      <c r="FS137">
        <v>0</v>
      </c>
      <c r="FX137">
        <v>70</v>
      </c>
      <c r="FY137">
        <v>10</v>
      </c>
      <c r="GA137" t="s">
        <v>3</v>
      </c>
      <c r="GD137">
        <v>0</v>
      </c>
      <c r="GF137">
        <v>-317825441</v>
      </c>
      <c r="GG137">
        <v>2</v>
      </c>
      <c r="GH137">
        <v>1</v>
      </c>
      <c r="GI137">
        <v>-2</v>
      </c>
      <c r="GJ137">
        <v>0</v>
      </c>
      <c r="GK137">
        <f>ROUND(R137*(R12)/100,2)</f>
        <v>0</v>
      </c>
      <c r="GL137">
        <f>ROUND(IF(AND(BH137=3,BI137=3,FS137&lt;&gt;0),P137,0),2)</f>
        <v>0</v>
      </c>
      <c r="GM137">
        <f>ROUND(O137+X137+Y137+GK137,2)+GX137</f>
        <v>2613.21</v>
      </c>
      <c r="GN137">
        <f>IF(OR(BI137=0,BI137=1),GM137-GX137,0)</f>
        <v>0</v>
      </c>
      <c r="GO137">
        <f>IF(BI137=2,GM137-GX137,0)</f>
        <v>0</v>
      </c>
      <c r="GP137">
        <f>IF(BI137=4,GM137-GX137,0)</f>
        <v>2613.21</v>
      </c>
      <c r="GR137">
        <v>0</v>
      </c>
      <c r="GS137">
        <v>3</v>
      </c>
      <c r="GT137">
        <v>0</v>
      </c>
      <c r="GU137" t="s">
        <v>3</v>
      </c>
      <c r="GV137">
        <f>ROUND((GT137),6)</f>
        <v>0</v>
      </c>
      <c r="GW137">
        <v>1</v>
      </c>
      <c r="GX137">
        <f>ROUND(HC137*I137,2)</f>
        <v>0</v>
      </c>
      <c r="HA137">
        <v>0</v>
      </c>
      <c r="HB137">
        <v>0</v>
      </c>
      <c r="HC137">
        <f>GV137*GW137</f>
        <v>0</v>
      </c>
      <c r="HE137" t="s">
        <v>3</v>
      </c>
      <c r="HF137" t="s">
        <v>3</v>
      </c>
      <c r="HM137" t="s">
        <v>3</v>
      </c>
      <c r="HN137" t="s">
        <v>3</v>
      </c>
      <c r="HO137" t="s">
        <v>3</v>
      </c>
      <c r="HP137" t="s">
        <v>3</v>
      </c>
      <c r="HQ137" t="s">
        <v>3</v>
      </c>
      <c r="IK137">
        <v>0</v>
      </c>
    </row>
    <row r="138" spans="1:245" x14ac:dyDescent="0.2">
      <c r="A138">
        <v>17</v>
      </c>
      <c r="B138">
        <v>1</v>
      </c>
      <c r="D138">
        <f>ROW(EtalonRes!A61)</f>
        <v>61</v>
      </c>
      <c r="E138" t="s">
        <v>3</v>
      </c>
      <c r="F138" t="s">
        <v>143</v>
      </c>
      <c r="G138" t="s">
        <v>144</v>
      </c>
      <c r="H138" t="s">
        <v>20</v>
      </c>
      <c r="I138">
        <f>ROUND(ROUND(((40+25+10+2+1+10+2+2.5)*0.25)*0.1/100,9),9)</f>
        <v>2.3125E-2</v>
      </c>
      <c r="J138">
        <v>0</v>
      </c>
      <c r="K138">
        <f>ROUND(ROUND(((40+25+10+2+1+10+2+2.5)*0.25)*0.1/100,9),9)</f>
        <v>2.3125E-2</v>
      </c>
      <c r="O138">
        <f>ROUND(CP138,2)</f>
        <v>71.760000000000005</v>
      </c>
      <c r="P138">
        <f>ROUND(CQ138*I138,2)</f>
        <v>0</v>
      </c>
      <c r="Q138">
        <f>ROUND(CR138*I138,2)</f>
        <v>0</v>
      </c>
      <c r="R138">
        <f>ROUND(CS138*I138,2)</f>
        <v>0</v>
      </c>
      <c r="S138">
        <f>ROUND(CT138*I138,2)</f>
        <v>71.760000000000005</v>
      </c>
      <c r="T138">
        <f>ROUND(CU138*I138,2)</f>
        <v>0</v>
      </c>
      <c r="U138">
        <f>CV138*I138</f>
        <v>0.12764999999999999</v>
      </c>
      <c r="V138">
        <f>CW138*I138</f>
        <v>0</v>
      </c>
      <c r="W138">
        <f>ROUND(CX138*I138,2)</f>
        <v>0</v>
      </c>
      <c r="X138">
        <f t="shared" si="124"/>
        <v>50.23</v>
      </c>
      <c r="Y138">
        <f t="shared" si="124"/>
        <v>7.18</v>
      </c>
      <c r="AA138">
        <v>-1</v>
      </c>
      <c r="AB138">
        <f>ROUND((AC138+AD138+AF138),6)</f>
        <v>3103.2</v>
      </c>
      <c r="AC138">
        <f>ROUND(((ES138*4)),6)</f>
        <v>0</v>
      </c>
      <c r="AD138">
        <f>ROUND(((((ET138*4))-((EU138*4)))+AE138),6)</f>
        <v>0</v>
      </c>
      <c r="AE138">
        <f t="shared" ref="AE138:AF140" si="126">ROUND(((EU138*4)),6)</f>
        <v>0</v>
      </c>
      <c r="AF138">
        <f t="shared" si="126"/>
        <v>3103.2</v>
      </c>
      <c r="AG138">
        <f>ROUND((AP138),6)</f>
        <v>0</v>
      </c>
      <c r="AH138">
        <f t="shared" ref="AH138:AI140" si="127">((EW138*4))</f>
        <v>5.52</v>
      </c>
      <c r="AI138">
        <f t="shared" si="127"/>
        <v>0</v>
      </c>
      <c r="AJ138">
        <f>(AS138)</f>
        <v>0</v>
      </c>
      <c r="AK138">
        <v>775.8</v>
      </c>
      <c r="AL138">
        <v>0</v>
      </c>
      <c r="AM138">
        <v>0</v>
      </c>
      <c r="AN138">
        <v>0</v>
      </c>
      <c r="AO138">
        <v>775.8</v>
      </c>
      <c r="AP138">
        <v>0</v>
      </c>
      <c r="AQ138">
        <v>1.38</v>
      </c>
      <c r="AR138">
        <v>0</v>
      </c>
      <c r="AS138">
        <v>0</v>
      </c>
      <c r="AT138">
        <v>70</v>
      </c>
      <c r="AU138">
        <v>10</v>
      </c>
      <c r="AV138">
        <v>1</v>
      </c>
      <c r="AW138">
        <v>1</v>
      </c>
      <c r="AZ138">
        <v>1</v>
      </c>
      <c r="BA138">
        <v>1</v>
      </c>
      <c r="BB138">
        <v>1</v>
      </c>
      <c r="BC138">
        <v>1</v>
      </c>
      <c r="BD138" t="s">
        <v>3</v>
      </c>
      <c r="BE138" t="s">
        <v>3</v>
      </c>
      <c r="BF138" t="s">
        <v>3</v>
      </c>
      <c r="BG138" t="s">
        <v>3</v>
      </c>
      <c r="BH138">
        <v>0</v>
      </c>
      <c r="BI138">
        <v>4</v>
      </c>
      <c r="BJ138" t="s">
        <v>145</v>
      </c>
      <c r="BM138">
        <v>0</v>
      </c>
      <c r="BN138">
        <v>0</v>
      </c>
      <c r="BO138" t="s">
        <v>3</v>
      </c>
      <c r="BP138">
        <v>0</v>
      </c>
      <c r="BQ138">
        <v>1</v>
      </c>
      <c r="BR138">
        <v>0</v>
      </c>
      <c r="BS138">
        <v>1</v>
      </c>
      <c r="BT138">
        <v>1</v>
      </c>
      <c r="BU138">
        <v>1</v>
      </c>
      <c r="BV138">
        <v>1</v>
      </c>
      <c r="BW138">
        <v>1</v>
      </c>
      <c r="BX138">
        <v>1</v>
      </c>
      <c r="BY138" t="s">
        <v>3</v>
      </c>
      <c r="BZ138">
        <v>70</v>
      </c>
      <c r="CA138">
        <v>10</v>
      </c>
      <c r="CB138" t="s">
        <v>3</v>
      </c>
      <c r="CE138">
        <v>0</v>
      </c>
      <c r="CF138">
        <v>0</v>
      </c>
      <c r="CG138">
        <v>0</v>
      </c>
      <c r="CM138">
        <v>0</v>
      </c>
      <c r="CN138" t="s">
        <v>3</v>
      </c>
      <c r="CO138">
        <v>0</v>
      </c>
      <c r="CP138">
        <f>(P138+Q138+S138)</f>
        <v>71.760000000000005</v>
      </c>
      <c r="CQ138">
        <f>(AC138*BC138*AW138)</f>
        <v>0</v>
      </c>
      <c r="CR138">
        <f>(((((ET138*4))*BB138-((EU138*4))*BS138)+AE138*BS138)*AV138)</f>
        <v>0</v>
      </c>
      <c r="CS138">
        <f>(AE138*BS138*AV138)</f>
        <v>0</v>
      </c>
      <c r="CT138">
        <f>(AF138*BA138*AV138)</f>
        <v>3103.2</v>
      </c>
      <c r="CU138">
        <f>AG138</f>
        <v>0</v>
      </c>
      <c r="CV138">
        <f>(AH138*AV138)</f>
        <v>5.52</v>
      </c>
      <c r="CW138">
        <f t="shared" si="125"/>
        <v>0</v>
      </c>
      <c r="CX138">
        <f t="shared" si="125"/>
        <v>0</v>
      </c>
      <c r="CY138">
        <f>((S138*BZ138)/100)</f>
        <v>50.232000000000006</v>
      </c>
      <c r="CZ138">
        <f>((S138*CA138)/100)</f>
        <v>7.1760000000000002</v>
      </c>
      <c r="DC138" t="s">
        <v>3</v>
      </c>
      <c r="DD138" t="s">
        <v>22</v>
      </c>
      <c r="DE138" t="s">
        <v>22</v>
      </c>
      <c r="DF138" t="s">
        <v>22</v>
      </c>
      <c r="DG138" t="s">
        <v>22</v>
      </c>
      <c r="DH138" t="s">
        <v>3</v>
      </c>
      <c r="DI138" t="s">
        <v>22</v>
      </c>
      <c r="DJ138" t="s">
        <v>22</v>
      </c>
      <c r="DK138" t="s">
        <v>3</v>
      </c>
      <c r="DL138" t="s">
        <v>3</v>
      </c>
      <c r="DM138" t="s">
        <v>3</v>
      </c>
      <c r="DN138">
        <v>0</v>
      </c>
      <c r="DO138">
        <v>0</v>
      </c>
      <c r="DP138">
        <v>1</v>
      </c>
      <c r="DQ138">
        <v>1</v>
      </c>
      <c r="DU138">
        <v>1003</v>
      </c>
      <c r="DV138" t="s">
        <v>20</v>
      </c>
      <c r="DW138" t="s">
        <v>20</v>
      </c>
      <c r="DX138">
        <v>100</v>
      </c>
      <c r="DZ138" t="s">
        <v>3</v>
      </c>
      <c r="EA138" t="s">
        <v>3</v>
      </c>
      <c r="EB138" t="s">
        <v>3</v>
      </c>
      <c r="EC138" t="s">
        <v>3</v>
      </c>
      <c r="EE138">
        <v>1441815344</v>
      </c>
      <c r="EF138">
        <v>1</v>
      </c>
      <c r="EG138" t="s">
        <v>23</v>
      </c>
      <c r="EH138">
        <v>0</v>
      </c>
      <c r="EI138" t="s">
        <v>3</v>
      </c>
      <c r="EJ138">
        <v>4</v>
      </c>
      <c r="EK138">
        <v>0</v>
      </c>
      <c r="EL138" t="s">
        <v>24</v>
      </c>
      <c r="EM138" t="s">
        <v>25</v>
      </c>
      <c r="EO138" t="s">
        <v>3</v>
      </c>
      <c r="EQ138">
        <v>1024</v>
      </c>
      <c r="ER138">
        <v>775.8</v>
      </c>
      <c r="ES138">
        <v>0</v>
      </c>
      <c r="ET138">
        <v>0</v>
      </c>
      <c r="EU138">
        <v>0</v>
      </c>
      <c r="EV138">
        <v>775.8</v>
      </c>
      <c r="EW138">
        <v>1.38</v>
      </c>
      <c r="EX138">
        <v>0</v>
      </c>
      <c r="EY138">
        <v>0</v>
      </c>
      <c r="FQ138">
        <v>0</v>
      </c>
      <c r="FR138">
        <f>ROUND(IF(BI138=3,GM138,0),2)</f>
        <v>0</v>
      </c>
      <c r="FS138">
        <v>0</v>
      </c>
      <c r="FX138">
        <v>70</v>
      </c>
      <c r="FY138">
        <v>10</v>
      </c>
      <c r="GA138" t="s">
        <v>3</v>
      </c>
      <c r="GD138">
        <v>0</v>
      </c>
      <c r="GF138">
        <v>-1934492766</v>
      </c>
      <c r="GG138">
        <v>2</v>
      </c>
      <c r="GH138">
        <v>1</v>
      </c>
      <c r="GI138">
        <v>-2</v>
      </c>
      <c r="GJ138">
        <v>0</v>
      </c>
      <c r="GK138">
        <f>ROUND(R138*(R12)/100,2)</f>
        <v>0</v>
      </c>
      <c r="GL138">
        <f>ROUND(IF(AND(BH138=3,BI138=3,FS138&lt;&gt;0),P138,0),2)</f>
        <v>0</v>
      </c>
      <c r="GM138">
        <f>ROUND(O138+X138+Y138+GK138,2)+GX138</f>
        <v>129.16999999999999</v>
      </c>
      <c r="GN138">
        <f>IF(OR(BI138=0,BI138=1),GM138-GX138,0)</f>
        <v>0</v>
      </c>
      <c r="GO138">
        <f>IF(BI138=2,GM138-GX138,0)</f>
        <v>0</v>
      </c>
      <c r="GP138">
        <f>IF(BI138=4,GM138-GX138,0)</f>
        <v>129.16999999999999</v>
      </c>
      <c r="GR138">
        <v>0</v>
      </c>
      <c r="GS138">
        <v>3</v>
      </c>
      <c r="GT138">
        <v>0</v>
      </c>
      <c r="GU138" t="s">
        <v>3</v>
      </c>
      <c r="GV138">
        <f>ROUND((GT138),6)</f>
        <v>0</v>
      </c>
      <c r="GW138">
        <v>1</v>
      </c>
      <c r="GX138">
        <f>ROUND(HC138*I138,2)</f>
        <v>0</v>
      </c>
      <c r="HA138">
        <v>0</v>
      </c>
      <c r="HB138">
        <v>0</v>
      </c>
      <c r="HC138">
        <f>GV138*GW138</f>
        <v>0</v>
      </c>
      <c r="HE138" t="s">
        <v>3</v>
      </c>
      <c r="HF138" t="s">
        <v>3</v>
      </c>
      <c r="HM138" t="s">
        <v>3</v>
      </c>
      <c r="HN138" t="s">
        <v>3</v>
      </c>
      <c r="HO138" t="s">
        <v>3</v>
      </c>
      <c r="HP138" t="s">
        <v>3</v>
      </c>
      <c r="HQ138" t="s">
        <v>3</v>
      </c>
      <c r="IK138">
        <v>0</v>
      </c>
    </row>
    <row r="139" spans="1:245" x14ac:dyDescent="0.2">
      <c r="A139">
        <v>17</v>
      </c>
      <c r="B139">
        <v>1</v>
      </c>
      <c r="D139">
        <f>ROW(EtalonRes!A62)</f>
        <v>62</v>
      </c>
      <c r="E139" t="s">
        <v>3</v>
      </c>
      <c r="F139" t="s">
        <v>146</v>
      </c>
      <c r="G139" t="s">
        <v>147</v>
      </c>
      <c r="H139" t="s">
        <v>20</v>
      </c>
      <c r="I139">
        <f>ROUND(ROUND(((40+25+10+2+1+10+2+2.5)*0.75*0.1)/100,9),9)</f>
        <v>6.9375000000000006E-2</v>
      </c>
      <c r="J139">
        <v>0</v>
      </c>
      <c r="K139">
        <f>ROUND(ROUND(((40+25+10+2+1+10+2+2.5)*0.75*0.1)/100,9),9)</f>
        <v>6.9375000000000006E-2</v>
      </c>
      <c r="O139">
        <f>ROUND(CP139,2)</f>
        <v>764.41</v>
      </c>
      <c r="P139">
        <f>ROUND(CQ139*I139,2)</f>
        <v>0</v>
      </c>
      <c r="Q139">
        <f>ROUND(CR139*I139,2)</f>
        <v>0</v>
      </c>
      <c r="R139">
        <f>ROUND(CS139*I139,2)</f>
        <v>0</v>
      </c>
      <c r="S139">
        <f>ROUND(CT139*I139,2)</f>
        <v>764.41</v>
      </c>
      <c r="T139">
        <f>ROUND(CU139*I139,2)</f>
        <v>0</v>
      </c>
      <c r="U139">
        <f>CV139*I139</f>
        <v>1.3597500000000002</v>
      </c>
      <c r="V139">
        <f>CW139*I139</f>
        <v>0</v>
      </c>
      <c r="W139">
        <f>ROUND(CX139*I139,2)</f>
        <v>0</v>
      </c>
      <c r="X139">
        <f t="shared" si="124"/>
        <v>535.09</v>
      </c>
      <c r="Y139">
        <f t="shared" si="124"/>
        <v>76.44</v>
      </c>
      <c r="AA139">
        <v>-1</v>
      </c>
      <c r="AB139">
        <f>ROUND((AC139+AD139+AF139),6)</f>
        <v>11018.52</v>
      </c>
      <c r="AC139">
        <f>ROUND(((ES139*4)),6)</f>
        <v>0</v>
      </c>
      <c r="AD139">
        <f>ROUND(((((ET139*4))-((EU139*4)))+AE139),6)</f>
        <v>0</v>
      </c>
      <c r="AE139">
        <f t="shared" si="126"/>
        <v>0</v>
      </c>
      <c r="AF139">
        <f t="shared" si="126"/>
        <v>11018.52</v>
      </c>
      <c r="AG139">
        <f>ROUND((AP139),6)</f>
        <v>0</v>
      </c>
      <c r="AH139">
        <f t="shared" si="127"/>
        <v>19.600000000000001</v>
      </c>
      <c r="AI139">
        <f t="shared" si="127"/>
        <v>0</v>
      </c>
      <c r="AJ139">
        <f>(AS139)</f>
        <v>0</v>
      </c>
      <c r="AK139">
        <v>2754.63</v>
      </c>
      <c r="AL139">
        <v>0</v>
      </c>
      <c r="AM139">
        <v>0</v>
      </c>
      <c r="AN139">
        <v>0</v>
      </c>
      <c r="AO139">
        <v>2754.63</v>
      </c>
      <c r="AP139">
        <v>0</v>
      </c>
      <c r="AQ139">
        <v>4.9000000000000004</v>
      </c>
      <c r="AR139">
        <v>0</v>
      </c>
      <c r="AS139">
        <v>0</v>
      </c>
      <c r="AT139">
        <v>70</v>
      </c>
      <c r="AU139">
        <v>10</v>
      </c>
      <c r="AV139">
        <v>1</v>
      </c>
      <c r="AW139">
        <v>1</v>
      </c>
      <c r="AZ139">
        <v>1</v>
      </c>
      <c r="BA139">
        <v>1</v>
      </c>
      <c r="BB139">
        <v>1</v>
      </c>
      <c r="BC139">
        <v>1</v>
      </c>
      <c r="BD139" t="s">
        <v>3</v>
      </c>
      <c r="BE139" t="s">
        <v>3</v>
      </c>
      <c r="BF139" t="s">
        <v>3</v>
      </c>
      <c r="BG139" t="s">
        <v>3</v>
      </c>
      <c r="BH139">
        <v>0</v>
      </c>
      <c r="BI139">
        <v>4</v>
      </c>
      <c r="BJ139" t="s">
        <v>148</v>
      </c>
      <c r="BM139">
        <v>0</v>
      </c>
      <c r="BN139">
        <v>0</v>
      </c>
      <c r="BO139" t="s">
        <v>3</v>
      </c>
      <c r="BP139">
        <v>0</v>
      </c>
      <c r="BQ139">
        <v>1</v>
      </c>
      <c r="BR139">
        <v>0</v>
      </c>
      <c r="BS139">
        <v>1</v>
      </c>
      <c r="BT139">
        <v>1</v>
      </c>
      <c r="BU139">
        <v>1</v>
      </c>
      <c r="BV139">
        <v>1</v>
      </c>
      <c r="BW139">
        <v>1</v>
      </c>
      <c r="BX139">
        <v>1</v>
      </c>
      <c r="BY139" t="s">
        <v>3</v>
      </c>
      <c r="BZ139">
        <v>70</v>
      </c>
      <c r="CA139">
        <v>10</v>
      </c>
      <c r="CB139" t="s">
        <v>3</v>
      </c>
      <c r="CE139">
        <v>0</v>
      </c>
      <c r="CF139">
        <v>0</v>
      </c>
      <c r="CG139">
        <v>0</v>
      </c>
      <c r="CM139">
        <v>0</v>
      </c>
      <c r="CN139" t="s">
        <v>3</v>
      </c>
      <c r="CO139">
        <v>0</v>
      </c>
      <c r="CP139">
        <f>(P139+Q139+S139)</f>
        <v>764.41</v>
      </c>
      <c r="CQ139">
        <f>(AC139*BC139*AW139)</f>
        <v>0</v>
      </c>
      <c r="CR139">
        <f>(((((ET139*4))*BB139-((EU139*4))*BS139)+AE139*BS139)*AV139)</f>
        <v>0</v>
      </c>
      <c r="CS139">
        <f>(AE139*BS139*AV139)</f>
        <v>0</v>
      </c>
      <c r="CT139">
        <f>(AF139*BA139*AV139)</f>
        <v>11018.52</v>
      </c>
      <c r="CU139">
        <f>AG139</f>
        <v>0</v>
      </c>
      <c r="CV139">
        <f>(AH139*AV139)</f>
        <v>19.600000000000001</v>
      </c>
      <c r="CW139">
        <f t="shared" si="125"/>
        <v>0</v>
      </c>
      <c r="CX139">
        <f t="shared" si="125"/>
        <v>0</v>
      </c>
      <c r="CY139">
        <f>((S139*BZ139)/100)</f>
        <v>535.08699999999999</v>
      </c>
      <c r="CZ139">
        <f>((S139*CA139)/100)</f>
        <v>76.440999999999988</v>
      </c>
      <c r="DC139" t="s">
        <v>3</v>
      </c>
      <c r="DD139" t="s">
        <v>22</v>
      </c>
      <c r="DE139" t="s">
        <v>22</v>
      </c>
      <c r="DF139" t="s">
        <v>22</v>
      </c>
      <c r="DG139" t="s">
        <v>22</v>
      </c>
      <c r="DH139" t="s">
        <v>3</v>
      </c>
      <c r="DI139" t="s">
        <v>22</v>
      </c>
      <c r="DJ139" t="s">
        <v>22</v>
      </c>
      <c r="DK139" t="s">
        <v>3</v>
      </c>
      <c r="DL139" t="s">
        <v>3</v>
      </c>
      <c r="DM139" t="s">
        <v>3</v>
      </c>
      <c r="DN139">
        <v>0</v>
      </c>
      <c r="DO139">
        <v>0</v>
      </c>
      <c r="DP139">
        <v>1</v>
      </c>
      <c r="DQ139">
        <v>1</v>
      </c>
      <c r="DU139">
        <v>1003</v>
      </c>
      <c r="DV139" t="s">
        <v>20</v>
      </c>
      <c r="DW139" t="s">
        <v>20</v>
      </c>
      <c r="DX139">
        <v>100</v>
      </c>
      <c r="DZ139" t="s">
        <v>3</v>
      </c>
      <c r="EA139" t="s">
        <v>3</v>
      </c>
      <c r="EB139" t="s">
        <v>3</v>
      </c>
      <c r="EC139" t="s">
        <v>3</v>
      </c>
      <c r="EE139">
        <v>1441815344</v>
      </c>
      <c r="EF139">
        <v>1</v>
      </c>
      <c r="EG139" t="s">
        <v>23</v>
      </c>
      <c r="EH139">
        <v>0</v>
      </c>
      <c r="EI139" t="s">
        <v>3</v>
      </c>
      <c r="EJ139">
        <v>4</v>
      </c>
      <c r="EK139">
        <v>0</v>
      </c>
      <c r="EL139" t="s">
        <v>24</v>
      </c>
      <c r="EM139" t="s">
        <v>25</v>
      </c>
      <c r="EO139" t="s">
        <v>3</v>
      </c>
      <c r="EQ139">
        <v>1024</v>
      </c>
      <c r="ER139">
        <v>2754.63</v>
      </c>
      <c r="ES139">
        <v>0</v>
      </c>
      <c r="ET139">
        <v>0</v>
      </c>
      <c r="EU139">
        <v>0</v>
      </c>
      <c r="EV139">
        <v>2754.63</v>
      </c>
      <c r="EW139">
        <v>4.9000000000000004</v>
      </c>
      <c r="EX139">
        <v>0</v>
      </c>
      <c r="EY139">
        <v>0</v>
      </c>
      <c r="FQ139">
        <v>0</v>
      </c>
      <c r="FR139">
        <f>ROUND(IF(BI139=3,GM139,0),2)</f>
        <v>0</v>
      </c>
      <c r="FS139">
        <v>0</v>
      </c>
      <c r="FX139">
        <v>70</v>
      </c>
      <c r="FY139">
        <v>10</v>
      </c>
      <c r="GA139" t="s">
        <v>3</v>
      </c>
      <c r="GD139">
        <v>0</v>
      </c>
      <c r="GF139">
        <v>329268789</v>
      </c>
      <c r="GG139">
        <v>2</v>
      </c>
      <c r="GH139">
        <v>1</v>
      </c>
      <c r="GI139">
        <v>-2</v>
      </c>
      <c r="GJ139">
        <v>0</v>
      </c>
      <c r="GK139">
        <f>ROUND(R139*(R12)/100,2)</f>
        <v>0</v>
      </c>
      <c r="GL139">
        <f>ROUND(IF(AND(BH139=3,BI139=3,FS139&lt;&gt;0),P139,0),2)</f>
        <v>0</v>
      </c>
      <c r="GM139">
        <f>ROUND(O139+X139+Y139+GK139,2)+GX139</f>
        <v>1375.94</v>
      </c>
      <c r="GN139">
        <f>IF(OR(BI139=0,BI139=1),GM139-GX139,0)</f>
        <v>0</v>
      </c>
      <c r="GO139">
        <f>IF(BI139=2,GM139-GX139,0)</f>
        <v>0</v>
      </c>
      <c r="GP139">
        <f>IF(BI139=4,GM139-GX139,0)</f>
        <v>1375.94</v>
      </c>
      <c r="GR139">
        <v>0</v>
      </c>
      <c r="GS139">
        <v>3</v>
      </c>
      <c r="GT139">
        <v>0</v>
      </c>
      <c r="GU139" t="s">
        <v>3</v>
      </c>
      <c r="GV139">
        <f>ROUND((GT139),6)</f>
        <v>0</v>
      </c>
      <c r="GW139">
        <v>1</v>
      </c>
      <c r="GX139">
        <f>ROUND(HC139*I139,2)</f>
        <v>0</v>
      </c>
      <c r="HA139">
        <v>0</v>
      </c>
      <c r="HB139">
        <v>0</v>
      </c>
      <c r="HC139">
        <f>GV139*GW139</f>
        <v>0</v>
      </c>
      <c r="HE139" t="s">
        <v>3</v>
      </c>
      <c r="HF139" t="s">
        <v>3</v>
      </c>
      <c r="HM139" t="s">
        <v>3</v>
      </c>
      <c r="HN139" t="s">
        <v>3</v>
      </c>
      <c r="HO139" t="s">
        <v>3</v>
      </c>
      <c r="HP139" t="s">
        <v>3</v>
      </c>
      <c r="HQ139" t="s">
        <v>3</v>
      </c>
      <c r="IK139">
        <v>0</v>
      </c>
    </row>
    <row r="140" spans="1:245" x14ac:dyDescent="0.2">
      <c r="A140">
        <v>17</v>
      </c>
      <c r="B140">
        <v>1</v>
      </c>
      <c r="D140">
        <f>ROW(EtalonRes!A63)</f>
        <v>63</v>
      </c>
      <c r="E140" t="s">
        <v>3</v>
      </c>
      <c r="F140" t="s">
        <v>149</v>
      </c>
      <c r="G140" t="s">
        <v>150</v>
      </c>
      <c r="H140" t="s">
        <v>32</v>
      </c>
      <c r="I140">
        <f>ROUND(ROUND(2,9),9)</f>
        <v>2</v>
      </c>
      <c r="J140">
        <v>0</v>
      </c>
      <c r="K140">
        <f>ROUND(ROUND(2,9),9)</f>
        <v>2</v>
      </c>
      <c r="O140">
        <f>ROUND(CP140,2)</f>
        <v>642.16</v>
      </c>
      <c r="P140">
        <f>ROUND(CQ140*I140,2)</f>
        <v>0</v>
      </c>
      <c r="Q140">
        <f>ROUND(CR140*I140,2)</f>
        <v>0</v>
      </c>
      <c r="R140">
        <f>ROUND(CS140*I140,2)</f>
        <v>0</v>
      </c>
      <c r="S140">
        <f>ROUND(CT140*I140,2)</f>
        <v>642.16</v>
      </c>
      <c r="T140">
        <f>ROUND(CU140*I140,2)</f>
        <v>0</v>
      </c>
      <c r="U140">
        <f>CV140*I140</f>
        <v>1.04</v>
      </c>
      <c r="V140">
        <f>CW140*I140</f>
        <v>0</v>
      </c>
      <c r="W140">
        <f>ROUND(CX140*I140,2)</f>
        <v>0</v>
      </c>
      <c r="X140">
        <f t="shared" si="124"/>
        <v>449.51</v>
      </c>
      <c r="Y140">
        <f t="shared" si="124"/>
        <v>64.22</v>
      </c>
      <c r="AA140">
        <v>-1</v>
      </c>
      <c r="AB140">
        <f>ROUND((AC140+AD140+AF140),6)</f>
        <v>321.08</v>
      </c>
      <c r="AC140">
        <f>ROUND(((ES140*4)),6)</f>
        <v>0</v>
      </c>
      <c r="AD140">
        <f>ROUND(((((ET140*4))-((EU140*4)))+AE140),6)</f>
        <v>0</v>
      </c>
      <c r="AE140">
        <f t="shared" si="126"/>
        <v>0</v>
      </c>
      <c r="AF140">
        <f t="shared" si="126"/>
        <v>321.08</v>
      </c>
      <c r="AG140">
        <f>ROUND((AP140),6)</f>
        <v>0</v>
      </c>
      <c r="AH140">
        <f t="shared" si="127"/>
        <v>0.52</v>
      </c>
      <c r="AI140">
        <f t="shared" si="127"/>
        <v>0</v>
      </c>
      <c r="AJ140">
        <f>(AS140)</f>
        <v>0</v>
      </c>
      <c r="AK140">
        <v>80.27</v>
      </c>
      <c r="AL140">
        <v>0</v>
      </c>
      <c r="AM140">
        <v>0</v>
      </c>
      <c r="AN140">
        <v>0</v>
      </c>
      <c r="AO140">
        <v>80.27</v>
      </c>
      <c r="AP140">
        <v>0</v>
      </c>
      <c r="AQ140">
        <v>0.13</v>
      </c>
      <c r="AR140">
        <v>0</v>
      </c>
      <c r="AS140">
        <v>0</v>
      </c>
      <c r="AT140">
        <v>70</v>
      </c>
      <c r="AU140">
        <v>10</v>
      </c>
      <c r="AV140">
        <v>1</v>
      </c>
      <c r="AW140">
        <v>1</v>
      </c>
      <c r="AZ140">
        <v>1</v>
      </c>
      <c r="BA140">
        <v>1</v>
      </c>
      <c r="BB140">
        <v>1</v>
      </c>
      <c r="BC140">
        <v>1</v>
      </c>
      <c r="BD140" t="s">
        <v>3</v>
      </c>
      <c r="BE140" t="s">
        <v>3</v>
      </c>
      <c r="BF140" t="s">
        <v>3</v>
      </c>
      <c r="BG140" t="s">
        <v>3</v>
      </c>
      <c r="BH140">
        <v>0</v>
      </c>
      <c r="BI140">
        <v>4</v>
      </c>
      <c r="BJ140" t="s">
        <v>151</v>
      </c>
      <c r="BM140">
        <v>0</v>
      </c>
      <c r="BN140">
        <v>0</v>
      </c>
      <c r="BO140" t="s">
        <v>3</v>
      </c>
      <c r="BP140">
        <v>0</v>
      </c>
      <c r="BQ140">
        <v>1</v>
      </c>
      <c r="BR140">
        <v>0</v>
      </c>
      <c r="BS140">
        <v>1</v>
      </c>
      <c r="BT140">
        <v>1</v>
      </c>
      <c r="BU140">
        <v>1</v>
      </c>
      <c r="BV140">
        <v>1</v>
      </c>
      <c r="BW140">
        <v>1</v>
      </c>
      <c r="BX140">
        <v>1</v>
      </c>
      <c r="BY140" t="s">
        <v>3</v>
      </c>
      <c r="BZ140">
        <v>70</v>
      </c>
      <c r="CA140">
        <v>10</v>
      </c>
      <c r="CB140" t="s">
        <v>3</v>
      </c>
      <c r="CE140">
        <v>0</v>
      </c>
      <c r="CF140">
        <v>0</v>
      </c>
      <c r="CG140">
        <v>0</v>
      </c>
      <c r="CM140">
        <v>0</v>
      </c>
      <c r="CN140" t="s">
        <v>3</v>
      </c>
      <c r="CO140">
        <v>0</v>
      </c>
      <c r="CP140">
        <f>(P140+Q140+S140)</f>
        <v>642.16</v>
      </c>
      <c r="CQ140">
        <f>(AC140*BC140*AW140)</f>
        <v>0</v>
      </c>
      <c r="CR140">
        <f>(((((ET140*4))*BB140-((EU140*4))*BS140)+AE140*BS140)*AV140)</f>
        <v>0</v>
      </c>
      <c r="CS140">
        <f>(AE140*BS140*AV140)</f>
        <v>0</v>
      </c>
      <c r="CT140">
        <f>(AF140*BA140*AV140)</f>
        <v>321.08</v>
      </c>
      <c r="CU140">
        <f>AG140</f>
        <v>0</v>
      </c>
      <c r="CV140">
        <f>(AH140*AV140)</f>
        <v>0.52</v>
      </c>
      <c r="CW140">
        <f t="shared" si="125"/>
        <v>0</v>
      </c>
      <c r="CX140">
        <f t="shared" si="125"/>
        <v>0</v>
      </c>
      <c r="CY140">
        <f>((S140*BZ140)/100)</f>
        <v>449.51199999999994</v>
      </c>
      <c r="CZ140">
        <f>((S140*CA140)/100)</f>
        <v>64.215999999999994</v>
      </c>
      <c r="DC140" t="s">
        <v>3</v>
      </c>
      <c r="DD140" t="s">
        <v>22</v>
      </c>
      <c r="DE140" t="s">
        <v>22</v>
      </c>
      <c r="DF140" t="s">
        <v>22</v>
      </c>
      <c r="DG140" t="s">
        <v>22</v>
      </c>
      <c r="DH140" t="s">
        <v>3</v>
      </c>
      <c r="DI140" t="s">
        <v>22</v>
      </c>
      <c r="DJ140" t="s">
        <v>22</v>
      </c>
      <c r="DK140" t="s">
        <v>3</v>
      </c>
      <c r="DL140" t="s">
        <v>3</v>
      </c>
      <c r="DM140" t="s">
        <v>3</v>
      </c>
      <c r="DN140">
        <v>0</v>
      </c>
      <c r="DO140">
        <v>0</v>
      </c>
      <c r="DP140">
        <v>1</v>
      </c>
      <c r="DQ140">
        <v>1</v>
      </c>
      <c r="DU140">
        <v>16987630</v>
      </c>
      <c r="DV140" t="s">
        <v>32</v>
      </c>
      <c r="DW140" t="s">
        <v>32</v>
      </c>
      <c r="DX140">
        <v>1</v>
      </c>
      <c r="DZ140" t="s">
        <v>3</v>
      </c>
      <c r="EA140" t="s">
        <v>3</v>
      </c>
      <c r="EB140" t="s">
        <v>3</v>
      </c>
      <c r="EC140" t="s">
        <v>3</v>
      </c>
      <c r="EE140">
        <v>1441815344</v>
      </c>
      <c r="EF140">
        <v>1</v>
      </c>
      <c r="EG140" t="s">
        <v>23</v>
      </c>
      <c r="EH140">
        <v>0</v>
      </c>
      <c r="EI140" t="s">
        <v>3</v>
      </c>
      <c r="EJ140">
        <v>4</v>
      </c>
      <c r="EK140">
        <v>0</v>
      </c>
      <c r="EL140" t="s">
        <v>24</v>
      </c>
      <c r="EM140" t="s">
        <v>25</v>
      </c>
      <c r="EO140" t="s">
        <v>3</v>
      </c>
      <c r="EQ140">
        <v>1024</v>
      </c>
      <c r="ER140">
        <v>80.27</v>
      </c>
      <c r="ES140">
        <v>0</v>
      </c>
      <c r="ET140">
        <v>0</v>
      </c>
      <c r="EU140">
        <v>0</v>
      </c>
      <c r="EV140">
        <v>80.27</v>
      </c>
      <c r="EW140">
        <v>0.13</v>
      </c>
      <c r="EX140">
        <v>0</v>
      </c>
      <c r="EY140">
        <v>0</v>
      </c>
      <c r="FQ140">
        <v>0</v>
      </c>
      <c r="FR140">
        <f>ROUND(IF(BI140=3,GM140,0),2)</f>
        <v>0</v>
      </c>
      <c r="FS140">
        <v>0</v>
      </c>
      <c r="FX140">
        <v>70</v>
      </c>
      <c r="FY140">
        <v>10</v>
      </c>
      <c r="GA140" t="s">
        <v>3</v>
      </c>
      <c r="GD140">
        <v>0</v>
      </c>
      <c r="GF140">
        <v>1384570016</v>
      </c>
      <c r="GG140">
        <v>2</v>
      </c>
      <c r="GH140">
        <v>1</v>
      </c>
      <c r="GI140">
        <v>-2</v>
      </c>
      <c r="GJ140">
        <v>0</v>
      </c>
      <c r="GK140">
        <f>ROUND(R140*(R12)/100,2)</f>
        <v>0</v>
      </c>
      <c r="GL140">
        <f>ROUND(IF(AND(BH140=3,BI140=3,FS140&lt;&gt;0),P140,0),2)</f>
        <v>0</v>
      </c>
      <c r="GM140">
        <f>ROUND(O140+X140+Y140+GK140,2)+GX140</f>
        <v>1155.8900000000001</v>
      </c>
      <c r="GN140">
        <f>IF(OR(BI140=0,BI140=1),GM140-GX140,0)</f>
        <v>0</v>
      </c>
      <c r="GO140">
        <f>IF(BI140=2,GM140-GX140,0)</f>
        <v>0</v>
      </c>
      <c r="GP140">
        <f>IF(BI140=4,GM140-GX140,0)</f>
        <v>1155.8900000000001</v>
      </c>
      <c r="GR140">
        <v>0</v>
      </c>
      <c r="GS140">
        <v>3</v>
      </c>
      <c r="GT140">
        <v>0</v>
      </c>
      <c r="GU140" t="s">
        <v>3</v>
      </c>
      <c r="GV140">
        <f>ROUND((GT140),6)</f>
        <v>0</v>
      </c>
      <c r="GW140">
        <v>1</v>
      </c>
      <c r="GX140">
        <f>ROUND(HC140*I140,2)</f>
        <v>0</v>
      </c>
      <c r="HA140">
        <v>0</v>
      </c>
      <c r="HB140">
        <v>0</v>
      </c>
      <c r="HC140">
        <f>GV140*GW140</f>
        <v>0</v>
      </c>
      <c r="HE140" t="s">
        <v>3</v>
      </c>
      <c r="HF140" t="s">
        <v>3</v>
      </c>
      <c r="HM140" t="s">
        <v>3</v>
      </c>
      <c r="HN140" t="s">
        <v>3</v>
      </c>
      <c r="HO140" t="s">
        <v>3</v>
      </c>
      <c r="HP140" t="s">
        <v>3</v>
      </c>
      <c r="HQ140" t="s">
        <v>3</v>
      </c>
      <c r="IK140">
        <v>0</v>
      </c>
    </row>
    <row r="142" spans="1:245" x14ac:dyDescent="0.2">
      <c r="A142" s="2">
        <v>51</v>
      </c>
      <c r="B142" s="2">
        <f>B127</f>
        <v>1</v>
      </c>
      <c r="C142" s="2">
        <f>A127</f>
        <v>5</v>
      </c>
      <c r="D142" s="2">
        <f>ROW(A127)</f>
        <v>127</v>
      </c>
      <c r="E142" s="2"/>
      <c r="F142" s="2" t="str">
        <f>IF(F127&lt;&gt;"",F127,"")</f>
        <v>Новый подраздел</v>
      </c>
      <c r="G142" s="2" t="str">
        <f>IF(G127&lt;&gt;"",G127,"")</f>
        <v>Канализация</v>
      </c>
      <c r="H142" s="2">
        <v>0</v>
      </c>
      <c r="I142" s="2"/>
      <c r="J142" s="2"/>
      <c r="K142" s="2"/>
      <c r="L142" s="2"/>
      <c r="M142" s="2"/>
      <c r="N142" s="2"/>
      <c r="O142" s="2">
        <f t="shared" ref="O142:T142" si="128">ROUND(AB142,2)</f>
        <v>0</v>
      </c>
      <c r="P142" s="2">
        <f t="shared" si="128"/>
        <v>0</v>
      </c>
      <c r="Q142" s="2">
        <f t="shared" si="128"/>
        <v>0</v>
      </c>
      <c r="R142" s="2">
        <f t="shared" si="128"/>
        <v>0</v>
      </c>
      <c r="S142" s="2">
        <f t="shared" si="128"/>
        <v>0</v>
      </c>
      <c r="T142" s="2">
        <f t="shared" si="128"/>
        <v>0</v>
      </c>
      <c r="U142" s="2">
        <f>AH142</f>
        <v>0</v>
      </c>
      <c r="V142" s="2">
        <f>AI142</f>
        <v>0</v>
      </c>
      <c r="W142" s="2">
        <f>ROUND(AJ142,2)</f>
        <v>0</v>
      </c>
      <c r="X142" s="2">
        <f>ROUND(AK142,2)</f>
        <v>0</v>
      </c>
      <c r="Y142" s="2">
        <f>ROUND(AL142,2)</f>
        <v>0</v>
      </c>
      <c r="Z142" s="2"/>
      <c r="AA142" s="2"/>
      <c r="AB142" s="2">
        <f>ROUND(SUMIF(AA131:AA140,"=1472224561",O131:O140),2)</f>
        <v>0</v>
      </c>
      <c r="AC142" s="2">
        <f>ROUND(SUMIF(AA131:AA140,"=1472224561",P131:P140),2)</f>
        <v>0</v>
      </c>
      <c r="AD142" s="2">
        <f>ROUND(SUMIF(AA131:AA140,"=1472224561",Q131:Q140),2)</f>
        <v>0</v>
      </c>
      <c r="AE142" s="2">
        <f>ROUND(SUMIF(AA131:AA140,"=1472224561",R131:R140),2)</f>
        <v>0</v>
      </c>
      <c r="AF142" s="2">
        <f>ROUND(SUMIF(AA131:AA140,"=1472224561",S131:S140),2)</f>
        <v>0</v>
      </c>
      <c r="AG142" s="2">
        <f>ROUND(SUMIF(AA131:AA140,"=1472224561",T131:T140),2)</f>
        <v>0</v>
      </c>
      <c r="AH142" s="2">
        <f>SUMIF(AA131:AA140,"=1472224561",U131:U140)</f>
        <v>0</v>
      </c>
      <c r="AI142" s="2">
        <f>SUMIF(AA131:AA140,"=1472224561",V131:V140)</f>
        <v>0</v>
      </c>
      <c r="AJ142" s="2">
        <f>ROUND(SUMIF(AA131:AA140,"=1472224561",W131:W140),2)</f>
        <v>0</v>
      </c>
      <c r="AK142" s="2">
        <f>ROUND(SUMIF(AA131:AA140,"=1472224561",X131:X140),2)</f>
        <v>0</v>
      </c>
      <c r="AL142" s="2">
        <f>ROUND(SUMIF(AA131:AA140,"=1472224561",Y131:Y140),2)</f>
        <v>0</v>
      </c>
      <c r="AM142" s="2"/>
      <c r="AN142" s="2"/>
      <c r="AO142" s="2">
        <f t="shared" ref="AO142:BD142" si="129">ROUND(BX142,2)</f>
        <v>0</v>
      </c>
      <c r="AP142" s="2">
        <f t="shared" si="129"/>
        <v>0</v>
      </c>
      <c r="AQ142" s="2">
        <f t="shared" si="129"/>
        <v>0</v>
      </c>
      <c r="AR142" s="2">
        <f t="shared" si="129"/>
        <v>0</v>
      </c>
      <c r="AS142" s="2">
        <f t="shared" si="129"/>
        <v>0</v>
      </c>
      <c r="AT142" s="2">
        <f t="shared" si="129"/>
        <v>0</v>
      </c>
      <c r="AU142" s="2">
        <f t="shared" si="129"/>
        <v>0</v>
      </c>
      <c r="AV142" s="2">
        <f t="shared" si="129"/>
        <v>0</v>
      </c>
      <c r="AW142" s="2">
        <f t="shared" si="129"/>
        <v>0</v>
      </c>
      <c r="AX142" s="2">
        <f t="shared" si="129"/>
        <v>0</v>
      </c>
      <c r="AY142" s="2">
        <f t="shared" si="129"/>
        <v>0</v>
      </c>
      <c r="AZ142" s="2">
        <f t="shared" si="129"/>
        <v>0</v>
      </c>
      <c r="BA142" s="2">
        <f t="shared" si="129"/>
        <v>0</v>
      </c>
      <c r="BB142" s="2">
        <f t="shared" si="129"/>
        <v>0</v>
      </c>
      <c r="BC142" s="2">
        <f t="shared" si="129"/>
        <v>0</v>
      </c>
      <c r="BD142" s="2">
        <f t="shared" si="129"/>
        <v>0</v>
      </c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>
        <f>ROUND(SUMIF(AA131:AA140,"=1472224561",FQ131:FQ140),2)</f>
        <v>0</v>
      </c>
      <c r="BY142" s="2">
        <f>ROUND(SUMIF(AA131:AA140,"=1472224561",FR131:FR140),2)</f>
        <v>0</v>
      </c>
      <c r="BZ142" s="2">
        <f>ROUND(SUMIF(AA131:AA140,"=1472224561",GL131:GL140),2)</f>
        <v>0</v>
      </c>
      <c r="CA142" s="2">
        <f>ROUND(SUMIF(AA131:AA140,"=1472224561",GM131:GM140),2)</f>
        <v>0</v>
      </c>
      <c r="CB142" s="2">
        <f>ROUND(SUMIF(AA131:AA140,"=1472224561",GN131:GN140),2)</f>
        <v>0</v>
      </c>
      <c r="CC142" s="2">
        <f>ROUND(SUMIF(AA131:AA140,"=1472224561",GO131:GO140),2)</f>
        <v>0</v>
      </c>
      <c r="CD142" s="2">
        <f>ROUND(SUMIF(AA131:AA140,"=1472224561",GP131:GP140),2)</f>
        <v>0</v>
      </c>
      <c r="CE142" s="2">
        <f>AC142-BX142</f>
        <v>0</v>
      </c>
      <c r="CF142" s="2">
        <f>AC142-BY142</f>
        <v>0</v>
      </c>
      <c r="CG142" s="2">
        <f>BX142-BZ142</f>
        <v>0</v>
      </c>
      <c r="CH142" s="2">
        <f>AC142-BX142-BY142+BZ142</f>
        <v>0</v>
      </c>
      <c r="CI142" s="2">
        <f>BY142-BZ142</f>
        <v>0</v>
      </c>
      <c r="CJ142" s="2">
        <f>ROUND(SUMIF(AA131:AA140,"=1472224561",GX131:GX140),2)</f>
        <v>0</v>
      </c>
      <c r="CK142" s="2">
        <f>ROUND(SUMIF(AA131:AA140,"=1472224561",GY131:GY140),2)</f>
        <v>0</v>
      </c>
      <c r="CL142" s="2">
        <f>ROUND(SUMIF(AA131:AA140,"=1472224561",GZ131:GZ140),2)</f>
        <v>0</v>
      </c>
      <c r="CM142" s="2">
        <f>ROUND(SUMIF(AA131:AA140,"=1472224561",HD131:HD140),2)</f>
        <v>0</v>
      </c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  <c r="EN142" s="3"/>
      <c r="EO142" s="3"/>
      <c r="EP142" s="3"/>
      <c r="EQ142" s="3"/>
      <c r="ER142" s="3"/>
      <c r="ES142" s="3"/>
      <c r="ET142" s="3"/>
      <c r="EU142" s="3"/>
      <c r="EV142" s="3"/>
      <c r="EW142" s="3"/>
      <c r="EX142" s="3"/>
      <c r="EY142" s="3"/>
      <c r="EZ142" s="3"/>
      <c r="FA142" s="3"/>
      <c r="FB142" s="3"/>
      <c r="FC142" s="3"/>
      <c r="FD142" s="3"/>
      <c r="FE142" s="3"/>
      <c r="FF142" s="3"/>
      <c r="FG142" s="3"/>
      <c r="FH142" s="3"/>
      <c r="FI142" s="3"/>
      <c r="FJ142" s="3"/>
      <c r="FK142" s="3"/>
      <c r="FL142" s="3"/>
      <c r="FM142" s="3"/>
      <c r="FN142" s="3"/>
      <c r="FO142" s="3"/>
      <c r="FP142" s="3"/>
      <c r="FQ142" s="3"/>
      <c r="FR142" s="3"/>
      <c r="FS142" s="3"/>
      <c r="FT142" s="3"/>
      <c r="FU142" s="3"/>
      <c r="FV142" s="3"/>
      <c r="FW142" s="3"/>
      <c r="FX142" s="3"/>
      <c r="FY142" s="3"/>
      <c r="FZ142" s="3"/>
      <c r="GA142" s="3"/>
      <c r="GB142" s="3"/>
      <c r="GC142" s="3"/>
      <c r="GD142" s="3"/>
      <c r="GE142" s="3"/>
      <c r="GF142" s="3"/>
      <c r="GG142" s="3"/>
      <c r="GH142" s="3"/>
      <c r="GI142" s="3"/>
      <c r="GJ142" s="3"/>
      <c r="GK142" s="3"/>
      <c r="GL142" s="3"/>
      <c r="GM142" s="3"/>
      <c r="GN142" s="3"/>
      <c r="GO142" s="3"/>
      <c r="GP142" s="3"/>
      <c r="GQ142" s="3"/>
      <c r="GR142" s="3"/>
      <c r="GS142" s="3"/>
      <c r="GT142" s="3"/>
      <c r="GU142" s="3"/>
      <c r="GV142" s="3"/>
      <c r="GW142" s="3"/>
      <c r="GX142" s="3">
        <v>0</v>
      </c>
    </row>
    <row r="144" spans="1:245" x14ac:dyDescent="0.2">
      <c r="A144" s="4">
        <v>50</v>
      </c>
      <c r="B144" s="4">
        <v>0</v>
      </c>
      <c r="C144" s="4">
        <v>0</v>
      </c>
      <c r="D144" s="4">
        <v>1</v>
      </c>
      <c r="E144" s="4">
        <v>201</v>
      </c>
      <c r="F144" s="4">
        <f>ROUND(Source!O142,O144)</f>
        <v>0</v>
      </c>
      <c r="G144" s="4" t="s">
        <v>46</v>
      </c>
      <c r="H144" s="4" t="s">
        <v>47</v>
      </c>
      <c r="I144" s="4"/>
      <c r="J144" s="4"/>
      <c r="K144" s="4">
        <v>201</v>
      </c>
      <c r="L144" s="4">
        <v>1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0</v>
      </c>
      <c r="X144" s="4">
        <v>1</v>
      </c>
      <c r="Y144" s="4">
        <v>0</v>
      </c>
      <c r="Z144" s="4"/>
      <c r="AA144" s="4"/>
      <c r="AB144" s="4"/>
    </row>
    <row r="145" spans="1:28" x14ac:dyDescent="0.2">
      <c r="A145" s="4">
        <v>50</v>
      </c>
      <c r="B145" s="4">
        <v>0</v>
      </c>
      <c r="C145" s="4">
        <v>0</v>
      </c>
      <c r="D145" s="4">
        <v>1</v>
      </c>
      <c r="E145" s="4">
        <v>202</v>
      </c>
      <c r="F145" s="4">
        <f>ROUND(Source!P142,O145)</f>
        <v>0</v>
      </c>
      <c r="G145" s="4" t="s">
        <v>48</v>
      </c>
      <c r="H145" s="4" t="s">
        <v>49</v>
      </c>
      <c r="I145" s="4"/>
      <c r="J145" s="4"/>
      <c r="K145" s="4">
        <v>202</v>
      </c>
      <c r="L145" s="4">
        <v>2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8" x14ac:dyDescent="0.2">
      <c r="A146" s="4">
        <v>50</v>
      </c>
      <c r="B146" s="4">
        <v>0</v>
      </c>
      <c r="C146" s="4">
        <v>0</v>
      </c>
      <c r="D146" s="4">
        <v>1</v>
      </c>
      <c r="E146" s="4">
        <v>222</v>
      </c>
      <c r="F146" s="4">
        <f>ROUND(Source!AO142,O146)</f>
        <v>0</v>
      </c>
      <c r="G146" s="4" t="s">
        <v>50</v>
      </c>
      <c r="H146" s="4" t="s">
        <v>51</v>
      </c>
      <c r="I146" s="4"/>
      <c r="J146" s="4"/>
      <c r="K146" s="4">
        <v>222</v>
      </c>
      <c r="L146" s="4">
        <v>3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28" x14ac:dyDescent="0.2">
      <c r="A147" s="4">
        <v>50</v>
      </c>
      <c r="B147" s="4">
        <v>0</v>
      </c>
      <c r="C147" s="4">
        <v>0</v>
      </c>
      <c r="D147" s="4">
        <v>1</v>
      </c>
      <c r="E147" s="4">
        <v>225</v>
      </c>
      <c r="F147" s="4">
        <f>ROUND(Source!AV142,O147)</f>
        <v>0</v>
      </c>
      <c r="G147" s="4" t="s">
        <v>52</v>
      </c>
      <c r="H147" s="4" t="s">
        <v>53</v>
      </c>
      <c r="I147" s="4"/>
      <c r="J147" s="4"/>
      <c r="K147" s="4">
        <v>225</v>
      </c>
      <c r="L147" s="4">
        <v>4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0</v>
      </c>
      <c r="X147" s="4">
        <v>1</v>
      </c>
      <c r="Y147" s="4">
        <v>0</v>
      </c>
      <c r="Z147" s="4"/>
      <c r="AA147" s="4"/>
      <c r="AB147" s="4"/>
    </row>
    <row r="148" spans="1:28" x14ac:dyDescent="0.2">
      <c r="A148" s="4">
        <v>50</v>
      </c>
      <c r="B148" s="4">
        <v>0</v>
      </c>
      <c r="C148" s="4">
        <v>0</v>
      </c>
      <c r="D148" s="4">
        <v>1</v>
      </c>
      <c r="E148" s="4">
        <v>226</v>
      </c>
      <c r="F148" s="4">
        <f>ROUND(Source!AW142,O148)</f>
        <v>0</v>
      </c>
      <c r="G148" s="4" t="s">
        <v>54</v>
      </c>
      <c r="H148" s="4" t="s">
        <v>55</v>
      </c>
      <c r="I148" s="4"/>
      <c r="J148" s="4"/>
      <c r="K148" s="4">
        <v>226</v>
      </c>
      <c r="L148" s="4">
        <v>5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8" x14ac:dyDescent="0.2">
      <c r="A149" s="4">
        <v>50</v>
      </c>
      <c r="B149" s="4">
        <v>0</v>
      </c>
      <c r="C149" s="4">
        <v>0</v>
      </c>
      <c r="D149" s="4">
        <v>1</v>
      </c>
      <c r="E149" s="4">
        <v>227</v>
      </c>
      <c r="F149" s="4">
        <f>ROUND(Source!AX142,O149)</f>
        <v>0</v>
      </c>
      <c r="G149" s="4" t="s">
        <v>56</v>
      </c>
      <c r="H149" s="4" t="s">
        <v>57</v>
      </c>
      <c r="I149" s="4"/>
      <c r="J149" s="4"/>
      <c r="K149" s="4">
        <v>227</v>
      </c>
      <c r="L149" s="4">
        <v>6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0</v>
      </c>
      <c r="X149" s="4">
        <v>1</v>
      </c>
      <c r="Y149" s="4">
        <v>0</v>
      </c>
      <c r="Z149" s="4"/>
      <c r="AA149" s="4"/>
      <c r="AB149" s="4"/>
    </row>
    <row r="150" spans="1:28" x14ac:dyDescent="0.2">
      <c r="A150" s="4">
        <v>50</v>
      </c>
      <c r="B150" s="4">
        <v>0</v>
      </c>
      <c r="C150" s="4">
        <v>0</v>
      </c>
      <c r="D150" s="4">
        <v>1</v>
      </c>
      <c r="E150" s="4">
        <v>228</v>
      </c>
      <c r="F150" s="4">
        <f>ROUND(Source!AY142,O150)</f>
        <v>0</v>
      </c>
      <c r="G150" s="4" t="s">
        <v>58</v>
      </c>
      <c r="H150" s="4" t="s">
        <v>59</v>
      </c>
      <c r="I150" s="4"/>
      <c r="J150" s="4"/>
      <c r="K150" s="4">
        <v>228</v>
      </c>
      <c r="L150" s="4">
        <v>7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</v>
      </c>
      <c r="X150" s="4">
        <v>1</v>
      </c>
      <c r="Y150" s="4">
        <v>0</v>
      </c>
      <c r="Z150" s="4"/>
      <c r="AA150" s="4"/>
      <c r="AB150" s="4"/>
    </row>
    <row r="151" spans="1:28" x14ac:dyDescent="0.2">
      <c r="A151" s="4">
        <v>50</v>
      </c>
      <c r="B151" s="4">
        <v>0</v>
      </c>
      <c r="C151" s="4">
        <v>0</v>
      </c>
      <c r="D151" s="4">
        <v>1</v>
      </c>
      <c r="E151" s="4">
        <v>216</v>
      </c>
      <c r="F151" s="4">
        <f>ROUND(Source!AP142,O151)</f>
        <v>0</v>
      </c>
      <c r="G151" s="4" t="s">
        <v>60</v>
      </c>
      <c r="H151" s="4" t="s">
        <v>61</v>
      </c>
      <c r="I151" s="4"/>
      <c r="J151" s="4"/>
      <c r="K151" s="4">
        <v>216</v>
      </c>
      <c r="L151" s="4">
        <v>8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0</v>
      </c>
      <c r="X151" s="4">
        <v>1</v>
      </c>
      <c r="Y151" s="4">
        <v>0</v>
      </c>
      <c r="Z151" s="4"/>
      <c r="AA151" s="4"/>
      <c r="AB151" s="4"/>
    </row>
    <row r="152" spans="1:28" x14ac:dyDescent="0.2">
      <c r="A152" s="4">
        <v>50</v>
      </c>
      <c r="B152" s="4">
        <v>0</v>
      </c>
      <c r="C152" s="4">
        <v>0</v>
      </c>
      <c r="D152" s="4">
        <v>1</v>
      </c>
      <c r="E152" s="4">
        <v>223</v>
      </c>
      <c r="F152" s="4">
        <f>ROUND(Source!AQ142,O152)</f>
        <v>0</v>
      </c>
      <c r="G152" s="4" t="s">
        <v>62</v>
      </c>
      <c r="H152" s="4" t="s">
        <v>63</v>
      </c>
      <c r="I152" s="4"/>
      <c r="J152" s="4"/>
      <c r="K152" s="4">
        <v>223</v>
      </c>
      <c r="L152" s="4">
        <v>9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0</v>
      </c>
      <c r="X152" s="4">
        <v>1</v>
      </c>
      <c r="Y152" s="4">
        <v>0</v>
      </c>
      <c r="Z152" s="4"/>
      <c r="AA152" s="4"/>
      <c r="AB152" s="4"/>
    </row>
    <row r="153" spans="1:28" x14ac:dyDescent="0.2">
      <c r="A153" s="4">
        <v>50</v>
      </c>
      <c r="B153" s="4">
        <v>0</v>
      </c>
      <c r="C153" s="4">
        <v>0</v>
      </c>
      <c r="D153" s="4">
        <v>1</v>
      </c>
      <c r="E153" s="4">
        <v>229</v>
      </c>
      <c r="F153" s="4">
        <f>ROUND(Source!AZ142,O153)</f>
        <v>0</v>
      </c>
      <c r="G153" s="4" t="s">
        <v>64</v>
      </c>
      <c r="H153" s="4" t="s">
        <v>65</v>
      </c>
      <c r="I153" s="4"/>
      <c r="J153" s="4"/>
      <c r="K153" s="4">
        <v>229</v>
      </c>
      <c r="L153" s="4">
        <v>10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0</v>
      </c>
      <c r="X153" s="4">
        <v>1</v>
      </c>
      <c r="Y153" s="4">
        <v>0</v>
      </c>
      <c r="Z153" s="4"/>
      <c r="AA153" s="4"/>
      <c r="AB153" s="4"/>
    </row>
    <row r="154" spans="1:28" x14ac:dyDescent="0.2">
      <c r="A154" s="4">
        <v>50</v>
      </c>
      <c r="B154" s="4">
        <v>0</v>
      </c>
      <c r="C154" s="4">
        <v>0</v>
      </c>
      <c r="D154" s="4">
        <v>1</v>
      </c>
      <c r="E154" s="4">
        <v>203</v>
      </c>
      <c r="F154" s="4">
        <f>ROUND(Source!Q142,O154)</f>
        <v>0</v>
      </c>
      <c r="G154" s="4" t="s">
        <v>66</v>
      </c>
      <c r="H154" s="4" t="s">
        <v>67</v>
      </c>
      <c r="I154" s="4"/>
      <c r="J154" s="4"/>
      <c r="K154" s="4">
        <v>203</v>
      </c>
      <c r="L154" s="4">
        <v>11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0</v>
      </c>
      <c r="X154" s="4">
        <v>1</v>
      </c>
      <c r="Y154" s="4">
        <v>0</v>
      </c>
      <c r="Z154" s="4"/>
      <c r="AA154" s="4"/>
      <c r="AB154" s="4"/>
    </row>
    <row r="155" spans="1:28" x14ac:dyDescent="0.2">
      <c r="A155" s="4">
        <v>50</v>
      </c>
      <c r="B155" s="4">
        <v>0</v>
      </c>
      <c r="C155" s="4">
        <v>0</v>
      </c>
      <c r="D155" s="4">
        <v>1</v>
      </c>
      <c r="E155" s="4">
        <v>231</v>
      </c>
      <c r="F155" s="4">
        <f>ROUND(Source!BB142,O155)</f>
        <v>0</v>
      </c>
      <c r="G155" s="4" t="s">
        <v>68</v>
      </c>
      <c r="H155" s="4" t="s">
        <v>69</v>
      </c>
      <c r="I155" s="4"/>
      <c r="J155" s="4"/>
      <c r="K155" s="4">
        <v>231</v>
      </c>
      <c r="L155" s="4">
        <v>12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0</v>
      </c>
      <c r="X155" s="4">
        <v>1</v>
      </c>
      <c r="Y155" s="4">
        <v>0</v>
      </c>
      <c r="Z155" s="4"/>
      <c r="AA155" s="4"/>
      <c r="AB155" s="4"/>
    </row>
    <row r="156" spans="1:28" x14ac:dyDescent="0.2">
      <c r="A156" s="4">
        <v>50</v>
      </c>
      <c r="B156" s="4">
        <v>0</v>
      </c>
      <c r="C156" s="4">
        <v>0</v>
      </c>
      <c r="D156" s="4">
        <v>1</v>
      </c>
      <c r="E156" s="4">
        <v>204</v>
      </c>
      <c r="F156" s="4">
        <f>ROUND(Source!R142,O156)</f>
        <v>0</v>
      </c>
      <c r="G156" s="4" t="s">
        <v>70</v>
      </c>
      <c r="H156" s="4" t="s">
        <v>71</v>
      </c>
      <c r="I156" s="4"/>
      <c r="J156" s="4"/>
      <c r="K156" s="4">
        <v>204</v>
      </c>
      <c r="L156" s="4">
        <v>13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0</v>
      </c>
      <c r="X156" s="4">
        <v>1</v>
      </c>
      <c r="Y156" s="4">
        <v>0</v>
      </c>
      <c r="Z156" s="4"/>
      <c r="AA156" s="4"/>
      <c r="AB156" s="4"/>
    </row>
    <row r="157" spans="1:28" x14ac:dyDescent="0.2">
      <c r="A157" s="4">
        <v>50</v>
      </c>
      <c r="B157" s="4">
        <v>0</v>
      </c>
      <c r="C157" s="4">
        <v>0</v>
      </c>
      <c r="D157" s="4">
        <v>1</v>
      </c>
      <c r="E157" s="4">
        <v>205</v>
      </c>
      <c r="F157" s="4">
        <f>ROUND(Source!S142,O157)</f>
        <v>0</v>
      </c>
      <c r="G157" s="4" t="s">
        <v>72</v>
      </c>
      <c r="H157" s="4" t="s">
        <v>73</v>
      </c>
      <c r="I157" s="4"/>
      <c r="J157" s="4"/>
      <c r="K157" s="4">
        <v>205</v>
      </c>
      <c r="L157" s="4">
        <v>14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8" x14ac:dyDescent="0.2">
      <c r="A158" s="4">
        <v>50</v>
      </c>
      <c r="B158" s="4">
        <v>0</v>
      </c>
      <c r="C158" s="4">
        <v>0</v>
      </c>
      <c r="D158" s="4">
        <v>1</v>
      </c>
      <c r="E158" s="4">
        <v>232</v>
      </c>
      <c r="F158" s="4">
        <f>ROUND(Source!BC142,O158)</f>
        <v>0</v>
      </c>
      <c r="G158" s="4" t="s">
        <v>74</v>
      </c>
      <c r="H158" s="4" t="s">
        <v>75</v>
      </c>
      <c r="I158" s="4"/>
      <c r="J158" s="4"/>
      <c r="K158" s="4">
        <v>232</v>
      </c>
      <c r="L158" s="4">
        <v>15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0</v>
      </c>
      <c r="X158" s="4">
        <v>1</v>
      </c>
      <c r="Y158" s="4">
        <v>0</v>
      </c>
      <c r="Z158" s="4"/>
      <c r="AA158" s="4"/>
      <c r="AB158" s="4"/>
    </row>
    <row r="159" spans="1:28" x14ac:dyDescent="0.2">
      <c r="A159" s="4">
        <v>50</v>
      </c>
      <c r="B159" s="4">
        <v>0</v>
      </c>
      <c r="C159" s="4">
        <v>0</v>
      </c>
      <c r="D159" s="4">
        <v>1</v>
      </c>
      <c r="E159" s="4">
        <v>214</v>
      </c>
      <c r="F159" s="4">
        <f>ROUND(Source!AS142,O159)</f>
        <v>0</v>
      </c>
      <c r="G159" s="4" t="s">
        <v>76</v>
      </c>
      <c r="H159" s="4" t="s">
        <v>77</v>
      </c>
      <c r="I159" s="4"/>
      <c r="J159" s="4"/>
      <c r="K159" s="4">
        <v>214</v>
      </c>
      <c r="L159" s="4">
        <v>16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8" x14ac:dyDescent="0.2">
      <c r="A160" s="4">
        <v>50</v>
      </c>
      <c r="B160" s="4">
        <v>0</v>
      </c>
      <c r="C160" s="4">
        <v>0</v>
      </c>
      <c r="D160" s="4">
        <v>1</v>
      </c>
      <c r="E160" s="4">
        <v>215</v>
      </c>
      <c r="F160" s="4">
        <f>ROUND(Source!AT142,O160)</f>
        <v>0</v>
      </c>
      <c r="G160" s="4" t="s">
        <v>78</v>
      </c>
      <c r="H160" s="4" t="s">
        <v>79</v>
      </c>
      <c r="I160" s="4"/>
      <c r="J160" s="4"/>
      <c r="K160" s="4">
        <v>215</v>
      </c>
      <c r="L160" s="4">
        <v>17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06" x14ac:dyDescent="0.2">
      <c r="A161" s="4">
        <v>50</v>
      </c>
      <c r="B161" s="4">
        <v>0</v>
      </c>
      <c r="C161" s="4">
        <v>0</v>
      </c>
      <c r="D161" s="4">
        <v>1</v>
      </c>
      <c r="E161" s="4">
        <v>217</v>
      </c>
      <c r="F161" s="4">
        <f>ROUND(Source!AU142,O161)</f>
        <v>0</v>
      </c>
      <c r="G161" s="4" t="s">
        <v>80</v>
      </c>
      <c r="H161" s="4" t="s">
        <v>81</v>
      </c>
      <c r="I161" s="4"/>
      <c r="J161" s="4"/>
      <c r="K161" s="4">
        <v>217</v>
      </c>
      <c r="L161" s="4">
        <v>18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06" x14ac:dyDescent="0.2">
      <c r="A162" s="4">
        <v>50</v>
      </c>
      <c r="B162" s="4">
        <v>0</v>
      </c>
      <c r="C162" s="4">
        <v>0</v>
      </c>
      <c r="D162" s="4">
        <v>1</v>
      </c>
      <c r="E162" s="4">
        <v>230</v>
      </c>
      <c r="F162" s="4">
        <f>ROUND(Source!BA142,O162)</f>
        <v>0</v>
      </c>
      <c r="G162" s="4" t="s">
        <v>82</v>
      </c>
      <c r="H162" s="4" t="s">
        <v>83</v>
      </c>
      <c r="I162" s="4"/>
      <c r="J162" s="4"/>
      <c r="K162" s="4">
        <v>230</v>
      </c>
      <c r="L162" s="4">
        <v>19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06" x14ac:dyDescent="0.2">
      <c r="A163" s="4">
        <v>50</v>
      </c>
      <c r="B163" s="4">
        <v>0</v>
      </c>
      <c r="C163" s="4">
        <v>0</v>
      </c>
      <c r="D163" s="4">
        <v>1</v>
      </c>
      <c r="E163" s="4">
        <v>206</v>
      </c>
      <c r="F163" s="4">
        <f>ROUND(Source!T142,O163)</f>
        <v>0</v>
      </c>
      <c r="G163" s="4" t="s">
        <v>84</v>
      </c>
      <c r="H163" s="4" t="s">
        <v>85</v>
      </c>
      <c r="I163" s="4"/>
      <c r="J163" s="4"/>
      <c r="K163" s="4">
        <v>206</v>
      </c>
      <c r="L163" s="4">
        <v>20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06" x14ac:dyDescent="0.2">
      <c r="A164" s="4">
        <v>50</v>
      </c>
      <c r="B164" s="4">
        <v>0</v>
      </c>
      <c r="C164" s="4">
        <v>0</v>
      </c>
      <c r="D164" s="4">
        <v>1</v>
      </c>
      <c r="E164" s="4">
        <v>207</v>
      </c>
      <c r="F164" s="4">
        <f>Source!U142</f>
        <v>0</v>
      </c>
      <c r="G164" s="4" t="s">
        <v>86</v>
      </c>
      <c r="H164" s="4" t="s">
        <v>87</v>
      </c>
      <c r="I164" s="4"/>
      <c r="J164" s="4"/>
      <c r="K164" s="4">
        <v>207</v>
      </c>
      <c r="L164" s="4">
        <v>21</v>
      </c>
      <c r="M164" s="4">
        <v>3</v>
      </c>
      <c r="N164" s="4" t="s">
        <v>3</v>
      </c>
      <c r="O164" s="4">
        <v>-1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06" x14ac:dyDescent="0.2">
      <c r="A165" s="4">
        <v>50</v>
      </c>
      <c r="B165" s="4">
        <v>0</v>
      </c>
      <c r="C165" s="4">
        <v>0</v>
      </c>
      <c r="D165" s="4">
        <v>1</v>
      </c>
      <c r="E165" s="4">
        <v>208</v>
      </c>
      <c r="F165" s="4">
        <f>Source!V142</f>
        <v>0</v>
      </c>
      <c r="G165" s="4" t="s">
        <v>88</v>
      </c>
      <c r="H165" s="4" t="s">
        <v>89</v>
      </c>
      <c r="I165" s="4"/>
      <c r="J165" s="4"/>
      <c r="K165" s="4">
        <v>208</v>
      </c>
      <c r="L165" s="4">
        <v>22</v>
      </c>
      <c r="M165" s="4">
        <v>3</v>
      </c>
      <c r="N165" s="4" t="s">
        <v>3</v>
      </c>
      <c r="O165" s="4">
        <v>-1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06" x14ac:dyDescent="0.2">
      <c r="A166" s="4">
        <v>50</v>
      </c>
      <c r="B166" s="4">
        <v>0</v>
      </c>
      <c r="C166" s="4">
        <v>0</v>
      </c>
      <c r="D166" s="4">
        <v>1</v>
      </c>
      <c r="E166" s="4">
        <v>209</v>
      </c>
      <c r="F166" s="4">
        <f>ROUND(Source!W142,O166)</f>
        <v>0</v>
      </c>
      <c r="G166" s="4" t="s">
        <v>90</v>
      </c>
      <c r="H166" s="4" t="s">
        <v>91</v>
      </c>
      <c r="I166" s="4"/>
      <c r="J166" s="4"/>
      <c r="K166" s="4">
        <v>209</v>
      </c>
      <c r="L166" s="4">
        <v>23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06" x14ac:dyDescent="0.2">
      <c r="A167" s="4">
        <v>50</v>
      </c>
      <c r="B167" s="4">
        <v>0</v>
      </c>
      <c r="C167" s="4">
        <v>0</v>
      </c>
      <c r="D167" s="4">
        <v>1</v>
      </c>
      <c r="E167" s="4">
        <v>233</v>
      </c>
      <c r="F167" s="4">
        <f>ROUND(Source!BD142,O167)</f>
        <v>0</v>
      </c>
      <c r="G167" s="4" t="s">
        <v>92</v>
      </c>
      <c r="H167" s="4" t="s">
        <v>93</v>
      </c>
      <c r="I167" s="4"/>
      <c r="J167" s="4"/>
      <c r="K167" s="4">
        <v>233</v>
      </c>
      <c r="L167" s="4">
        <v>24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0</v>
      </c>
      <c r="X167" s="4">
        <v>1</v>
      </c>
      <c r="Y167" s="4">
        <v>0</v>
      </c>
      <c r="Z167" s="4"/>
      <c r="AA167" s="4"/>
      <c r="AB167" s="4"/>
    </row>
    <row r="168" spans="1:206" x14ac:dyDescent="0.2">
      <c r="A168" s="4">
        <v>50</v>
      </c>
      <c r="B168" s="4">
        <v>0</v>
      </c>
      <c r="C168" s="4">
        <v>0</v>
      </c>
      <c r="D168" s="4">
        <v>1</v>
      </c>
      <c r="E168" s="4">
        <v>210</v>
      </c>
      <c r="F168" s="4">
        <f>ROUND(Source!X142,O168)</f>
        <v>0</v>
      </c>
      <c r="G168" s="4" t="s">
        <v>94</v>
      </c>
      <c r="H168" s="4" t="s">
        <v>95</v>
      </c>
      <c r="I168" s="4"/>
      <c r="J168" s="4"/>
      <c r="K168" s="4">
        <v>210</v>
      </c>
      <c r="L168" s="4">
        <v>25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06" x14ac:dyDescent="0.2">
      <c r="A169" s="4">
        <v>50</v>
      </c>
      <c r="B169" s="4">
        <v>0</v>
      </c>
      <c r="C169" s="4">
        <v>0</v>
      </c>
      <c r="D169" s="4">
        <v>1</v>
      </c>
      <c r="E169" s="4">
        <v>211</v>
      </c>
      <c r="F169" s="4">
        <f>ROUND(Source!Y142,O169)</f>
        <v>0</v>
      </c>
      <c r="G169" s="4" t="s">
        <v>96</v>
      </c>
      <c r="H169" s="4" t="s">
        <v>97</v>
      </c>
      <c r="I169" s="4"/>
      <c r="J169" s="4"/>
      <c r="K169" s="4">
        <v>211</v>
      </c>
      <c r="L169" s="4">
        <v>26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06" x14ac:dyDescent="0.2">
      <c r="A170" s="4">
        <v>50</v>
      </c>
      <c r="B170" s="4">
        <v>0</v>
      </c>
      <c r="C170" s="4">
        <v>0</v>
      </c>
      <c r="D170" s="4">
        <v>1</v>
      </c>
      <c r="E170" s="4">
        <v>224</v>
      </c>
      <c r="F170" s="4">
        <f>ROUND(Source!AR142,O170)</f>
        <v>0</v>
      </c>
      <c r="G170" s="4" t="s">
        <v>98</v>
      </c>
      <c r="H170" s="4" t="s">
        <v>99</v>
      </c>
      <c r="I170" s="4"/>
      <c r="J170" s="4"/>
      <c r="K170" s="4">
        <v>224</v>
      </c>
      <c r="L170" s="4">
        <v>27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0</v>
      </c>
      <c r="X170" s="4">
        <v>1</v>
      </c>
      <c r="Y170" s="4">
        <v>0</v>
      </c>
      <c r="Z170" s="4"/>
      <c r="AA170" s="4"/>
      <c r="AB170" s="4"/>
    </row>
    <row r="172" spans="1:206" x14ac:dyDescent="0.2">
      <c r="A172" s="2">
        <v>51</v>
      </c>
      <c r="B172" s="2">
        <f>B24</f>
        <v>1</v>
      </c>
      <c r="C172" s="2">
        <f>A24</f>
        <v>4</v>
      </c>
      <c r="D172" s="2">
        <f>ROW(A24)</f>
        <v>24</v>
      </c>
      <c r="E172" s="2"/>
      <c r="F172" s="2" t="str">
        <f>IF(F24&lt;&gt;"",F24,"")</f>
        <v>Новый раздел</v>
      </c>
      <c r="G172" s="2" t="str">
        <f>IF(G24&lt;&gt;"",G24,"")</f>
        <v>1.Водоснабжение и водоотведение</v>
      </c>
      <c r="H172" s="2">
        <v>0</v>
      </c>
      <c r="I172" s="2"/>
      <c r="J172" s="2"/>
      <c r="K172" s="2"/>
      <c r="L172" s="2"/>
      <c r="M172" s="2"/>
      <c r="N172" s="2"/>
      <c r="O172" s="2">
        <f t="shared" ref="O172:T172" si="130">ROUND(O44+O97+O142+AB172,2)</f>
        <v>342932.85</v>
      </c>
      <c r="P172" s="2">
        <f t="shared" si="130"/>
        <v>2232.92</v>
      </c>
      <c r="Q172" s="2">
        <f t="shared" si="130"/>
        <v>22625.9</v>
      </c>
      <c r="R172" s="2">
        <f t="shared" si="130"/>
        <v>14277.4</v>
      </c>
      <c r="S172" s="2">
        <f t="shared" si="130"/>
        <v>318074.03000000003</v>
      </c>
      <c r="T172" s="2">
        <f t="shared" si="130"/>
        <v>0</v>
      </c>
      <c r="U172" s="2">
        <f>U44+U97+U142+AH172</f>
        <v>592.88079999999991</v>
      </c>
      <c r="V172" s="2">
        <f>V44+V97+V142+AI172</f>
        <v>0</v>
      </c>
      <c r="W172" s="2">
        <f>ROUND(W44+W97+W142+AJ172,2)</f>
        <v>0</v>
      </c>
      <c r="X172" s="2">
        <f>ROUND(X44+X97+X142+AK172,2)</f>
        <v>222651.82</v>
      </c>
      <c r="Y172" s="2">
        <f>ROUND(Y44+Y97+Y142+AL172,2)</f>
        <v>31807.41</v>
      </c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>
        <f t="shared" ref="AO172:BD172" si="131">ROUND(AO44+AO97+AO142+BX172,2)</f>
        <v>0</v>
      </c>
      <c r="AP172" s="2">
        <f t="shared" si="131"/>
        <v>0</v>
      </c>
      <c r="AQ172" s="2">
        <f t="shared" si="131"/>
        <v>0</v>
      </c>
      <c r="AR172" s="2">
        <f t="shared" si="131"/>
        <v>612811.67000000004</v>
      </c>
      <c r="AS172" s="2">
        <f t="shared" si="131"/>
        <v>0</v>
      </c>
      <c r="AT172" s="2">
        <f t="shared" si="131"/>
        <v>0</v>
      </c>
      <c r="AU172" s="2">
        <f t="shared" si="131"/>
        <v>612811.67000000004</v>
      </c>
      <c r="AV172" s="2">
        <f t="shared" si="131"/>
        <v>2232.92</v>
      </c>
      <c r="AW172" s="2">
        <f t="shared" si="131"/>
        <v>2232.92</v>
      </c>
      <c r="AX172" s="2">
        <f t="shared" si="131"/>
        <v>0</v>
      </c>
      <c r="AY172" s="2">
        <f t="shared" si="131"/>
        <v>2232.92</v>
      </c>
      <c r="AZ172" s="2">
        <f t="shared" si="131"/>
        <v>0</v>
      </c>
      <c r="BA172" s="2">
        <f t="shared" si="131"/>
        <v>0</v>
      </c>
      <c r="BB172" s="2">
        <f t="shared" si="131"/>
        <v>0</v>
      </c>
      <c r="BC172" s="2">
        <f t="shared" si="131"/>
        <v>0</v>
      </c>
      <c r="BD172" s="2">
        <f t="shared" si="131"/>
        <v>0</v>
      </c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3"/>
      <c r="DH172" s="3"/>
      <c r="DI172" s="3"/>
      <c r="DJ172" s="3"/>
      <c r="DK172" s="3"/>
      <c r="DL172" s="3"/>
      <c r="DM172" s="3"/>
      <c r="DN172" s="3"/>
      <c r="DO172" s="3"/>
      <c r="DP172" s="3"/>
      <c r="DQ172" s="3"/>
      <c r="DR172" s="3"/>
      <c r="DS172" s="3"/>
      <c r="DT172" s="3"/>
      <c r="DU172" s="3"/>
      <c r="DV172" s="3"/>
      <c r="DW172" s="3"/>
      <c r="DX172" s="3"/>
      <c r="DY172" s="3"/>
      <c r="DZ172" s="3"/>
      <c r="EA172" s="3"/>
      <c r="EB172" s="3"/>
      <c r="EC172" s="3"/>
      <c r="ED172" s="3"/>
      <c r="EE172" s="3"/>
      <c r="EF172" s="3"/>
      <c r="EG172" s="3"/>
      <c r="EH172" s="3"/>
      <c r="EI172" s="3"/>
      <c r="EJ172" s="3"/>
      <c r="EK172" s="3"/>
      <c r="EL172" s="3"/>
      <c r="EM172" s="3"/>
      <c r="EN172" s="3"/>
      <c r="EO172" s="3"/>
      <c r="EP172" s="3"/>
      <c r="EQ172" s="3"/>
      <c r="ER172" s="3"/>
      <c r="ES172" s="3"/>
      <c r="ET172" s="3"/>
      <c r="EU172" s="3"/>
      <c r="EV172" s="3"/>
      <c r="EW172" s="3"/>
      <c r="EX172" s="3"/>
      <c r="EY172" s="3"/>
      <c r="EZ172" s="3"/>
      <c r="FA172" s="3"/>
      <c r="FB172" s="3"/>
      <c r="FC172" s="3"/>
      <c r="FD172" s="3"/>
      <c r="FE172" s="3"/>
      <c r="FF172" s="3"/>
      <c r="FG172" s="3"/>
      <c r="FH172" s="3"/>
      <c r="FI172" s="3"/>
      <c r="FJ172" s="3"/>
      <c r="FK172" s="3"/>
      <c r="FL172" s="3"/>
      <c r="FM172" s="3"/>
      <c r="FN172" s="3"/>
      <c r="FO172" s="3"/>
      <c r="FP172" s="3"/>
      <c r="FQ172" s="3"/>
      <c r="FR172" s="3"/>
      <c r="FS172" s="3"/>
      <c r="FT172" s="3"/>
      <c r="FU172" s="3"/>
      <c r="FV172" s="3"/>
      <c r="FW172" s="3"/>
      <c r="FX172" s="3"/>
      <c r="FY172" s="3"/>
      <c r="FZ172" s="3"/>
      <c r="GA172" s="3"/>
      <c r="GB172" s="3"/>
      <c r="GC172" s="3"/>
      <c r="GD172" s="3"/>
      <c r="GE172" s="3"/>
      <c r="GF172" s="3"/>
      <c r="GG172" s="3"/>
      <c r="GH172" s="3"/>
      <c r="GI172" s="3"/>
      <c r="GJ172" s="3"/>
      <c r="GK172" s="3"/>
      <c r="GL172" s="3"/>
      <c r="GM172" s="3"/>
      <c r="GN172" s="3"/>
      <c r="GO172" s="3"/>
      <c r="GP172" s="3"/>
      <c r="GQ172" s="3"/>
      <c r="GR172" s="3"/>
      <c r="GS172" s="3"/>
      <c r="GT172" s="3"/>
      <c r="GU172" s="3"/>
      <c r="GV172" s="3"/>
      <c r="GW172" s="3"/>
      <c r="GX172" s="3">
        <v>0</v>
      </c>
    </row>
    <row r="174" spans="1:206" x14ac:dyDescent="0.2">
      <c r="A174" s="4">
        <v>50</v>
      </c>
      <c r="B174" s="4">
        <v>0</v>
      </c>
      <c r="C174" s="4">
        <v>0</v>
      </c>
      <c r="D174" s="4">
        <v>1</v>
      </c>
      <c r="E174" s="4">
        <v>201</v>
      </c>
      <c r="F174" s="4">
        <f>ROUND(Source!O172,O174)</f>
        <v>342932.85</v>
      </c>
      <c r="G174" s="4" t="s">
        <v>46</v>
      </c>
      <c r="H174" s="4" t="s">
        <v>47</v>
      </c>
      <c r="I174" s="4"/>
      <c r="J174" s="4"/>
      <c r="K174" s="4">
        <v>201</v>
      </c>
      <c r="L174" s="4">
        <v>1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219579.95</v>
      </c>
      <c r="X174" s="4">
        <v>1</v>
      </c>
      <c r="Y174" s="4">
        <v>219579.95</v>
      </c>
      <c r="Z174" s="4"/>
      <c r="AA174" s="4"/>
      <c r="AB174" s="4"/>
    </row>
    <row r="175" spans="1:206" x14ac:dyDescent="0.2">
      <c r="A175" s="4">
        <v>50</v>
      </c>
      <c r="B175" s="4">
        <v>0</v>
      </c>
      <c r="C175" s="4">
        <v>0</v>
      </c>
      <c r="D175" s="4">
        <v>1</v>
      </c>
      <c r="E175" s="4">
        <v>202</v>
      </c>
      <c r="F175" s="4">
        <f>ROUND(Source!P172,O175)</f>
        <v>2232.92</v>
      </c>
      <c r="G175" s="4" t="s">
        <v>48</v>
      </c>
      <c r="H175" s="4" t="s">
        <v>49</v>
      </c>
      <c r="I175" s="4"/>
      <c r="J175" s="4"/>
      <c r="K175" s="4">
        <v>202</v>
      </c>
      <c r="L175" s="4">
        <v>2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2190.92</v>
      </c>
      <c r="X175" s="4">
        <v>1</v>
      </c>
      <c r="Y175" s="4">
        <v>2190.92</v>
      </c>
      <c r="Z175" s="4"/>
      <c r="AA175" s="4"/>
      <c r="AB175" s="4"/>
    </row>
    <row r="176" spans="1:206" x14ac:dyDescent="0.2">
      <c r="A176" s="4">
        <v>50</v>
      </c>
      <c r="B176" s="4">
        <v>0</v>
      </c>
      <c r="C176" s="4">
        <v>0</v>
      </c>
      <c r="D176" s="4">
        <v>1</v>
      </c>
      <c r="E176" s="4">
        <v>222</v>
      </c>
      <c r="F176" s="4">
        <f>ROUND(Source!AO172,O176)</f>
        <v>0</v>
      </c>
      <c r="G176" s="4" t="s">
        <v>50</v>
      </c>
      <c r="H176" s="4" t="s">
        <v>51</v>
      </c>
      <c r="I176" s="4"/>
      <c r="J176" s="4"/>
      <c r="K176" s="4">
        <v>222</v>
      </c>
      <c r="L176" s="4">
        <v>3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28" x14ac:dyDescent="0.2">
      <c r="A177" s="4">
        <v>50</v>
      </c>
      <c r="B177" s="4">
        <v>0</v>
      </c>
      <c r="C177" s="4">
        <v>0</v>
      </c>
      <c r="D177" s="4">
        <v>1</v>
      </c>
      <c r="E177" s="4">
        <v>225</v>
      </c>
      <c r="F177" s="4">
        <f>ROUND(Source!AV172,O177)</f>
        <v>2232.92</v>
      </c>
      <c r="G177" s="4" t="s">
        <v>52</v>
      </c>
      <c r="H177" s="4" t="s">
        <v>53</v>
      </c>
      <c r="I177" s="4"/>
      <c r="J177" s="4"/>
      <c r="K177" s="4">
        <v>225</v>
      </c>
      <c r="L177" s="4">
        <v>4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2190.92</v>
      </c>
      <c r="X177" s="4">
        <v>1</v>
      </c>
      <c r="Y177" s="4">
        <v>2190.92</v>
      </c>
      <c r="Z177" s="4"/>
      <c r="AA177" s="4"/>
      <c r="AB177" s="4"/>
    </row>
    <row r="178" spans="1:28" x14ac:dyDescent="0.2">
      <c r="A178" s="4">
        <v>50</v>
      </c>
      <c r="B178" s="4">
        <v>0</v>
      </c>
      <c r="C178" s="4">
        <v>0</v>
      </c>
      <c r="D178" s="4">
        <v>1</v>
      </c>
      <c r="E178" s="4">
        <v>226</v>
      </c>
      <c r="F178" s="4">
        <f>ROUND(Source!AW172,O178)</f>
        <v>2232.92</v>
      </c>
      <c r="G178" s="4" t="s">
        <v>54</v>
      </c>
      <c r="H178" s="4" t="s">
        <v>55</v>
      </c>
      <c r="I178" s="4"/>
      <c r="J178" s="4"/>
      <c r="K178" s="4">
        <v>226</v>
      </c>
      <c r="L178" s="4">
        <v>5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2190.92</v>
      </c>
      <c r="X178" s="4">
        <v>1</v>
      </c>
      <c r="Y178" s="4">
        <v>2190.92</v>
      </c>
      <c r="Z178" s="4"/>
      <c r="AA178" s="4"/>
      <c r="AB178" s="4"/>
    </row>
    <row r="179" spans="1:28" x14ac:dyDescent="0.2">
      <c r="A179" s="4">
        <v>50</v>
      </c>
      <c r="B179" s="4">
        <v>0</v>
      </c>
      <c r="C179" s="4">
        <v>0</v>
      </c>
      <c r="D179" s="4">
        <v>1</v>
      </c>
      <c r="E179" s="4">
        <v>227</v>
      </c>
      <c r="F179" s="4">
        <f>ROUND(Source!AX172,O179)</f>
        <v>0</v>
      </c>
      <c r="G179" s="4" t="s">
        <v>56</v>
      </c>
      <c r="H179" s="4" t="s">
        <v>57</v>
      </c>
      <c r="I179" s="4"/>
      <c r="J179" s="4"/>
      <c r="K179" s="4">
        <v>227</v>
      </c>
      <c r="L179" s="4">
        <v>6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28" x14ac:dyDescent="0.2">
      <c r="A180" s="4">
        <v>50</v>
      </c>
      <c r="B180" s="4">
        <v>0</v>
      </c>
      <c r="C180" s="4">
        <v>0</v>
      </c>
      <c r="D180" s="4">
        <v>1</v>
      </c>
      <c r="E180" s="4">
        <v>228</v>
      </c>
      <c r="F180" s="4">
        <f>ROUND(Source!AY172,O180)</f>
        <v>2232.92</v>
      </c>
      <c r="G180" s="4" t="s">
        <v>58</v>
      </c>
      <c r="H180" s="4" t="s">
        <v>59</v>
      </c>
      <c r="I180" s="4"/>
      <c r="J180" s="4"/>
      <c r="K180" s="4">
        <v>228</v>
      </c>
      <c r="L180" s="4">
        <v>7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2190.92</v>
      </c>
      <c r="X180" s="4">
        <v>1</v>
      </c>
      <c r="Y180" s="4">
        <v>2190.92</v>
      </c>
      <c r="Z180" s="4"/>
      <c r="AA180" s="4"/>
      <c r="AB180" s="4"/>
    </row>
    <row r="181" spans="1:28" x14ac:dyDescent="0.2">
      <c r="A181" s="4">
        <v>50</v>
      </c>
      <c r="B181" s="4">
        <v>0</v>
      </c>
      <c r="C181" s="4">
        <v>0</v>
      </c>
      <c r="D181" s="4">
        <v>1</v>
      </c>
      <c r="E181" s="4">
        <v>216</v>
      </c>
      <c r="F181" s="4">
        <f>ROUND(Source!AP172,O181)</f>
        <v>0</v>
      </c>
      <c r="G181" s="4" t="s">
        <v>60</v>
      </c>
      <c r="H181" s="4" t="s">
        <v>61</v>
      </c>
      <c r="I181" s="4"/>
      <c r="J181" s="4"/>
      <c r="K181" s="4">
        <v>216</v>
      </c>
      <c r="L181" s="4">
        <v>8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8" x14ac:dyDescent="0.2">
      <c r="A182" s="4">
        <v>50</v>
      </c>
      <c r="B182" s="4">
        <v>0</v>
      </c>
      <c r="C182" s="4">
        <v>0</v>
      </c>
      <c r="D182" s="4">
        <v>1</v>
      </c>
      <c r="E182" s="4">
        <v>223</v>
      </c>
      <c r="F182" s="4">
        <f>ROUND(Source!AQ172,O182)</f>
        <v>0</v>
      </c>
      <c r="G182" s="4" t="s">
        <v>62</v>
      </c>
      <c r="H182" s="4" t="s">
        <v>63</v>
      </c>
      <c r="I182" s="4"/>
      <c r="J182" s="4"/>
      <c r="K182" s="4">
        <v>223</v>
      </c>
      <c r="L182" s="4">
        <v>9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8" x14ac:dyDescent="0.2">
      <c r="A183" s="4">
        <v>50</v>
      </c>
      <c r="B183" s="4">
        <v>0</v>
      </c>
      <c r="C183" s="4">
        <v>0</v>
      </c>
      <c r="D183" s="4">
        <v>1</v>
      </c>
      <c r="E183" s="4">
        <v>229</v>
      </c>
      <c r="F183" s="4">
        <f>ROUND(Source!AZ172,O183)</f>
        <v>0</v>
      </c>
      <c r="G183" s="4" t="s">
        <v>64</v>
      </c>
      <c r="H183" s="4" t="s">
        <v>65</v>
      </c>
      <c r="I183" s="4"/>
      <c r="J183" s="4"/>
      <c r="K183" s="4">
        <v>229</v>
      </c>
      <c r="L183" s="4">
        <v>10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0</v>
      </c>
      <c r="X183" s="4">
        <v>1</v>
      </c>
      <c r="Y183" s="4">
        <v>0</v>
      </c>
      <c r="Z183" s="4"/>
      <c r="AA183" s="4"/>
      <c r="AB183" s="4"/>
    </row>
    <row r="184" spans="1:28" x14ac:dyDescent="0.2">
      <c r="A184" s="4">
        <v>50</v>
      </c>
      <c r="B184" s="4">
        <v>0</v>
      </c>
      <c r="C184" s="4">
        <v>0</v>
      </c>
      <c r="D184" s="4">
        <v>1</v>
      </c>
      <c r="E184" s="4">
        <v>203</v>
      </c>
      <c r="F184" s="4">
        <f>ROUND(Source!Q172,O184)</f>
        <v>22625.9</v>
      </c>
      <c r="G184" s="4" t="s">
        <v>66</v>
      </c>
      <c r="H184" s="4" t="s">
        <v>67</v>
      </c>
      <c r="I184" s="4"/>
      <c r="J184" s="4"/>
      <c r="K184" s="4">
        <v>203</v>
      </c>
      <c r="L184" s="4">
        <v>11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11367.98</v>
      </c>
      <c r="X184" s="4">
        <v>1</v>
      </c>
      <c r="Y184" s="4">
        <v>11367.98</v>
      </c>
      <c r="Z184" s="4"/>
      <c r="AA184" s="4"/>
      <c r="AB184" s="4"/>
    </row>
    <row r="185" spans="1:28" x14ac:dyDescent="0.2">
      <c r="A185" s="4">
        <v>50</v>
      </c>
      <c r="B185" s="4">
        <v>0</v>
      </c>
      <c r="C185" s="4">
        <v>0</v>
      </c>
      <c r="D185" s="4">
        <v>1</v>
      </c>
      <c r="E185" s="4">
        <v>231</v>
      </c>
      <c r="F185" s="4">
        <f>ROUND(Source!BB172,O185)</f>
        <v>0</v>
      </c>
      <c r="G185" s="4" t="s">
        <v>68</v>
      </c>
      <c r="H185" s="4" t="s">
        <v>69</v>
      </c>
      <c r="I185" s="4"/>
      <c r="J185" s="4"/>
      <c r="K185" s="4">
        <v>231</v>
      </c>
      <c r="L185" s="4">
        <v>12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6" spans="1:28" x14ac:dyDescent="0.2">
      <c r="A186" s="4">
        <v>50</v>
      </c>
      <c r="B186" s="4">
        <v>0</v>
      </c>
      <c r="C186" s="4">
        <v>0</v>
      </c>
      <c r="D186" s="4">
        <v>1</v>
      </c>
      <c r="E186" s="4">
        <v>204</v>
      </c>
      <c r="F186" s="4">
        <f>ROUND(Source!R172,O186)</f>
        <v>14277.4</v>
      </c>
      <c r="G186" s="4" t="s">
        <v>70</v>
      </c>
      <c r="H186" s="4" t="s">
        <v>71</v>
      </c>
      <c r="I186" s="4"/>
      <c r="J186" s="4"/>
      <c r="K186" s="4">
        <v>204</v>
      </c>
      <c r="L186" s="4">
        <v>13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7139.32</v>
      </c>
      <c r="X186" s="4">
        <v>1</v>
      </c>
      <c r="Y186" s="4">
        <v>7139.32</v>
      </c>
      <c r="Z186" s="4"/>
      <c r="AA186" s="4"/>
      <c r="AB186" s="4"/>
    </row>
    <row r="187" spans="1:28" x14ac:dyDescent="0.2">
      <c r="A187" s="4">
        <v>50</v>
      </c>
      <c r="B187" s="4">
        <v>0</v>
      </c>
      <c r="C187" s="4">
        <v>0</v>
      </c>
      <c r="D187" s="4">
        <v>1</v>
      </c>
      <c r="E187" s="4">
        <v>205</v>
      </c>
      <c r="F187" s="4">
        <f>ROUND(Source!S172,O187)</f>
        <v>318074.03000000003</v>
      </c>
      <c r="G187" s="4" t="s">
        <v>72</v>
      </c>
      <c r="H187" s="4" t="s">
        <v>73</v>
      </c>
      <c r="I187" s="4"/>
      <c r="J187" s="4"/>
      <c r="K187" s="4">
        <v>205</v>
      </c>
      <c r="L187" s="4">
        <v>14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206021.05</v>
      </c>
      <c r="X187" s="4">
        <v>1</v>
      </c>
      <c r="Y187" s="4">
        <v>206021.05</v>
      </c>
      <c r="Z187" s="4"/>
      <c r="AA187" s="4"/>
      <c r="AB187" s="4"/>
    </row>
    <row r="188" spans="1:28" x14ac:dyDescent="0.2">
      <c r="A188" s="4">
        <v>50</v>
      </c>
      <c r="B188" s="4">
        <v>0</v>
      </c>
      <c r="C188" s="4">
        <v>0</v>
      </c>
      <c r="D188" s="4">
        <v>1</v>
      </c>
      <c r="E188" s="4">
        <v>232</v>
      </c>
      <c r="F188" s="4">
        <f>ROUND(Source!BC172,O188)</f>
        <v>0</v>
      </c>
      <c r="G188" s="4" t="s">
        <v>74</v>
      </c>
      <c r="H188" s="4" t="s">
        <v>75</v>
      </c>
      <c r="I188" s="4"/>
      <c r="J188" s="4"/>
      <c r="K188" s="4">
        <v>232</v>
      </c>
      <c r="L188" s="4">
        <v>15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0</v>
      </c>
      <c r="X188" s="4">
        <v>1</v>
      </c>
      <c r="Y188" s="4">
        <v>0</v>
      </c>
      <c r="Z188" s="4"/>
      <c r="AA188" s="4"/>
      <c r="AB188" s="4"/>
    </row>
    <row r="189" spans="1:28" x14ac:dyDescent="0.2">
      <c r="A189" s="4">
        <v>50</v>
      </c>
      <c r="B189" s="4">
        <v>0</v>
      </c>
      <c r="C189" s="4">
        <v>0</v>
      </c>
      <c r="D189" s="4">
        <v>1</v>
      </c>
      <c r="E189" s="4">
        <v>214</v>
      </c>
      <c r="F189" s="4">
        <f>ROUND(Source!AS172,O189)</f>
        <v>0</v>
      </c>
      <c r="G189" s="4" t="s">
        <v>76</v>
      </c>
      <c r="H189" s="4" t="s">
        <v>77</v>
      </c>
      <c r="I189" s="4"/>
      <c r="J189" s="4"/>
      <c r="K189" s="4">
        <v>214</v>
      </c>
      <c r="L189" s="4">
        <v>16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0</v>
      </c>
      <c r="X189" s="4">
        <v>1</v>
      </c>
      <c r="Y189" s="4">
        <v>0</v>
      </c>
      <c r="Z189" s="4"/>
      <c r="AA189" s="4"/>
      <c r="AB189" s="4"/>
    </row>
    <row r="190" spans="1:28" x14ac:dyDescent="0.2">
      <c r="A190" s="4">
        <v>50</v>
      </c>
      <c r="B190" s="4">
        <v>0</v>
      </c>
      <c r="C190" s="4">
        <v>0</v>
      </c>
      <c r="D190" s="4">
        <v>1</v>
      </c>
      <c r="E190" s="4">
        <v>215</v>
      </c>
      <c r="F190" s="4">
        <f>ROUND(Source!AT172,O190)</f>
        <v>0</v>
      </c>
      <c r="G190" s="4" t="s">
        <v>78</v>
      </c>
      <c r="H190" s="4" t="s">
        <v>79</v>
      </c>
      <c r="I190" s="4"/>
      <c r="J190" s="4"/>
      <c r="K190" s="4">
        <v>215</v>
      </c>
      <c r="L190" s="4">
        <v>17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0</v>
      </c>
      <c r="X190" s="4">
        <v>1</v>
      </c>
      <c r="Y190" s="4">
        <v>0</v>
      </c>
      <c r="Z190" s="4"/>
      <c r="AA190" s="4"/>
      <c r="AB190" s="4"/>
    </row>
    <row r="191" spans="1:28" x14ac:dyDescent="0.2">
      <c r="A191" s="4">
        <v>50</v>
      </c>
      <c r="B191" s="4">
        <v>0</v>
      </c>
      <c r="C191" s="4">
        <v>0</v>
      </c>
      <c r="D191" s="4">
        <v>1</v>
      </c>
      <c r="E191" s="4">
        <v>217</v>
      </c>
      <c r="F191" s="4">
        <f>ROUND(Source!AU172,O191)</f>
        <v>612811.67000000004</v>
      </c>
      <c r="G191" s="4" t="s">
        <v>80</v>
      </c>
      <c r="H191" s="4" t="s">
        <v>81</v>
      </c>
      <c r="I191" s="4"/>
      <c r="J191" s="4"/>
      <c r="K191" s="4">
        <v>217</v>
      </c>
      <c r="L191" s="4">
        <v>18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392107.25</v>
      </c>
      <c r="X191" s="4">
        <v>1</v>
      </c>
      <c r="Y191" s="4">
        <v>392107.25</v>
      </c>
      <c r="Z191" s="4"/>
      <c r="AA191" s="4"/>
      <c r="AB191" s="4"/>
    </row>
    <row r="192" spans="1:28" x14ac:dyDescent="0.2">
      <c r="A192" s="4">
        <v>50</v>
      </c>
      <c r="B192" s="4">
        <v>0</v>
      </c>
      <c r="C192" s="4">
        <v>0</v>
      </c>
      <c r="D192" s="4">
        <v>1</v>
      </c>
      <c r="E192" s="4">
        <v>230</v>
      </c>
      <c r="F192" s="4">
        <f>ROUND(Source!BA172,O192)</f>
        <v>0</v>
      </c>
      <c r="G192" s="4" t="s">
        <v>82</v>
      </c>
      <c r="H192" s="4" t="s">
        <v>83</v>
      </c>
      <c r="I192" s="4"/>
      <c r="J192" s="4"/>
      <c r="K192" s="4">
        <v>230</v>
      </c>
      <c r="L192" s="4">
        <v>19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0</v>
      </c>
      <c r="X192" s="4">
        <v>1</v>
      </c>
      <c r="Y192" s="4">
        <v>0</v>
      </c>
      <c r="Z192" s="4"/>
      <c r="AA192" s="4"/>
      <c r="AB192" s="4"/>
    </row>
    <row r="193" spans="1:206" x14ac:dyDescent="0.2">
      <c r="A193" s="4">
        <v>50</v>
      </c>
      <c r="B193" s="4">
        <v>0</v>
      </c>
      <c r="C193" s="4">
        <v>0</v>
      </c>
      <c r="D193" s="4">
        <v>1</v>
      </c>
      <c r="E193" s="4">
        <v>206</v>
      </c>
      <c r="F193" s="4">
        <f>ROUND(Source!T172,O193)</f>
        <v>0</v>
      </c>
      <c r="G193" s="4" t="s">
        <v>84</v>
      </c>
      <c r="H193" s="4" t="s">
        <v>85</v>
      </c>
      <c r="I193" s="4"/>
      <c r="J193" s="4"/>
      <c r="K193" s="4">
        <v>206</v>
      </c>
      <c r="L193" s="4">
        <v>20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0</v>
      </c>
      <c r="X193" s="4">
        <v>1</v>
      </c>
      <c r="Y193" s="4">
        <v>0</v>
      </c>
      <c r="Z193" s="4"/>
      <c r="AA193" s="4"/>
      <c r="AB193" s="4"/>
    </row>
    <row r="194" spans="1:206" x14ac:dyDescent="0.2">
      <c r="A194" s="4">
        <v>50</v>
      </c>
      <c r="B194" s="4">
        <v>0</v>
      </c>
      <c r="C194" s="4">
        <v>0</v>
      </c>
      <c r="D194" s="4">
        <v>1</v>
      </c>
      <c r="E194" s="4">
        <v>207</v>
      </c>
      <c r="F194" s="4">
        <f>Source!U172</f>
        <v>592.88079999999991</v>
      </c>
      <c r="G194" s="4" t="s">
        <v>86</v>
      </c>
      <c r="H194" s="4" t="s">
        <v>87</v>
      </c>
      <c r="I194" s="4"/>
      <c r="J194" s="4"/>
      <c r="K194" s="4">
        <v>207</v>
      </c>
      <c r="L194" s="4">
        <v>21</v>
      </c>
      <c r="M194" s="4">
        <v>3</v>
      </c>
      <c r="N194" s="4" t="s">
        <v>3</v>
      </c>
      <c r="O194" s="4">
        <v>-1</v>
      </c>
      <c r="P194" s="4"/>
      <c r="Q194" s="4"/>
      <c r="R194" s="4"/>
      <c r="S194" s="4"/>
      <c r="T194" s="4"/>
      <c r="U194" s="4"/>
      <c r="V194" s="4"/>
      <c r="W194" s="4">
        <v>396.69579999999996</v>
      </c>
      <c r="X194" s="4">
        <v>1</v>
      </c>
      <c r="Y194" s="4">
        <v>396.69579999999996</v>
      </c>
      <c r="Z194" s="4"/>
      <c r="AA194" s="4"/>
      <c r="AB194" s="4"/>
    </row>
    <row r="195" spans="1:206" x14ac:dyDescent="0.2">
      <c r="A195" s="4">
        <v>50</v>
      </c>
      <c r="B195" s="4">
        <v>0</v>
      </c>
      <c r="C195" s="4">
        <v>0</v>
      </c>
      <c r="D195" s="4">
        <v>1</v>
      </c>
      <c r="E195" s="4">
        <v>208</v>
      </c>
      <c r="F195" s="4">
        <f>Source!V172</f>
        <v>0</v>
      </c>
      <c r="G195" s="4" t="s">
        <v>88</v>
      </c>
      <c r="H195" s="4" t="s">
        <v>89</v>
      </c>
      <c r="I195" s="4"/>
      <c r="J195" s="4"/>
      <c r="K195" s="4">
        <v>208</v>
      </c>
      <c r="L195" s="4">
        <v>22</v>
      </c>
      <c r="M195" s="4">
        <v>3</v>
      </c>
      <c r="N195" s="4" t="s">
        <v>3</v>
      </c>
      <c r="O195" s="4">
        <v>-1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06" x14ac:dyDescent="0.2">
      <c r="A196" s="4">
        <v>50</v>
      </c>
      <c r="B196" s="4">
        <v>0</v>
      </c>
      <c r="C196" s="4">
        <v>0</v>
      </c>
      <c r="D196" s="4">
        <v>1</v>
      </c>
      <c r="E196" s="4">
        <v>209</v>
      </c>
      <c r="F196" s="4">
        <f>ROUND(Source!W172,O196)</f>
        <v>0</v>
      </c>
      <c r="G196" s="4" t="s">
        <v>90</v>
      </c>
      <c r="H196" s="4" t="s">
        <v>91</v>
      </c>
      <c r="I196" s="4"/>
      <c r="J196" s="4"/>
      <c r="K196" s="4">
        <v>209</v>
      </c>
      <c r="L196" s="4">
        <v>23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06" x14ac:dyDescent="0.2">
      <c r="A197" s="4">
        <v>50</v>
      </c>
      <c r="B197" s="4">
        <v>0</v>
      </c>
      <c r="C197" s="4">
        <v>0</v>
      </c>
      <c r="D197" s="4">
        <v>1</v>
      </c>
      <c r="E197" s="4">
        <v>233</v>
      </c>
      <c r="F197" s="4">
        <f>ROUND(Source!BD172,O197)</f>
        <v>0</v>
      </c>
      <c r="G197" s="4" t="s">
        <v>92</v>
      </c>
      <c r="H197" s="4" t="s">
        <v>93</v>
      </c>
      <c r="I197" s="4"/>
      <c r="J197" s="4"/>
      <c r="K197" s="4">
        <v>233</v>
      </c>
      <c r="L197" s="4">
        <v>24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206" x14ac:dyDescent="0.2">
      <c r="A198" s="4">
        <v>50</v>
      </c>
      <c r="B198" s="4">
        <v>0</v>
      </c>
      <c r="C198" s="4">
        <v>0</v>
      </c>
      <c r="D198" s="4">
        <v>1</v>
      </c>
      <c r="E198" s="4">
        <v>210</v>
      </c>
      <c r="F198" s="4">
        <f>ROUND(Source!X172,O198)</f>
        <v>222651.82</v>
      </c>
      <c r="G198" s="4" t="s">
        <v>94</v>
      </c>
      <c r="H198" s="4" t="s">
        <v>95</v>
      </c>
      <c r="I198" s="4"/>
      <c r="J198" s="4"/>
      <c r="K198" s="4">
        <v>210</v>
      </c>
      <c r="L198" s="4">
        <v>25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144214.73000000001</v>
      </c>
      <c r="X198" s="4">
        <v>1</v>
      </c>
      <c r="Y198" s="4">
        <v>144214.73000000001</v>
      </c>
      <c r="Z198" s="4"/>
      <c r="AA198" s="4"/>
      <c r="AB198" s="4"/>
    </row>
    <row r="199" spans="1:206" x14ac:dyDescent="0.2">
      <c r="A199" s="4">
        <v>50</v>
      </c>
      <c r="B199" s="4">
        <v>0</v>
      </c>
      <c r="C199" s="4">
        <v>0</v>
      </c>
      <c r="D199" s="4">
        <v>1</v>
      </c>
      <c r="E199" s="4">
        <v>211</v>
      </c>
      <c r="F199" s="4">
        <f>ROUND(Source!Y172,O199)</f>
        <v>31807.41</v>
      </c>
      <c r="G199" s="4" t="s">
        <v>96</v>
      </c>
      <c r="H199" s="4" t="s">
        <v>97</v>
      </c>
      <c r="I199" s="4"/>
      <c r="J199" s="4"/>
      <c r="K199" s="4">
        <v>211</v>
      </c>
      <c r="L199" s="4">
        <v>26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20602.11</v>
      </c>
      <c r="X199" s="4">
        <v>1</v>
      </c>
      <c r="Y199" s="4">
        <v>20602.11</v>
      </c>
      <c r="Z199" s="4"/>
      <c r="AA199" s="4"/>
      <c r="AB199" s="4"/>
    </row>
    <row r="200" spans="1:206" x14ac:dyDescent="0.2">
      <c r="A200" s="4">
        <v>50</v>
      </c>
      <c r="B200" s="4">
        <v>0</v>
      </c>
      <c r="C200" s="4">
        <v>0</v>
      </c>
      <c r="D200" s="4">
        <v>1</v>
      </c>
      <c r="E200" s="4">
        <v>224</v>
      </c>
      <c r="F200" s="4">
        <f>ROUND(Source!AR172,O200)</f>
        <v>612811.67000000004</v>
      </c>
      <c r="G200" s="4" t="s">
        <v>98</v>
      </c>
      <c r="H200" s="4" t="s">
        <v>99</v>
      </c>
      <c r="I200" s="4"/>
      <c r="J200" s="4"/>
      <c r="K200" s="4">
        <v>224</v>
      </c>
      <c r="L200" s="4">
        <v>27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392107.25</v>
      </c>
      <c r="X200" s="4">
        <v>1</v>
      </c>
      <c r="Y200" s="4">
        <v>392107.25</v>
      </c>
      <c r="Z200" s="4"/>
      <c r="AA200" s="4"/>
      <c r="AB200" s="4"/>
    </row>
    <row r="202" spans="1:206" x14ac:dyDescent="0.2">
      <c r="A202" s="1">
        <v>4</v>
      </c>
      <c r="B202" s="1">
        <v>1</v>
      </c>
      <c r="C202" s="1"/>
      <c r="D202" s="1">
        <f>ROW(A408)</f>
        <v>408</v>
      </c>
      <c r="E202" s="1"/>
      <c r="F202" s="1" t="s">
        <v>13</v>
      </c>
      <c r="G202" s="1" t="s">
        <v>152</v>
      </c>
      <c r="H202" s="1" t="s">
        <v>3</v>
      </c>
      <c r="I202" s="1">
        <v>0</v>
      </c>
      <c r="J202" s="1"/>
      <c r="K202" s="1">
        <v>0</v>
      </c>
      <c r="L202" s="1"/>
      <c r="M202" s="1" t="s">
        <v>3</v>
      </c>
      <c r="N202" s="1"/>
      <c r="O202" s="1"/>
      <c r="P202" s="1"/>
      <c r="Q202" s="1"/>
      <c r="R202" s="1"/>
      <c r="S202" s="1">
        <v>0</v>
      </c>
      <c r="T202" s="1"/>
      <c r="U202" s="1" t="s">
        <v>3</v>
      </c>
      <c r="V202" s="1">
        <v>0</v>
      </c>
      <c r="W202" s="1"/>
      <c r="X202" s="1"/>
      <c r="Y202" s="1"/>
      <c r="Z202" s="1"/>
      <c r="AA202" s="1"/>
      <c r="AB202" s="1" t="s">
        <v>3</v>
      </c>
      <c r="AC202" s="1" t="s">
        <v>3</v>
      </c>
      <c r="AD202" s="1" t="s">
        <v>3</v>
      </c>
      <c r="AE202" s="1" t="s">
        <v>3</v>
      </c>
      <c r="AF202" s="1" t="s">
        <v>3</v>
      </c>
      <c r="AG202" s="1" t="s">
        <v>3</v>
      </c>
      <c r="AH202" s="1"/>
      <c r="AI202" s="1"/>
      <c r="AJ202" s="1"/>
      <c r="AK202" s="1"/>
      <c r="AL202" s="1"/>
      <c r="AM202" s="1"/>
      <c r="AN202" s="1"/>
      <c r="AO202" s="1"/>
      <c r="AP202" s="1" t="s">
        <v>3</v>
      </c>
      <c r="AQ202" s="1" t="s">
        <v>3</v>
      </c>
      <c r="AR202" s="1" t="s">
        <v>3</v>
      </c>
      <c r="AS202" s="1"/>
      <c r="AT202" s="1"/>
      <c r="AU202" s="1"/>
      <c r="AV202" s="1"/>
      <c r="AW202" s="1"/>
      <c r="AX202" s="1"/>
      <c r="AY202" s="1"/>
      <c r="AZ202" s="1" t="s">
        <v>3</v>
      </c>
      <c r="BA202" s="1"/>
      <c r="BB202" s="1" t="s">
        <v>3</v>
      </c>
      <c r="BC202" s="1" t="s">
        <v>3</v>
      </c>
      <c r="BD202" s="1" t="s">
        <v>3</v>
      </c>
      <c r="BE202" s="1" t="s">
        <v>3</v>
      </c>
      <c r="BF202" s="1" t="s">
        <v>3</v>
      </c>
      <c r="BG202" s="1" t="s">
        <v>3</v>
      </c>
      <c r="BH202" s="1" t="s">
        <v>3</v>
      </c>
      <c r="BI202" s="1" t="s">
        <v>3</v>
      </c>
      <c r="BJ202" s="1" t="s">
        <v>3</v>
      </c>
      <c r="BK202" s="1" t="s">
        <v>3</v>
      </c>
      <c r="BL202" s="1" t="s">
        <v>3</v>
      </c>
      <c r="BM202" s="1" t="s">
        <v>3</v>
      </c>
      <c r="BN202" s="1" t="s">
        <v>3</v>
      </c>
      <c r="BO202" s="1" t="s">
        <v>3</v>
      </c>
      <c r="BP202" s="1" t="s">
        <v>3</v>
      </c>
      <c r="BQ202" s="1"/>
      <c r="BR202" s="1"/>
      <c r="BS202" s="1"/>
      <c r="BT202" s="1"/>
      <c r="BU202" s="1"/>
      <c r="BV202" s="1"/>
      <c r="BW202" s="1"/>
      <c r="BX202" s="1">
        <v>0</v>
      </c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>
        <v>0</v>
      </c>
    </row>
    <row r="204" spans="1:206" x14ac:dyDescent="0.2">
      <c r="A204" s="2">
        <v>52</v>
      </c>
      <c r="B204" s="2">
        <f t="shared" ref="B204:G204" si="132">B408</f>
        <v>1</v>
      </c>
      <c r="C204" s="2">
        <f t="shared" si="132"/>
        <v>4</v>
      </c>
      <c r="D204" s="2">
        <f t="shared" si="132"/>
        <v>202</v>
      </c>
      <c r="E204" s="2">
        <f t="shared" si="132"/>
        <v>0</v>
      </c>
      <c r="F204" s="2" t="str">
        <f t="shared" si="132"/>
        <v>Новый раздел</v>
      </c>
      <c r="G204" s="2" t="str">
        <f t="shared" si="132"/>
        <v>2. Внутренние сети отопления и ИТП</v>
      </c>
      <c r="H204" s="2"/>
      <c r="I204" s="2"/>
      <c r="J204" s="2"/>
      <c r="K204" s="2"/>
      <c r="L204" s="2"/>
      <c r="M204" s="2"/>
      <c r="N204" s="2"/>
      <c r="O204" s="2">
        <f t="shared" ref="O204:AT204" si="133">O408</f>
        <v>228884.38</v>
      </c>
      <c r="P204" s="2">
        <f t="shared" si="133"/>
        <v>3929.04</v>
      </c>
      <c r="Q204" s="2">
        <f t="shared" si="133"/>
        <v>17267.400000000001</v>
      </c>
      <c r="R204" s="2">
        <f t="shared" si="133"/>
        <v>10812.81</v>
      </c>
      <c r="S204" s="2">
        <f t="shared" si="133"/>
        <v>207687.94</v>
      </c>
      <c r="T204" s="2">
        <f t="shared" si="133"/>
        <v>0</v>
      </c>
      <c r="U204" s="2">
        <f t="shared" si="133"/>
        <v>310.31283999999999</v>
      </c>
      <c r="V204" s="2">
        <f t="shared" si="133"/>
        <v>0</v>
      </c>
      <c r="W204" s="2">
        <f t="shared" si="133"/>
        <v>0</v>
      </c>
      <c r="X204" s="2">
        <f t="shared" si="133"/>
        <v>145381.54999999999</v>
      </c>
      <c r="Y204" s="2">
        <f t="shared" si="133"/>
        <v>20768.8</v>
      </c>
      <c r="Z204" s="2">
        <f t="shared" si="133"/>
        <v>0</v>
      </c>
      <c r="AA204" s="2">
        <f t="shared" si="133"/>
        <v>0</v>
      </c>
      <c r="AB204" s="2">
        <f t="shared" si="133"/>
        <v>0</v>
      </c>
      <c r="AC204" s="2">
        <f t="shared" si="133"/>
        <v>0</v>
      </c>
      <c r="AD204" s="2">
        <f t="shared" si="133"/>
        <v>0</v>
      </c>
      <c r="AE204" s="2">
        <f t="shared" si="133"/>
        <v>0</v>
      </c>
      <c r="AF204" s="2">
        <f t="shared" si="133"/>
        <v>0</v>
      </c>
      <c r="AG204" s="2">
        <f t="shared" si="133"/>
        <v>0</v>
      </c>
      <c r="AH204" s="2">
        <f t="shared" si="133"/>
        <v>0</v>
      </c>
      <c r="AI204" s="2">
        <f t="shared" si="133"/>
        <v>0</v>
      </c>
      <c r="AJ204" s="2">
        <f t="shared" si="133"/>
        <v>0</v>
      </c>
      <c r="AK204" s="2">
        <f t="shared" si="133"/>
        <v>0</v>
      </c>
      <c r="AL204" s="2">
        <f t="shared" si="133"/>
        <v>0</v>
      </c>
      <c r="AM204" s="2">
        <f t="shared" si="133"/>
        <v>0</v>
      </c>
      <c r="AN204" s="2">
        <f t="shared" si="133"/>
        <v>0</v>
      </c>
      <c r="AO204" s="2">
        <f t="shared" si="133"/>
        <v>0</v>
      </c>
      <c r="AP204" s="2">
        <f t="shared" si="133"/>
        <v>0</v>
      </c>
      <c r="AQ204" s="2">
        <f t="shared" si="133"/>
        <v>0</v>
      </c>
      <c r="AR204" s="2">
        <f t="shared" si="133"/>
        <v>406712.56</v>
      </c>
      <c r="AS204" s="2">
        <f t="shared" si="133"/>
        <v>0</v>
      </c>
      <c r="AT204" s="2">
        <f t="shared" si="133"/>
        <v>0</v>
      </c>
      <c r="AU204" s="2">
        <f t="shared" ref="AU204:BZ204" si="134">AU408</f>
        <v>406712.56</v>
      </c>
      <c r="AV204" s="2">
        <f t="shared" si="134"/>
        <v>3929.04</v>
      </c>
      <c r="AW204" s="2">
        <f t="shared" si="134"/>
        <v>3929.04</v>
      </c>
      <c r="AX204" s="2">
        <f t="shared" si="134"/>
        <v>0</v>
      </c>
      <c r="AY204" s="2">
        <f t="shared" si="134"/>
        <v>3929.04</v>
      </c>
      <c r="AZ204" s="2">
        <f t="shared" si="134"/>
        <v>0</v>
      </c>
      <c r="BA204" s="2">
        <f t="shared" si="134"/>
        <v>0</v>
      </c>
      <c r="BB204" s="2">
        <f t="shared" si="134"/>
        <v>0</v>
      </c>
      <c r="BC204" s="2">
        <f t="shared" si="134"/>
        <v>0</v>
      </c>
      <c r="BD204" s="2">
        <f t="shared" si="134"/>
        <v>0</v>
      </c>
      <c r="BE204" s="2">
        <f t="shared" si="134"/>
        <v>0</v>
      </c>
      <c r="BF204" s="2">
        <f t="shared" si="134"/>
        <v>0</v>
      </c>
      <c r="BG204" s="2">
        <f t="shared" si="134"/>
        <v>0</v>
      </c>
      <c r="BH204" s="2">
        <f t="shared" si="134"/>
        <v>0</v>
      </c>
      <c r="BI204" s="2">
        <f t="shared" si="134"/>
        <v>0</v>
      </c>
      <c r="BJ204" s="2">
        <f t="shared" si="134"/>
        <v>0</v>
      </c>
      <c r="BK204" s="2">
        <f t="shared" si="134"/>
        <v>0</v>
      </c>
      <c r="BL204" s="2">
        <f t="shared" si="134"/>
        <v>0</v>
      </c>
      <c r="BM204" s="2">
        <f t="shared" si="134"/>
        <v>0</v>
      </c>
      <c r="BN204" s="2">
        <f t="shared" si="134"/>
        <v>0</v>
      </c>
      <c r="BO204" s="2">
        <f t="shared" si="134"/>
        <v>0</v>
      </c>
      <c r="BP204" s="2">
        <f t="shared" si="134"/>
        <v>0</v>
      </c>
      <c r="BQ204" s="2">
        <f t="shared" si="134"/>
        <v>0</v>
      </c>
      <c r="BR204" s="2">
        <f t="shared" si="134"/>
        <v>0</v>
      </c>
      <c r="BS204" s="2">
        <f t="shared" si="134"/>
        <v>0</v>
      </c>
      <c r="BT204" s="2">
        <f t="shared" si="134"/>
        <v>0</v>
      </c>
      <c r="BU204" s="2">
        <f t="shared" si="134"/>
        <v>0</v>
      </c>
      <c r="BV204" s="2">
        <f t="shared" si="134"/>
        <v>0</v>
      </c>
      <c r="BW204" s="2">
        <f t="shared" si="134"/>
        <v>0</v>
      </c>
      <c r="BX204" s="2">
        <f t="shared" si="134"/>
        <v>0</v>
      </c>
      <c r="BY204" s="2">
        <f t="shared" si="134"/>
        <v>0</v>
      </c>
      <c r="BZ204" s="2">
        <f t="shared" si="134"/>
        <v>0</v>
      </c>
      <c r="CA204" s="2">
        <f t="shared" ref="CA204:DF204" si="135">CA408</f>
        <v>0</v>
      </c>
      <c r="CB204" s="2">
        <f t="shared" si="135"/>
        <v>0</v>
      </c>
      <c r="CC204" s="2">
        <f t="shared" si="135"/>
        <v>0</v>
      </c>
      <c r="CD204" s="2">
        <f t="shared" si="135"/>
        <v>0</v>
      </c>
      <c r="CE204" s="2">
        <f t="shared" si="135"/>
        <v>0</v>
      </c>
      <c r="CF204" s="2">
        <f t="shared" si="135"/>
        <v>0</v>
      </c>
      <c r="CG204" s="2">
        <f t="shared" si="135"/>
        <v>0</v>
      </c>
      <c r="CH204" s="2">
        <f t="shared" si="135"/>
        <v>0</v>
      </c>
      <c r="CI204" s="2">
        <f t="shared" si="135"/>
        <v>0</v>
      </c>
      <c r="CJ204" s="2">
        <f t="shared" si="135"/>
        <v>0</v>
      </c>
      <c r="CK204" s="2">
        <f t="shared" si="135"/>
        <v>0</v>
      </c>
      <c r="CL204" s="2">
        <f t="shared" si="135"/>
        <v>0</v>
      </c>
      <c r="CM204" s="2">
        <f t="shared" si="135"/>
        <v>0</v>
      </c>
      <c r="CN204" s="2">
        <f t="shared" si="135"/>
        <v>0</v>
      </c>
      <c r="CO204" s="2">
        <f t="shared" si="135"/>
        <v>0</v>
      </c>
      <c r="CP204" s="2">
        <f t="shared" si="135"/>
        <v>0</v>
      </c>
      <c r="CQ204" s="2">
        <f t="shared" si="135"/>
        <v>0</v>
      </c>
      <c r="CR204" s="2">
        <f t="shared" si="135"/>
        <v>0</v>
      </c>
      <c r="CS204" s="2">
        <f t="shared" si="135"/>
        <v>0</v>
      </c>
      <c r="CT204" s="2">
        <f t="shared" si="135"/>
        <v>0</v>
      </c>
      <c r="CU204" s="2">
        <f t="shared" si="135"/>
        <v>0</v>
      </c>
      <c r="CV204" s="2">
        <f t="shared" si="135"/>
        <v>0</v>
      </c>
      <c r="CW204" s="2">
        <f t="shared" si="135"/>
        <v>0</v>
      </c>
      <c r="CX204" s="2">
        <f t="shared" si="135"/>
        <v>0</v>
      </c>
      <c r="CY204" s="2">
        <f t="shared" si="135"/>
        <v>0</v>
      </c>
      <c r="CZ204" s="2">
        <f t="shared" si="135"/>
        <v>0</v>
      </c>
      <c r="DA204" s="2">
        <f t="shared" si="135"/>
        <v>0</v>
      </c>
      <c r="DB204" s="2">
        <f t="shared" si="135"/>
        <v>0</v>
      </c>
      <c r="DC204" s="2">
        <f t="shared" si="135"/>
        <v>0</v>
      </c>
      <c r="DD204" s="2">
        <f t="shared" si="135"/>
        <v>0</v>
      </c>
      <c r="DE204" s="2">
        <f t="shared" si="135"/>
        <v>0</v>
      </c>
      <c r="DF204" s="2">
        <f t="shared" si="135"/>
        <v>0</v>
      </c>
      <c r="DG204" s="3">
        <f t="shared" ref="DG204:EL204" si="136">DG408</f>
        <v>0</v>
      </c>
      <c r="DH204" s="3">
        <f t="shared" si="136"/>
        <v>0</v>
      </c>
      <c r="DI204" s="3">
        <f t="shared" si="136"/>
        <v>0</v>
      </c>
      <c r="DJ204" s="3">
        <f t="shared" si="136"/>
        <v>0</v>
      </c>
      <c r="DK204" s="3">
        <f t="shared" si="136"/>
        <v>0</v>
      </c>
      <c r="DL204" s="3">
        <f t="shared" si="136"/>
        <v>0</v>
      </c>
      <c r="DM204" s="3">
        <f t="shared" si="136"/>
        <v>0</v>
      </c>
      <c r="DN204" s="3">
        <f t="shared" si="136"/>
        <v>0</v>
      </c>
      <c r="DO204" s="3">
        <f t="shared" si="136"/>
        <v>0</v>
      </c>
      <c r="DP204" s="3">
        <f t="shared" si="136"/>
        <v>0</v>
      </c>
      <c r="DQ204" s="3">
        <f t="shared" si="136"/>
        <v>0</v>
      </c>
      <c r="DR204" s="3">
        <f t="shared" si="136"/>
        <v>0</v>
      </c>
      <c r="DS204" s="3">
        <f t="shared" si="136"/>
        <v>0</v>
      </c>
      <c r="DT204" s="3">
        <f t="shared" si="136"/>
        <v>0</v>
      </c>
      <c r="DU204" s="3">
        <f t="shared" si="136"/>
        <v>0</v>
      </c>
      <c r="DV204" s="3">
        <f t="shared" si="136"/>
        <v>0</v>
      </c>
      <c r="DW204" s="3">
        <f t="shared" si="136"/>
        <v>0</v>
      </c>
      <c r="DX204" s="3">
        <f t="shared" si="136"/>
        <v>0</v>
      </c>
      <c r="DY204" s="3">
        <f t="shared" si="136"/>
        <v>0</v>
      </c>
      <c r="DZ204" s="3">
        <f t="shared" si="136"/>
        <v>0</v>
      </c>
      <c r="EA204" s="3">
        <f t="shared" si="136"/>
        <v>0</v>
      </c>
      <c r="EB204" s="3">
        <f t="shared" si="136"/>
        <v>0</v>
      </c>
      <c r="EC204" s="3">
        <f t="shared" si="136"/>
        <v>0</v>
      </c>
      <c r="ED204" s="3">
        <f t="shared" si="136"/>
        <v>0</v>
      </c>
      <c r="EE204" s="3">
        <f t="shared" si="136"/>
        <v>0</v>
      </c>
      <c r="EF204" s="3">
        <f t="shared" si="136"/>
        <v>0</v>
      </c>
      <c r="EG204" s="3">
        <f t="shared" si="136"/>
        <v>0</v>
      </c>
      <c r="EH204" s="3">
        <f t="shared" si="136"/>
        <v>0</v>
      </c>
      <c r="EI204" s="3">
        <f t="shared" si="136"/>
        <v>0</v>
      </c>
      <c r="EJ204" s="3">
        <f t="shared" si="136"/>
        <v>0</v>
      </c>
      <c r="EK204" s="3">
        <f t="shared" si="136"/>
        <v>0</v>
      </c>
      <c r="EL204" s="3">
        <f t="shared" si="136"/>
        <v>0</v>
      </c>
      <c r="EM204" s="3">
        <f t="shared" ref="EM204:FR204" si="137">EM408</f>
        <v>0</v>
      </c>
      <c r="EN204" s="3">
        <f t="shared" si="137"/>
        <v>0</v>
      </c>
      <c r="EO204" s="3">
        <f t="shared" si="137"/>
        <v>0</v>
      </c>
      <c r="EP204" s="3">
        <f t="shared" si="137"/>
        <v>0</v>
      </c>
      <c r="EQ204" s="3">
        <f t="shared" si="137"/>
        <v>0</v>
      </c>
      <c r="ER204" s="3">
        <f t="shared" si="137"/>
        <v>0</v>
      </c>
      <c r="ES204" s="3">
        <f t="shared" si="137"/>
        <v>0</v>
      </c>
      <c r="ET204" s="3">
        <f t="shared" si="137"/>
        <v>0</v>
      </c>
      <c r="EU204" s="3">
        <f t="shared" si="137"/>
        <v>0</v>
      </c>
      <c r="EV204" s="3">
        <f t="shared" si="137"/>
        <v>0</v>
      </c>
      <c r="EW204" s="3">
        <f t="shared" si="137"/>
        <v>0</v>
      </c>
      <c r="EX204" s="3">
        <f t="shared" si="137"/>
        <v>0</v>
      </c>
      <c r="EY204" s="3">
        <f t="shared" si="137"/>
        <v>0</v>
      </c>
      <c r="EZ204" s="3">
        <f t="shared" si="137"/>
        <v>0</v>
      </c>
      <c r="FA204" s="3">
        <f t="shared" si="137"/>
        <v>0</v>
      </c>
      <c r="FB204" s="3">
        <f t="shared" si="137"/>
        <v>0</v>
      </c>
      <c r="FC204" s="3">
        <f t="shared" si="137"/>
        <v>0</v>
      </c>
      <c r="FD204" s="3">
        <f t="shared" si="137"/>
        <v>0</v>
      </c>
      <c r="FE204" s="3">
        <f t="shared" si="137"/>
        <v>0</v>
      </c>
      <c r="FF204" s="3">
        <f t="shared" si="137"/>
        <v>0</v>
      </c>
      <c r="FG204" s="3">
        <f t="shared" si="137"/>
        <v>0</v>
      </c>
      <c r="FH204" s="3">
        <f t="shared" si="137"/>
        <v>0</v>
      </c>
      <c r="FI204" s="3">
        <f t="shared" si="137"/>
        <v>0</v>
      </c>
      <c r="FJ204" s="3">
        <f t="shared" si="137"/>
        <v>0</v>
      </c>
      <c r="FK204" s="3">
        <f t="shared" si="137"/>
        <v>0</v>
      </c>
      <c r="FL204" s="3">
        <f t="shared" si="137"/>
        <v>0</v>
      </c>
      <c r="FM204" s="3">
        <f t="shared" si="137"/>
        <v>0</v>
      </c>
      <c r="FN204" s="3">
        <f t="shared" si="137"/>
        <v>0</v>
      </c>
      <c r="FO204" s="3">
        <f t="shared" si="137"/>
        <v>0</v>
      </c>
      <c r="FP204" s="3">
        <f t="shared" si="137"/>
        <v>0</v>
      </c>
      <c r="FQ204" s="3">
        <f t="shared" si="137"/>
        <v>0</v>
      </c>
      <c r="FR204" s="3">
        <f t="shared" si="137"/>
        <v>0</v>
      </c>
      <c r="FS204" s="3">
        <f t="shared" ref="FS204:GX204" si="138">FS408</f>
        <v>0</v>
      </c>
      <c r="FT204" s="3">
        <f t="shared" si="138"/>
        <v>0</v>
      </c>
      <c r="FU204" s="3">
        <f t="shared" si="138"/>
        <v>0</v>
      </c>
      <c r="FV204" s="3">
        <f t="shared" si="138"/>
        <v>0</v>
      </c>
      <c r="FW204" s="3">
        <f t="shared" si="138"/>
        <v>0</v>
      </c>
      <c r="FX204" s="3">
        <f t="shared" si="138"/>
        <v>0</v>
      </c>
      <c r="FY204" s="3">
        <f t="shared" si="138"/>
        <v>0</v>
      </c>
      <c r="FZ204" s="3">
        <f t="shared" si="138"/>
        <v>0</v>
      </c>
      <c r="GA204" s="3">
        <f t="shared" si="138"/>
        <v>0</v>
      </c>
      <c r="GB204" s="3">
        <f t="shared" si="138"/>
        <v>0</v>
      </c>
      <c r="GC204" s="3">
        <f t="shared" si="138"/>
        <v>0</v>
      </c>
      <c r="GD204" s="3">
        <f t="shared" si="138"/>
        <v>0</v>
      </c>
      <c r="GE204" s="3">
        <f t="shared" si="138"/>
        <v>0</v>
      </c>
      <c r="GF204" s="3">
        <f t="shared" si="138"/>
        <v>0</v>
      </c>
      <c r="GG204" s="3">
        <f t="shared" si="138"/>
        <v>0</v>
      </c>
      <c r="GH204" s="3">
        <f t="shared" si="138"/>
        <v>0</v>
      </c>
      <c r="GI204" s="3">
        <f t="shared" si="138"/>
        <v>0</v>
      </c>
      <c r="GJ204" s="3">
        <f t="shared" si="138"/>
        <v>0</v>
      </c>
      <c r="GK204" s="3">
        <f t="shared" si="138"/>
        <v>0</v>
      </c>
      <c r="GL204" s="3">
        <f t="shared" si="138"/>
        <v>0</v>
      </c>
      <c r="GM204" s="3">
        <f t="shared" si="138"/>
        <v>0</v>
      </c>
      <c r="GN204" s="3">
        <f t="shared" si="138"/>
        <v>0</v>
      </c>
      <c r="GO204" s="3">
        <f t="shared" si="138"/>
        <v>0</v>
      </c>
      <c r="GP204" s="3">
        <f t="shared" si="138"/>
        <v>0</v>
      </c>
      <c r="GQ204" s="3">
        <f t="shared" si="138"/>
        <v>0</v>
      </c>
      <c r="GR204" s="3">
        <f t="shared" si="138"/>
        <v>0</v>
      </c>
      <c r="GS204" s="3">
        <f t="shared" si="138"/>
        <v>0</v>
      </c>
      <c r="GT204" s="3">
        <f t="shared" si="138"/>
        <v>0</v>
      </c>
      <c r="GU204" s="3">
        <f t="shared" si="138"/>
        <v>0</v>
      </c>
      <c r="GV204" s="3">
        <f t="shared" si="138"/>
        <v>0</v>
      </c>
      <c r="GW204" s="3">
        <f t="shared" si="138"/>
        <v>0</v>
      </c>
      <c r="GX204" s="3">
        <f t="shared" si="138"/>
        <v>0</v>
      </c>
    </row>
    <row r="206" spans="1:206" x14ac:dyDescent="0.2">
      <c r="A206" s="1">
        <v>5</v>
      </c>
      <c r="B206" s="1">
        <v>1</v>
      </c>
      <c r="C206" s="1"/>
      <c r="D206" s="1">
        <f>ROW(A254)</f>
        <v>254</v>
      </c>
      <c r="E206" s="1"/>
      <c r="F206" s="1" t="s">
        <v>15</v>
      </c>
      <c r="G206" s="1" t="s">
        <v>153</v>
      </c>
      <c r="H206" s="1" t="s">
        <v>3</v>
      </c>
      <c r="I206" s="1">
        <v>0</v>
      </c>
      <c r="J206" s="1"/>
      <c r="K206" s="1">
        <v>0</v>
      </c>
      <c r="L206" s="1"/>
      <c r="M206" s="1" t="s">
        <v>3</v>
      </c>
      <c r="N206" s="1"/>
      <c r="O206" s="1"/>
      <c r="P206" s="1"/>
      <c r="Q206" s="1"/>
      <c r="R206" s="1"/>
      <c r="S206" s="1">
        <v>0</v>
      </c>
      <c r="T206" s="1"/>
      <c r="U206" s="1" t="s">
        <v>3</v>
      </c>
      <c r="V206" s="1">
        <v>0</v>
      </c>
      <c r="W206" s="1"/>
      <c r="X206" s="1"/>
      <c r="Y206" s="1"/>
      <c r="Z206" s="1"/>
      <c r="AA206" s="1"/>
      <c r="AB206" s="1" t="s">
        <v>3</v>
      </c>
      <c r="AC206" s="1" t="s">
        <v>3</v>
      </c>
      <c r="AD206" s="1" t="s">
        <v>3</v>
      </c>
      <c r="AE206" s="1" t="s">
        <v>3</v>
      </c>
      <c r="AF206" s="1" t="s">
        <v>3</v>
      </c>
      <c r="AG206" s="1" t="s">
        <v>3</v>
      </c>
      <c r="AH206" s="1"/>
      <c r="AI206" s="1"/>
      <c r="AJ206" s="1"/>
      <c r="AK206" s="1"/>
      <c r="AL206" s="1"/>
      <c r="AM206" s="1"/>
      <c r="AN206" s="1"/>
      <c r="AO206" s="1"/>
      <c r="AP206" s="1" t="s">
        <v>3</v>
      </c>
      <c r="AQ206" s="1" t="s">
        <v>3</v>
      </c>
      <c r="AR206" s="1" t="s">
        <v>3</v>
      </c>
      <c r="AS206" s="1"/>
      <c r="AT206" s="1"/>
      <c r="AU206" s="1"/>
      <c r="AV206" s="1"/>
      <c r="AW206" s="1"/>
      <c r="AX206" s="1"/>
      <c r="AY206" s="1"/>
      <c r="AZ206" s="1" t="s">
        <v>3</v>
      </c>
      <c r="BA206" s="1"/>
      <c r="BB206" s="1" t="s">
        <v>3</v>
      </c>
      <c r="BC206" s="1" t="s">
        <v>3</v>
      </c>
      <c r="BD206" s="1" t="s">
        <v>3</v>
      </c>
      <c r="BE206" s="1" t="s">
        <v>3</v>
      </c>
      <c r="BF206" s="1" t="s">
        <v>3</v>
      </c>
      <c r="BG206" s="1" t="s">
        <v>3</v>
      </c>
      <c r="BH206" s="1" t="s">
        <v>3</v>
      </c>
      <c r="BI206" s="1" t="s">
        <v>3</v>
      </c>
      <c r="BJ206" s="1" t="s">
        <v>3</v>
      </c>
      <c r="BK206" s="1" t="s">
        <v>3</v>
      </c>
      <c r="BL206" s="1" t="s">
        <v>3</v>
      </c>
      <c r="BM206" s="1" t="s">
        <v>3</v>
      </c>
      <c r="BN206" s="1" t="s">
        <v>3</v>
      </c>
      <c r="BO206" s="1" t="s">
        <v>3</v>
      </c>
      <c r="BP206" s="1" t="s">
        <v>3</v>
      </c>
      <c r="BQ206" s="1"/>
      <c r="BR206" s="1"/>
      <c r="BS206" s="1"/>
      <c r="BT206" s="1"/>
      <c r="BU206" s="1"/>
      <c r="BV206" s="1"/>
      <c r="BW206" s="1"/>
      <c r="BX206" s="1">
        <v>0</v>
      </c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>
        <v>0</v>
      </c>
    </row>
    <row r="208" spans="1:206" x14ac:dyDescent="0.2">
      <c r="A208" s="2">
        <v>52</v>
      </c>
      <c r="B208" s="2">
        <f t="shared" ref="B208:G208" si="139">B254</f>
        <v>1</v>
      </c>
      <c r="C208" s="2">
        <f t="shared" si="139"/>
        <v>5</v>
      </c>
      <c r="D208" s="2">
        <f t="shared" si="139"/>
        <v>206</v>
      </c>
      <c r="E208" s="2">
        <f t="shared" si="139"/>
        <v>0</v>
      </c>
      <c r="F208" s="2" t="str">
        <f t="shared" si="139"/>
        <v>Новый подраздел</v>
      </c>
      <c r="G208" s="2" t="str">
        <f t="shared" si="139"/>
        <v>Индивидуальный тепловой пункт</v>
      </c>
      <c r="H208" s="2"/>
      <c r="I208" s="2"/>
      <c r="J208" s="2"/>
      <c r="K208" s="2"/>
      <c r="L208" s="2"/>
      <c r="M208" s="2"/>
      <c r="N208" s="2"/>
      <c r="O208" s="2">
        <f t="shared" ref="O208:AT208" si="140">O254</f>
        <v>106735.73</v>
      </c>
      <c r="P208" s="2">
        <f t="shared" si="140"/>
        <v>2890.67</v>
      </c>
      <c r="Q208" s="2">
        <f t="shared" si="140"/>
        <v>16746.2</v>
      </c>
      <c r="R208" s="2">
        <f t="shared" si="140"/>
        <v>10618.02</v>
      </c>
      <c r="S208" s="2">
        <f t="shared" si="140"/>
        <v>87098.86</v>
      </c>
      <c r="T208" s="2">
        <f t="shared" si="140"/>
        <v>0</v>
      </c>
      <c r="U208" s="2">
        <f t="shared" si="140"/>
        <v>134.011</v>
      </c>
      <c r="V208" s="2">
        <f t="shared" si="140"/>
        <v>0</v>
      </c>
      <c r="W208" s="2">
        <f t="shared" si="140"/>
        <v>0</v>
      </c>
      <c r="X208" s="2">
        <f t="shared" si="140"/>
        <v>60969.18</v>
      </c>
      <c r="Y208" s="2">
        <f t="shared" si="140"/>
        <v>8709.8799999999992</v>
      </c>
      <c r="Z208" s="2">
        <f t="shared" si="140"/>
        <v>0</v>
      </c>
      <c r="AA208" s="2">
        <f t="shared" si="140"/>
        <v>0</v>
      </c>
      <c r="AB208" s="2">
        <f t="shared" si="140"/>
        <v>106735.73</v>
      </c>
      <c r="AC208" s="2">
        <f t="shared" si="140"/>
        <v>2890.67</v>
      </c>
      <c r="AD208" s="2">
        <f t="shared" si="140"/>
        <v>16746.2</v>
      </c>
      <c r="AE208" s="2">
        <f t="shared" si="140"/>
        <v>10618.02</v>
      </c>
      <c r="AF208" s="2">
        <f t="shared" si="140"/>
        <v>87098.86</v>
      </c>
      <c r="AG208" s="2">
        <f t="shared" si="140"/>
        <v>0</v>
      </c>
      <c r="AH208" s="2">
        <f t="shared" si="140"/>
        <v>134.011</v>
      </c>
      <c r="AI208" s="2">
        <f t="shared" si="140"/>
        <v>0</v>
      </c>
      <c r="AJ208" s="2">
        <f t="shared" si="140"/>
        <v>0</v>
      </c>
      <c r="AK208" s="2">
        <f t="shared" si="140"/>
        <v>60969.18</v>
      </c>
      <c r="AL208" s="2">
        <f t="shared" si="140"/>
        <v>8709.8799999999992</v>
      </c>
      <c r="AM208" s="2">
        <f t="shared" si="140"/>
        <v>0</v>
      </c>
      <c r="AN208" s="2">
        <f t="shared" si="140"/>
        <v>0</v>
      </c>
      <c r="AO208" s="2">
        <f t="shared" si="140"/>
        <v>0</v>
      </c>
      <c r="AP208" s="2">
        <f t="shared" si="140"/>
        <v>0</v>
      </c>
      <c r="AQ208" s="2">
        <f t="shared" si="140"/>
        <v>0</v>
      </c>
      <c r="AR208" s="2">
        <f t="shared" si="140"/>
        <v>187882.23999999999</v>
      </c>
      <c r="AS208" s="2">
        <f t="shared" si="140"/>
        <v>0</v>
      </c>
      <c r="AT208" s="2">
        <f t="shared" si="140"/>
        <v>0</v>
      </c>
      <c r="AU208" s="2">
        <f t="shared" ref="AU208:BZ208" si="141">AU254</f>
        <v>187882.23999999999</v>
      </c>
      <c r="AV208" s="2">
        <f t="shared" si="141"/>
        <v>2890.67</v>
      </c>
      <c r="AW208" s="2">
        <f t="shared" si="141"/>
        <v>2890.67</v>
      </c>
      <c r="AX208" s="2">
        <f t="shared" si="141"/>
        <v>0</v>
      </c>
      <c r="AY208" s="2">
        <f t="shared" si="141"/>
        <v>2890.67</v>
      </c>
      <c r="AZ208" s="2">
        <f t="shared" si="141"/>
        <v>0</v>
      </c>
      <c r="BA208" s="2">
        <f t="shared" si="141"/>
        <v>0</v>
      </c>
      <c r="BB208" s="2">
        <f t="shared" si="141"/>
        <v>0</v>
      </c>
      <c r="BC208" s="2">
        <f t="shared" si="141"/>
        <v>0</v>
      </c>
      <c r="BD208" s="2">
        <f t="shared" si="141"/>
        <v>0</v>
      </c>
      <c r="BE208" s="2">
        <f t="shared" si="141"/>
        <v>0</v>
      </c>
      <c r="BF208" s="2">
        <f t="shared" si="141"/>
        <v>0</v>
      </c>
      <c r="BG208" s="2">
        <f t="shared" si="141"/>
        <v>0</v>
      </c>
      <c r="BH208" s="2">
        <f t="shared" si="141"/>
        <v>0</v>
      </c>
      <c r="BI208" s="2">
        <f t="shared" si="141"/>
        <v>0</v>
      </c>
      <c r="BJ208" s="2">
        <f t="shared" si="141"/>
        <v>0</v>
      </c>
      <c r="BK208" s="2">
        <f t="shared" si="141"/>
        <v>0</v>
      </c>
      <c r="BL208" s="2">
        <f t="shared" si="141"/>
        <v>0</v>
      </c>
      <c r="BM208" s="2">
        <f t="shared" si="141"/>
        <v>0</v>
      </c>
      <c r="BN208" s="2">
        <f t="shared" si="141"/>
        <v>0</v>
      </c>
      <c r="BO208" s="2">
        <f t="shared" si="141"/>
        <v>0</v>
      </c>
      <c r="BP208" s="2">
        <f t="shared" si="141"/>
        <v>0</v>
      </c>
      <c r="BQ208" s="2">
        <f t="shared" si="141"/>
        <v>0</v>
      </c>
      <c r="BR208" s="2">
        <f t="shared" si="141"/>
        <v>0</v>
      </c>
      <c r="BS208" s="2">
        <f t="shared" si="141"/>
        <v>0</v>
      </c>
      <c r="BT208" s="2">
        <f t="shared" si="141"/>
        <v>0</v>
      </c>
      <c r="BU208" s="2">
        <f t="shared" si="141"/>
        <v>0</v>
      </c>
      <c r="BV208" s="2">
        <f t="shared" si="141"/>
        <v>0</v>
      </c>
      <c r="BW208" s="2">
        <f t="shared" si="141"/>
        <v>0</v>
      </c>
      <c r="BX208" s="2">
        <f t="shared" si="141"/>
        <v>0</v>
      </c>
      <c r="BY208" s="2">
        <f t="shared" si="141"/>
        <v>0</v>
      </c>
      <c r="BZ208" s="2">
        <f t="shared" si="141"/>
        <v>0</v>
      </c>
      <c r="CA208" s="2">
        <f t="shared" ref="CA208:DF208" si="142">CA254</f>
        <v>187882.23999999999</v>
      </c>
      <c r="CB208" s="2">
        <f t="shared" si="142"/>
        <v>0</v>
      </c>
      <c r="CC208" s="2">
        <f t="shared" si="142"/>
        <v>0</v>
      </c>
      <c r="CD208" s="2">
        <f t="shared" si="142"/>
        <v>187882.23999999999</v>
      </c>
      <c r="CE208" s="2">
        <f t="shared" si="142"/>
        <v>2890.67</v>
      </c>
      <c r="CF208" s="2">
        <f t="shared" si="142"/>
        <v>2890.67</v>
      </c>
      <c r="CG208" s="2">
        <f t="shared" si="142"/>
        <v>0</v>
      </c>
      <c r="CH208" s="2">
        <f t="shared" si="142"/>
        <v>2890.67</v>
      </c>
      <c r="CI208" s="2">
        <f t="shared" si="142"/>
        <v>0</v>
      </c>
      <c r="CJ208" s="2">
        <f t="shared" si="142"/>
        <v>0</v>
      </c>
      <c r="CK208" s="2">
        <f t="shared" si="142"/>
        <v>0</v>
      </c>
      <c r="CL208" s="2">
        <f t="shared" si="142"/>
        <v>0</v>
      </c>
      <c r="CM208" s="2">
        <f t="shared" si="142"/>
        <v>0</v>
      </c>
      <c r="CN208" s="2">
        <f t="shared" si="142"/>
        <v>0</v>
      </c>
      <c r="CO208" s="2">
        <f t="shared" si="142"/>
        <v>0</v>
      </c>
      <c r="CP208" s="2">
        <f t="shared" si="142"/>
        <v>0</v>
      </c>
      <c r="CQ208" s="2">
        <f t="shared" si="142"/>
        <v>0</v>
      </c>
      <c r="CR208" s="2">
        <f t="shared" si="142"/>
        <v>0</v>
      </c>
      <c r="CS208" s="2">
        <f t="shared" si="142"/>
        <v>0</v>
      </c>
      <c r="CT208" s="2">
        <f t="shared" si="142"/>
        <v>0</v>
      </c>
      <c r="CU208" s="2">
        <f t="shared" si="142"/>
        <v>0</v>
      </c>
      <c r="CV208" s="2">
        <f t="shared" si="142"/>
        <v>0</v>
      </c>
      <c r="CW208" s="2">
        <f t="shared" si="142"/>
        <v>0</v>
      </c>
      <c r="CX208" s="2">
        <f t="shared" si="142"/>
        <v>0</v>
      </c>
      <c r="CY208" s="2">
        <f t="shared" si="142"/>
        <v>0</v>
      </c>
      <c r="CZ208" s="2">
        <f t="shared" si="142"/>
        <v>0</v>
      </c>
      <c r="DA208" s="2">
        <f t="shared" si="142"/>
        <v>0</v>
      </c>
      <c r="DB208" s="2">
        <f t="shared" si="142"/>
        <v>0</v>
      </c>
      <c r="DC208" s="2">
        <f t="shared" si="142"/>
        <v>0</v>
      </c>
      <c r="DD208" s="2">
        <f t="shared" si="142"/>
        <v>0</v>
      </c>
      <c r="DE208" s="2">
        <f t="shared" si="142"/>
        <v>0</v>
      </c>
      <c r="DF208" s="2">
        <f t="shared" si="142"/>
        <v>0</v>
      </c>
      <c r="DG208" s="3">
        <f t="shared" ref="DG208:EL208" si="143">DG254</f>
        <v>0</v>
      </c>
      <c r="DH208" s="3">
        <f t="shared" si="143"/>
        <v>0</v>
      </c>
      <c r="DI208" s="3">
        <f t="shared" si="143"/>
        <v>0</v>
      </c>
      <c r="DJ208" s="3">
        <f t="shared" si="143"/>
        <v>0</v>
      </c>
      <c r="DK208" s="3">
        <f t="shared" si="143"/>
        <v>0</v>
      </c>
      <c r="DL208" s="3">
        <f t="shared" si="143"/>
        <v>0</v>
      </c>
      <c r="DM208" s="3">
        <f t="shared" si="143"/>
        <v>0</v>
      </c>
      <c r="DN208" s="3">
        <f t="shared" si="143"/>
        <v>0</v>
      </c>
      <c r="DO208" s="3">
        <f t="shared" si="143"/>
        <v>0</v>
      </c>
      <c r="DP208" s="3">
        <f t="shared" si="143"/>
        <v>0</v>
      </c>
      <c r="DQ208" s="3">
        <f t="shared" si="143"/>
        <v>0</v>
      </c>
      <c r="DR208" s="3">
        <f t="shared" si="143"/>
        <v>0</v>
      </c>
      <c r="DS208" s="3">
        <f t="shared" si="143"/>
        <v>0</v>
      </c>
      <c r="DT208" s="3">
        <f t="shared" si="143"/>
        <v>0</v>
      </c>
      <c r="DU208" s="3">
        <f t="shared" si="143"/>
        <v>0</v>
      </c>
      <c r="DV208" s="3">
        <f t="shared" si="143"/>
        <v>0</v>
      </c>
      <c r="DW208" s="3">
        <f t="shared" si="143"/>
        <v>0</v>
      </c>
      <c r="DX208" s="3">
        <f t="shared" si="143"/>
        <v>0</v>
      </c>
      <c r="DY208" s="3">
        <f t="shared" si="143"/>
        <v>0</v>
      </c>
      <c r="DZ208" s="3">
        <f t="shared" si="143"/>
        <v>0</v>
      </c>
      <c r="EA208" s="3">
        <f t="shared" si="143"/>
        <v>0</v>
      </c>
      <c r="EB208" s="3">
        <f t="shared" si="143"/>
        <v>0</v>
      </c>
      <c r="EC208" s="3">
        <f t="shared" si="143"/>
        <v>0</v>
      </c>
      <c r="ED208" s="3">
        <f t="shared" si="143"/>
        <v>0</v>
      </c>
      <c r="EE208" s="3">
        <f t="shared" si="143"/>
        <v>0</v>
      </c>
      <c r="EF208" s="3">
        <f t="shared" si="143"/>
        <v>0</v>
      </c>
      <c r="EG208" s="3">
        <f t="shared" si="143"/>
        <v>0</v>
      </c>
      <c r="EH208" s="3">
        <f t="shared" si="143"/>
        <v>0</v>
      </c>
      <c r="EI208" s="3">
        <f t="shared" si="143"/>
        <v>0</v>
      </c>
      <c r="EJ208" s="3">
        <f t="shared" si="143"/>
        <v>0</v>
      </c>
      <c r="EK208" s="3">
        <f t="shared" si="143"/>
        <v>0</v>
      </c>
      <c r="EL208" s="3">
        <f t="shared" si="143"/>
        <v>0</v>
      </c>
      <c r="EM208" s="3">
        <f t="shared" ref="EM208:FR208" si="144">EM254</f>
        <v>0</v>
      </c>
      <c r="EN208" s="3">
        <f t="shared" si="144"/>
        <v>0</v>
      </c>
      <c r="EO208" s="3">
        <f t="shared" si="144"/>
        <v>0</v>
      </c>
      <c r="EP208" s="3">
        <f t="shared" si="144"/>
        <v>0</v>
      </c>
      <c r="EQ208" s="3">
        <f t="shared" si="144"/>
        <v>0</v>
      </c>
      <c r="ER208" s="3">
        <f t="shared" si="144"/>
        <v>0</v>
      </c>
      <c r="ES208" s="3">
        <f t="shared" si="144"/>
        <v>0</v>
      </c>
      <c r="ET208" s="3">
        <f t="shared" si="144"/>
        <v>0</v>
      </c>
      <c r="EU208" s="3">
        <f t="shared" si="144"/>
        <v>0</v>
      </c>
      <c r="EV208" s="3">
        <f t="shared" si="144"/>
        <v>0</v>
      </c>
      <c r="EW208" s="3">
        <f t="shared" si="144"/>
        <v>0</v>
      </c>
      <c r="EX208" s="3">
        <f t="shared" si="144"/>
        <v>0</v>
      </c>
      <c r="EY208" s="3">
        <f t="shared" si="144"/>
        <v>0</v>
      </c>
      <c r="EZ208" s="3">
        <f t="shared" si="144"/>
        <v>0</v>
      </c>
      <c r="FA208" s="3">
        <f t="shared" si="144"/>
        <v>0</v>
      </c>
      <c r="FB208" s="3">
        <f t="shared" si="144"/>
        <v>0</v>
      </c>
      <c r="FC208" s="3">
        <f t="shared" si="144"/>
        <v>0</v>
      </c>
      <c r="FD208" s="3">
        <f t="shared" si="144"/>
        <v>0</v>
      </c>
      <c r="FE208" s="3">
        <f t="shared" si="144"/>
        <v>0</v>
      </c>
      <c r="FF208" s="3">
        <f t="shared" si="144"/>
        <v>0</v>
      </c>
      <c r="FG208" s="3">
        <f t="shared" si="144"/>
        <v>0</v>
      </c>
      <c r="FH208" s="3">
        <f t="shared" si="144"/>
        <v>0</v>
      </c>
      <c r="FI208" s="3">
        <f t="shared" si="144"/>
        <v>0</v>
      </c>
      <c r="FJ208" s="3">
        <f t="shared" si="144"/>
        <v>0</v>
      </c>
      <c r="FK208" s="3">
        <f t="shared" si="144"/>
        <v>0</v>
      </c>
      <c r="FL208" s="3">
        <f t="shared" si="144"/>
        <v>0</v>
      </c>
      <c r="FM208" s="3">
        <f t="shared" si="144"/>
        <v>0</v>
      </c>
      <c r="FN208" s="3">
        <f t="shared" si="144"/>
        <v>0</v>
      </c>
      <c r="FO208" s="3">
        <f t="shared" si="144"/>
        <v>0</v>
      </c>
      <c r="FP208" s="3">
        <f t="shared" si="144"/>
        <v>0</v>
      </c>
      <c r="FQ208" s="3">
        <f t="shared" si="144"/>
        <v>0</v>
      </c>
      <c r="FR208" s="3">
        <f t="shared" si="144"/>
        <v>0</v>
      </c>
      <c r="FS208" s="3">
        <f t="shared" ref="FS208:GX208" si="145">FS254</f>
        <v>0</v>
      </c>
      <c r="FT208" s="3">
        <f t="shared" si="145"/>
        <v>0</v>
      </c>
      <c r="FU208" s="3">
        <f t="shared" si="145"/>
        <v>0</v>
      </c>
      <c r="FV208" s="3">
        <f t="shared" si="145"/>
        <v>0</v>
      </c>
      <c r="FW208" s="3">
        <f t="shared" si="145"/>
        <v>0</v>
      </c>
      <c r="FX208" s="3">
        <f t="shared" si="145"/>
        <v>0</v>
      </c>
      <c r="FY208" s="3">
        <f t="shared" si="145"/>
        <v>0</v>
      </c>
      <c r="FZ208" s="3">
        <f t="shared" si="145"/>
        <v>0</v>
      </c>
      <c r="GA208" s="3">
        <f t="shared" si="145"/>
        <v>0</v>
      </c>
      <c r="GB208" s="3">
        <f t="shared" si="145"/>
        <v>0</v>
      </c>
      <c r="GC208" s="3">
        <f t="shared" si="145"/>
        <v>0</v>
      </c>
      <c r="GD208" s="3">
        <f t="shared" si="145"/>
        <v>0</v>
      </c>
      <c r="GE208" s="3">
        <f t="shared" si="145"/>
        <v>0</v>
      </c>
      <c r="GF208" s="3">
        <f t="shared" si="145"/>
        <v>0</v>
      </c>
      <c r="GG208" s="3">
        <f t="shared" si="145"/>
        <v>0</v>
      </c>
      <c r="GH208" s="3">
        <f t="shared" si="145"/>
        <v>0</v>
      </c>
      <c r="GI208" s="3">
        <f t="shared" si="145"/>
        <v>0</v>
      </c>
      <c r="GJ208" s="3">
        <f t="shared" si="145"/>
        <v>0</v>
      </c>
      <c r="GK208" s="3">
        <f t="shared" si="145"/>
        <v>0</v>
      </c>
      <c r="GL208" s="3">
        <f t="shared" si="145"/>
        <v>0</v>
      </c>
      <c r="GM208" s="3">
        <f t="shared" si="145"/>
        <v>0</v>
      </c>
      <c r="GN208" s="3">
        <f t="shared" si="145"/>
        <v>0</v>
      </c>
      <c r="GO208" s="3">
        <f t="shared" si="145"/>
        <v>0</v>
      </c>
      <c r="GP208" s="3">
        <f t="shared" si="145"/>
        <v>0</v>
      </c>
      <c r="GQ208" s="3">
        <f t="shared" si="145"/>
        <v>0</v>
      </c>
      <c r="GR208" s="3">
        <f t="shared" si="145"/>
        <v>0</v>
      </c>
      <c r="GS208" s="3">
        <f t="shared" si="145"/>
        <v>0</v>
      </c>
      <c r="GT208" s="3">
        <f t="shared" si="145"/>
        <v>0</v>
      </c>
      <c r="GU208" s="3">
        <f t="shared" si="145"/>
        <v>0</v>
      </c>
      <c r="GV208" s="3">
        <f t="shared" si="145"/>
        <v>0</v>
      </c>
      <c r="GW208" s="3">
        <f t="shared" si="145"/>
        <v>0</v>
      </c>
      <c r="GX208" s="3">
        <f t="shared" si="145"/>
        <v>0</v>
      </c>
    </row>
    <row r="210" spans="1:245" x14ac:dyDescent="0.2">
      <c r="A210">
        <v>19</v>
      </c>
      <c r="B210">
        <v>1</v>
      </c>
      <c r="F210" t="s">
        <v>3</v>
      </c>
      <c r="G210" t="s">
        <v>154</v>
      </c>
      <c r="H210" t="s">
        <v>3</v>
      </c>
      <c r="AA210">
        <v>1</v>
      </c>
      <c r="IK210">
        <v>0</v>
      </c>
    </row>
    <row r="211" spans="1:245" x14ac:dyDescent="0.2">
      <c r="A211">
        <v>19</v>
      </c>
      <c r="B211">
        <v>1</v>
      </c>
      <c r="F211" t="s">
        <v>3</v>
      </c>
      <c r="G211" t="s">
        <v>155</v>
      </c>
      <c r="H211" t="s">
        <v>3</v>
      </c>
      <c r="AA211">
        <v>1</v>
      </c>
      <c r="IK211">
        <v>0</v>
      </c>
    </row>
    <row r="212" spans="1:245" x14ac:dyDescent="0.2">
      <c r="A212">
        <v>17</v>
      </c>
      <c r="B212">
        <v>1</v>
      </c>
      <c r="D212">
        <f>ROW(EtalonRes!A67)</f>
        <v>67</v>
      </c>
      <c r="E212" t="s">
        <v>3</v>
      </c>
      <c r="F212" t="s">
        <v>156</v>
      </c>
      <c r="G212" t="s">
        <v>157</v>
      </c>
      <c r="H212" t="s">
        <v>32</v>
      </c>
      <c r="I212">
        <f>ROUND(ROUND((1+1)*4,9),9)</f>
        <v>8</v>
      </c>
      <c r="J212">
        <v>0</v>
      </c>
      <c r="K212">
        <f>ROUND(ROUND((1+1)*4,9),9)</f>
        <v>8</v>
      </c>
      <c r="O212">
        <f t="shared" ref="O212:O232" si="146">ROUND(CP212,2)</f>
        <v>93235.92</v>
      </c>
      <c r="P212">
        <f t="shared" ref="P212:P232" si="147">ROUND(CQ212*I212,2)</f>
        <v>1044.6400000000001</v>
      </c>
      <c r="Q212">
        <f t="shared" ref="Q212:Q232" si="148">ROUND(CR212*I212,2)</f>
        <v>0</v>
      </c>
      <c r="R212">
        <f t="shared" ref="R212:R232" si="149">ROUND(CS212*I212,2)</f>
        <v>0</v>
      </c>
      <c r="S212">
        <f t="shared" ref="S212:S232" si="150">ROUND(CT212*I212,2)</f>
        <v>92191.28</v>
      </c>
      <c r="T212">
        <f t="shared" ref="T212:T232" si="151">ROUND(CU212*I212,2)</f>
        <v>0</v>
      </c>
      <c r="U212">
        <f t="shared" ref="U212:U232" si="152">CV212*I212</f>
        <v>138.72</v>
      </c>
      <c r="V212">
        <f t="shared" ref="V212:V232" si="153">CW212*I212</f>
        <v>0</v>
      </c>
      <c r="W212">
        <f t="shared" ref="W212:W232" si="154">ROUND(CX212*I212,2)</f>
        <v>0</v>
      </c>
      <c r="X212">
        <f t="shared" ref="X212:X232" si="155">ROUND(CY212,2)</f>
        <v>64533.9</v>
      </c>
      <c r="Y212">
        <f t="shared" ref="Y212:Y232" si="156">ROUND(CZ212,2)</f>
        <v>9219.1299999999992</v>
      </c>
      <c r="AA212">
        <v>-1</v>
      </c>
      <c r="AB212">
        <f t="shared" ref="AB212:AB232" si="157">ROUND((AC212+AD212+AF212),6)</f>
        <v>11654.49</v>
      </c>
      <c r="AC212">
        <f>ROUND((ES212),6)</f>
        <v>130.58000000000001</v>
      </c>
      <c r="AD212">
        <f>ROUND((((ET212)-(EU212))+AE212),6)</f>
        <v>0</v>
      </c>
      <c r="AE212">
        <f>ROUND((EU212),6)</f>
        <v>0</v>
      </c>
      <c r="AF212">
        <f>ROUND((EV212),6)</f>
        <v>11523.91</v>
      </c>
      <c r="AG212">
        <f t="shared" ref="AG212:AG232" si="158">ROUND((AP212),6)</f>
        <v>0</v>
      </c>
      <c r="AH212">
        <f>(EW212)</f>
        <v>17.34</v>
      </c>
      <c r="AI212">
        <f>(EX212)</f>
        <v>0</v>
      </c>
      <c r="AJ212">
        <f t="shared" ref="AJ212:AJ232" si="159">(AS212)</f>
        <v>0</v>
      </c>
      <c r="AK212">
        <v>11654.49</v>
      </c>
      <c r="AL212">
        <v>130.58000000000001</v>
      </c>
      <c r="AM212">
        <v>0</v>
      </c>
      <c r="AN212">
        <v>0</v>
      </c>
      <c r="AO212">
        <v>11523.91</v>
      </c>
      <c r="AP212">
        <v>0</v>
      </c>
      <c r="AQ212">
        <v>17.34</v>
      </c>
      <c r="AR212">
        <v>0</v>
      </c>
      <c r="AS212">
        <v>0</v>
      </c>
      <c r="AT212">
        <v>70</v>
      </c>
      <c r="AU212">
        <v>10</v>
      </c>
      <c r="AV212">
        <v>1</v>
      </c>
      <c r="AW212">
        <v>1</v>
      </c>
      <c r="AZ212">
        <v>1</v>
      </c>
      <c r="BA212">
        <v>1</v>
      </c>
      <c r="BB212">
        <v>1</v>
      </c>
      <c r="BC212">
        <v>1</v>
      </c>
      <c r="BD212" t="s">
        <v>3</v>
      </c>
      <c r="BE212" t="s">
        <v>3</v>
      </c>
      <c r="BF212" t="s">
        <v>3</v>
      </c>
      <c r="BG212" t="s">
        <v>3</v>
      </c>
      <c r="BH212">
        <v>0</v>
      </c>
      <c r="BI212">
        <v>4</v>
      </c>
      <c r="BJ212" t="s">
        <v>158</v>
      </c>
      <c r="BM212">
        <v>0</v>
      </c>
      <c r="BN212">
        <v>0</v>
      </c>
      <c r="BO212" t="s">
        <v>3</v>
      </c>
      <c r="BP212">
        <v>0</v>
      </c>
      <c r="BQ212">
        <v>1</v>
      </c>
      <c r="BR212">
        <v>0</v>
      </c>
      <c r="BS212">
        <v>1</v>
      </c>
      <c r="BT212">
        <v>1</v>
      </c>
      <c r="BU212">
        <v>1</v>
      </c>
      <c r="BV212">
        <v>1</v>
      </c>
      <c r="BW212">
        <v>1</v>
      </c>
      <c r="BX212">
        <v>1</v>
      </c>
      <c r="BY212" t="s">
        <v>3</v>
      </c>
      <c r="BZ212">
        <v>70</v>
      </c>
      <c r="CA212">
        <v>10</v>
      </c>
      <c r="CB212" t="s">
        <v>3</v>
      </c>
      <c r="CE212">
        <v>0</v>
      </c>
      <c r="CF212">
        <v>0</v>
      </c>
      <c r="CG212">
        <v>0</v>
      </c>
      <c r="CM212">
        <v>0</v>
      </c>
      <c r="CN212" t="s">
        <v>3</v>
      </c>
      <c r="CO212">
        <v>0</v>
      </c>
      <c r="CP212">
        <f t="shared" ref="CP212:CP232" si="160">(P212+Q212+S212)</f>
        <v>93235.92</v>
      </c>
      <c r="CQ212">
        <f t="shared" ref="CQ212:CQ230" si="161">(AC212*BC212*AW212)</f>
        <v>130.58000000000001</v>
      </c>
      <c r="CR212">
        <f>((((ET212)*BB212-(EU212)*BS212)+AE212*BS212)*AV212)</f>
        <v>0</v>
      </c>
      <c r="CS212">
        <f t="shared" ref="CS212:CS230" si="162">(AE212*BS212*AV212)</f>
        <v>0</v>
      </c>
      <c r="CT212">
        <f t="shared" ref="CT212:CT230" si="163">(AF212*BA212*AV212)</f>
        <v>11523.91</v>
      </c>
      <c r="CU212">
        <f t="shared" ref="CU212:CU232" si="164">AG212</f>
        <v>0</v>
      </c>
      <c r="CV212">
        <f t="shared" ref="CV212:CV230" si="165">(AH212*AV212)</f>
        <v>17.34</v>
      </c>
      <c r="CW212">
        <f t="shared" ref="CW212:CW232" si="166">AI212</f>
        <v>0</v>
      </c>
      <c r="CX212">
        <f t="shared" ref="CX212:CX232" si="167">AJ212</f>
        <v>0</v>
      </c>
      <c r="CY212">
        <f t="shared" ref="CY212:CY230" si="168">((S212*BZ212)/100)</f>
        <v>64533.895999999993</v>
      </c>
      <c r="CZ212">
        <f t="shared" ref="CZ212:CZ230" si="169">((S212*CA212)/100)</f>
        <v>9219.1280000000006</v>
      </c>
      <c r="DC212" t="s">
        <v>3</v>
      </c>
      <c r="DD212" t="s">
        <v>3</v>
      </c>
      <c r="DE212" t="s">
        <v>3</v>
      </c>
      <c r="DF212" t="s">
        <v>3</v>
      </c>
      <c r="DG212" t="s">
        <v>3</v>
      </c>
      <c r="DH212" t="s">
        <v>3</v>
      </c>
      <c r="DI212" t="s">
        <v>3</v>
      </c>
      <c r="DJ212" t="s">
        <v>3</v>
      </c>
      <c r="DK212" t="s">
        <v>3</v>
      </c>
      <c r="DL212" t="s">
        <v>3</v>
      </c>
      <c r="DM212" t="s">
        <v>3</v>
      </c>
      <c r="DN212">
        <v>0</v>
      </c>
      <c r="DO212">
        <v>0</v>
      </c>
      <c r="DP212">
        <v>1</v>
      </c>
      <c r="DQ212">
        <v>1</v>
      </c>
      <c r="DU212">
        <v>16987630</v>
      </c>
      <c r="DV212" t="s">
        <v>32</v>
      </c>
      <c r="DW212" t="s">
        <v>32</v>
      </c>
      <c r="DX212">
        <v>1</v>
      </c>
      <c r="DZ212" t="s">
        <v>3</v>
      </c>
      <c r="EA212" t="s">
        <v>3</v>
      </c>
      <c r="EB212" t="s">
        <v>3</v>
      </c>
      <c r="EC212" t="s">
        <v>3</v>
      </c>
      <c r="EE212">
        <v>1441815344</v>
      </c>
      <c r="EF212">
        <v>1</v>
      </c>
      <c r="EG212" t="s">
        <v>23</v>
      </c>
      <c r="EH212">
        <v>0</v>
      </c>
      <c r="EI212" t="s">
        <v>3</v>
      </c>
      <c r="EJ212">
        <v>4</v>
      </c>
      <c r="EK212">
        <v>0</v>
      </c>
      <c r="EL212" t="s">
        <v>24</v>
      </c>
      <c r="EM212" t="s">
        <v>25</v>
      </c>
      <c r="EO212" t="s">
        <v>3</v>
      </c>
      <c r="EQ212">
        <v>1024</v>
      </c>
      <c r="ER212">
        <v>11654.49</v>
      </c>
      <c r="ES212">
        <v>130.58000000000001</v>
      </c>
      <c r="ET212">
        <v>0</v>
      </c>
      <c r="EU212">
        <v>0</v>
      </c>
      <c r="EV212">
        <v>11523.91</v>
      </c>
      <c r="EW212">
        <v>17.34</v>
      </c>
      <c r="EX212">
        <v>0</v>
      </c>
      <c r="EY212">
        <v>0</v>
      </c>
      <c r="FQ212">
        <v>0</v>
      </c>
      <c r="FR212">
        <f t="shared" ref="FR212:FR232" si="170">ROUND(IF(BI212=3,GM212,0),2)</f>
        <v>0</v>
      </c>
      <c r="FS212">
        <v>0</v>
      </c>
      <c r="FX212">
        <v>70</v>
      </c>
      <c r="FY212">
        <v>10</v>
      </c>
      <c r="GA212" t="s">
        <v>3</v>
      </c>
      <c r="GD212">
        <v>0</v>
      </c>
      <c r="GF212">
        <v>-1480099811</v>
      </c>
      <c r="GG212">
        <v>2</v>
      </c>
      <c r="GH212">
        <v>1</v>
      </c>
      <c r="GI212">
        <v>-2</v>
      </c>
      <c r="GJ212">
        <v>0</v>
      </c>
      <c r="GK212">
        <f>ROUND(R212*(R12)/100,2)</f>
        <v>0</v>
      </c>
      <c r="GL212">
        <f t="shared" ref="GL212:GL232" si="171">ROUND(IF(AND(BH212=3,BI212=3,FS212&lt;&gt;0),P212,0),2)</f>
        <v>0</v>
      </c>
      <c r="GM212">
        <f t="shared" ref="GM212:GM232" si="172">ROUND(O212+X212+Y212+GK212,2)+GX212</f>
        <v>166988.95000000001</v>
      </c>
      <c r="GN212">
        <f t="shared" ref="GN212:GN232" si="173">IF(OR(BI212=0,BI212=1),GM212-GX212,0)</f>
        <v>0</v>
      </c>
      <c r="GO212">
        <f t="shared" ref="GO212:GO232" si="174">IF(BI212=2,GM212-GX212,0)</f>
        <v>0</v>
      </c>
      <c r="GP212">
        <f t="shared" ref="GP212:GP232" si="175">IF(BI212=4,GM212-GX212,0)</f>
        <v>166988.95000000001</v>
      </c>
      <c r="GR212">
        <v>0</v>
      </c>
      <c r="GS212">
        <v>3</v>
      </c>
      <c r="GT212">
        <v>0</v>
      </c>
      <c r="GU212" t="s">
        <v>3</v>
      </c>
      <c r="GV212">
        <f t="shared" ref="GV212:GV232" si="176">ROUND((GT212),6)</f>
        <v>0</v>
      </c>
      <c r="GW212">
        <v>1</v>
      </c>
      <c r="GX212">
        <f t="shared" ref="GX212:GX232" si="177">ROUND(HC212*I212,2)</f>
        <v>0</v>
      </c>
      <c r="HA212">
        <v>0</v>
      </c>
      <c r="HB212">
        <v>0</v>
      </c>
      <c r="HC212">
        <f t="shared" ref="HC212:HC232" si="178">GV212*GW212</f>
        <v>0</v>
      </c>
      <c r="HE212" t="s">
        <v>3</v>
      </c>
      <c r="HF212" t="s">
        <v>3</v>
      </c>
      <c r="HM212" t="s">
        <v>3</v>
      </c>
      <c r="HN212" t="s">
        <v>3</v>
      </c>
      <c r="HO212" t="s">
        <v>3</v>
      </c>
      <c r="HP212" t="s">
        <v>3</v>
      </c>
      <c r="HQ212" t="s">
        <v>3</v>
      </c>
      <c r="IK212">
        <v>0</v>
      </c>
    </row>
    <row r="213" spans="1:245" x14ac:dyDescent="0.2">
      <c r="A213">
        <v>17</v>
      </c>
      <c r="B213">
        <v>1</v>
      </c>
      <c r="D213">
        <f>ROW(EtalonRes!A70)</f>
        <v>70</v>
      </c>
      <c r="E213" t="s">
        <v>3</v>
      </c>
      <c r="F213" t="s">
        <v>159</v>
      </c>
      <c r="G213" t="s">
        <v>160</v>
      </c>
      <c r="H213" t="s">
        <v>32</v>
      </c>
      <c r="I213">
        <f>ROUND(ROUND((2+1)*4,9),9)</f>
        <v>12</v>
      </c>
      <c r="J213">
        <v>0</v>
      </c>
      <c r="K213">
        <f>ROUND(ROUND((2+1)*4,9),9)</f>
        <v>12</v>
      </c>
      <c r="O213">
        <f t="shared" si="146"/>
        <v>23548.32</v>
      </c>
      <c r="P213">
        <f t="shared" si="147"/>
        <v>30.24</v>
      </c>
      <c r="Q213">
        <f t="shared" si="148"/>
        <v>9381.6</v>
      </c>
      <c r="R213">
        <f t="shared" si="149"/>
        <v>5948.64</v>
      </c>
      <c r="S213">
        <f t="shared" si="150"/>
        <v>14136.48</v>
      </c>
      <c r="T213">
        <f t="shared" si="151"/>
        <v>0</v>
      </c>
      <c r="U213">
        <f t="shared" si="152"/>
        <v>20.16</v>
      </c>
      <c r="V213">
        <f t="shared" si="153"/>
        <v>0</v>
      </c>
      <c r="W213">
        <f t="shared" si="154"/>
        <v>0</v>
      </c>
      <c r="X213">
        <f t="shared" si="155"/>
        <v>9895.5400000000009</v>
      </c>
      <c r="Y213">
        <f t="shared" si="156"/>
        <v>1413.65</v>
      </c>
      <c r="AA213">
        <v>-1</v>
      </c>
      <c r="AB213">
        <f t="shared" si="157"/>
        <v>1962.36</v>
      </c>
      <c r="AC213">
        <f>ROUND(((ES213*4)),6)</f>
        <v>2.52</v>
      </c>
      <c r="AD213">
        <f>ROUND(((((ET213*4))-((EU213*4)))+AE213),6)</f>
        <v>781.8</v>
      </c>
      <c r="AE213">
        <f>ROUND(((EU213*4)),6)</f>
        <v>495.72</v>
      </c>
      <c r="AF213">
        <f>ROUND(((EV213*4)),6)</f>
        <v>1178.04</v>
      </c>
      <c r="AG213">
        <f t="shared" si="158"/>
        <v>0</v>
      </c>
      <c r="AH213">
        <f>((EW213*4))</f>
        <v>1.68</v>
      </c>
      <c r="AI213">
        <f>((EX213*4))</f>
        <v>0</v>
      </c>
      <c r="AJ213">
        <f t="shared" si="159"/>
        <v>0</v>
      </c>
      <c r="AK213">
        <v>490.59</v>
      </c>
      <c r="AL213">
        <v>0.63</v>
      </c>
      <c r="AM213">
        <v>195.45</v>
      </c>
      <c r="AN213">
        <v>123.93</v>
      </c>
      <c r="AO213">
        <v>294.51</v>
      </c>
      <c r="AP213">
        <v>0</v>
      </c>
      <c r="AQ213">
        <v>0.42</v>
      </c>
      <c r="AR213">
        <v>0</v>
      </c>
      <c r="AS213">
        <v>0</v>
      </c>
      <c r="AT213">
        <v>70</v>
      </c>
      <c r="AU213">
        <v>10</v>
      </c>
      <c r="AV213">
        <v>1</v>
      </c>
      <c r="AW213">
        <v>1</v>
      </c>
      <c r="AZ213">
        <v>1</v>
      </c>
      <c r="BA213">
        <v>1</v>
      </c>
      <c r="BB213">
        <v>1</v>
      </c>
      <c r="BC213">
        <v>1</v>
      </c>
      <c r="BD213" t="s">
        <v>3</v>
      </c>
      <c r="BE213" t="s">
        <v>3</v>
      </c>
      <c r="BF213" t="s">
        <v>3</v>
      </c>
      <c r="BG213" t="s">
        <v>3</v>
      </c>
      <c r="BH213">
        <v>0</v>
      </c>
      <c r="BI213">
        <v>4</v>
      </c>
      <c r="BJ213" t="s">
        <v>161</v>
      </c>
      <c r="BM213">
        <v>0</v>
      </c>
      <c r="BN213">
        <v>0</v>
      </c>
      <c r="BO213" t="s">
        <v>3</v>
      </c>
      <c r="BP213">
        <v>0</v>
      </c>
      <c r="BQ213">
        <v>1</v>
      </c>
      <c r="BR213">
        <v>0</v>
      </c>
      <c r="BS213">
        <v>1</v>
      </c>
      <c r="BT213">
        <v>1</v>
      </c>
      <c r="BU213">
        <v>1</v>
      </c>
      <c r="BV213">
        <v>1</v>
      </c>
      <c r="BW213">
        <v>1</v>
      </c>
      <c r="BX213">
        <v>1</v>
      </c>
      <c r="BY213" t="s">
        <v>3</v>
      </c>
      <c r="BZ213">
        <v>70</v>
      </c>
      <c r="CA213">
        <v>10</v>
      </c>
      <c r="CB213" t="s">
        <v>3</v>
      </c>
      <c r="CE213">
        <v>0</v>
      </c>
      <c r="CF213">
        <v>0</v>
      </c>
      <c r="CG213">
        <v>0</v>
      </c>
      <c r="CM213">
        <v>0</v>
      </c>
      <c r="CN213" t="s">
        <v>3</v>
      </c>
      <c r="CO213">
        <v>0</v>
      </c>
      <c r="CP213">
        <f t="shared" si="160"/>
        <v>23548.32</v>
      </c>
      <c r="CQ213">
        <f t="shared" si="161"/>
        <v>2.52</v>
      </c>
      <c r="CR213">
        <f>(((((ET213*4))*BB213-((EU213*4))*BS213)+AE213*BS213)*AV213)</f>
        <v>781.8</v>
      </c>
      <c r="CS213">
        <f t="shared" si="162"/>
        <v>495.72</v>
      </c>
      <c r="CT213">
        <f t="shared" si="163"/>
        <v>1178.04</v>
      </c>
      <c r="CU213">
        <f t="shared" si="164"/>
        <v>0</v>
      </c>
      <c r="CV213">
        <f t="shared" si="165"/>
        <v>1.68</v>
      </c>
      <c r="CW213">
        <f t="shared" si="166"/>
        <v>0</v>
      </c>
      <c r="CX213">
        <f t="shared" si="167"/>
        <v>0</v>
      </c>
      <c r="CY213">
        <f t="shared" si="168"/>
        <v>9895.5360000000001</v>
      </c>
      <c r="CZ213">
        <f t="shared" si="169"/>
        <v>1413.6479999999999</v>
      </c>
      <c r="DC213" t="s">
        <v>3</v>
      </c>
      <c r="DD213" t="s">
        <v>22</v>
      </c>
      <c r="DE213" t="s">
        <v>22</v>
      </c>
      <c r="DF213" t="s">
        <v>22</v>
      </c>
      <c r="DG213" t="s">
        <v>22</v>
      </c>
      <c r="DH213" t="s">
        <v>3</v>
      </c>
      <c r="DI213" t="s">
        <v>22</v>
      </c>
      <c r="DJ213" t="s">
        <v>22</v>
      </c>
      <c r="DK213" t="s">
        <v>3</v>
      </c>
      <c r="DL213" t="s">
        <v>3</v>
      </c>
      <c r="DM213" t="s">
        <v>3</v>
      </c>
      <c r="DN213">
        <v>0</v>
      </c>
      <c r="DO213">
        <v>0</v>
      </c>
      <c r="DP213">
        <v>1</v>
      </c>
      <c r="DQ213">
        <v>1</v>
      </c>
      <c r="DU213">
        <v>16987630</v>
      </c>
      <c r="DV213" t="s">
        <v>32</v>
      </c>
      <c r="DW213" t="s">
        <v>32</v>
      </c>
      <c r="DX213">
        <v>1</v>
      </c>
      <c r="DZ213" t="s">
        <v>3</v>
      </c>
      <c r="EA213" t="s">
        <v>3</v>
      </c>
      <c r="EB213" t="s">
        <v>3</v>
      </c>
      <c r="EC213" t="s">
        <v>3</v>
      </c>
      <c r="EE213">
        <v>1441815344</v>
      </c>
      <c r="EF213">
        <v>1</v>
      </c>
      <c r="EG213" t="s">
        <v>23</v>
      </c>
      <c r="EH213">
        <v>0</v>
      </c>
      <c r="EI213" t="s">
        <v>3</v>
      </c>
      <c r="EJ213">
        <v>4</v>
      </c>
      <c r="EK213">
        <v>0</v>
      </c>
      <c r="EL213" t="s">
        <v>24</v>
      </c>
      <c r="EM213" t="s">
        <v>25</v>
      </c>
      <c r="EO213" t="s">
        <v>3</v>
      </c>
      <c r="EQ213">
        <v>1311744</v>
      </c>
      <c r="ER213">
        <v>490.59</v>
      </c>
      <c r="ES213">
        <v>0.63</v>
      </c>
      <c r="ET213">
        <v>195.45</v>
      </c>
      <c r="EU213">
        <v>123.93</v>
      </c>
      <c r="EV213">
        <v>294.51</v>
      </c>
      <c r="EW213">
        <v>0.42</v>
      </c>
      <c r="EX213">
        <v>0</v>
      </c>
      <c r="EY213">
        <v>0</v>
      </c>
      <c r="FQ213">
        <v>0</v>
      </c>
      <c r="FR213">
        <f t="shared" si="170"/>
        <v>0</v>
      </c>
      <c r="FS213">
        <v>0</v>
      </c>
      <c r="FX213">
        <v>70</v>
      </c>
      <c r="FY213">
        <v>10</v>
      </c>
      <c r="GA213" t="s">
        <v>3</v>
      </c>
      <c r="GD213">
        <v>0</v>
      </c>
      <c r="GF213">
        <v>-364815351</v>
      </c>
      <c r="GG213">
        <v>2</v>
      </c>
      <c r="GH213">
        <v>1</v>
      </c>
      <c r="GI213">
        <v>-2</v>
      </c>
      <c r="GJ213">
        <v>0</v>
      </c>
      <c r="GK213">
        <f>ROUND(R213*(R12)/100,2)</f>
        <v>6424.53</v>
      </c>
      <c r="GL213">
        <f t="shared" si="171"/>
        <v>0</v>
      </c>
      <c r="GM213">
        <f t="shared" si="172"/>
        <v>41282.04</v>
      </c>
      <c r="GN213">
        <f t="shared" si="173"/>
        <v>0</v>
      </c>
      <c r="GO213">
        <f t="shared" si="174"/>
        <v>0</v>
      </c>
      <c r="GP213">
        <f t="shared" si="175"/>
        <v>41282.04</v>
      </c>
      <c r="GR213">
        <v>0</v>
      </c>
      <c r="GS213">
        <v>3</v>
      </c>
      <c r="GT213">
        <v>0</v>
      </c>
      <c r="GU213" t="s">
        <v>3</v>
      </c>
      <c r="GV213">
        <f t="shared" si="176"/>
        <v>0</v>
      </c>
      <c r="GW213">
        <v>1</v>
      </c>
      <c r="GX213">
        <f t="shared" si="177"/>
        <v>0</v>
      </c>
      <c r="HA213">
        <v>0</v>
      </c>
      <c r="HB213">
        <v>0</v>
      </c>
      <c r="HC213">
        <f t="shared" si="178"/>
        <v>0</v>
      </c>
      <c r="HE213" t="s">
        <v>3</v>
      </c>
      <c r="HF213" t="s">
        <v>3</v>
      </c>
      <c r="HM213" t="s">
        <v>3</v>
      </c>
      <c r="HN213" t="s">
        <v>3</v>
      </c>
      <c r="HO213" t="s">
        <v>3</v>
      </c>
      <c r="HP213" t="s">
        <v>3</v>
      </c>
      <c r="HQ213" t="s">
        <v>3</v>
      </c>
      <c r="IK213">
        <v>0</v>
      </c>
    </row>
    <row r="214" spans="1:245" x14ac:dyDescent="0.2">
      <c r="A214">
        <v>17</v>
      </c>
      <c r="B214">
        <v>1</v>
      </c>
      <c r="D214">
        <f>ROW(EtalonRes!A72)</f>
        <v>72</v>
      </c>
      <c r="E214" t="s">
        <v>162</v>
      </c>
      <c r="F214" t="s">
        <v>30</v>
      </c>
      <c r="G214" t="s">
        <v>163</v>
      </c>
      <c r="H214" t="s">
        <v>32</v>
      </c>
      <c r="I214">
        <f>ROUND(ROUND((1+1+1)*4,9),9)</f>
        <v>12</v>
      </c>
      <c r="J214">
        <v>0</v>
      </c>
      <c r="K214">
        <f>ROUND(ROUND((1+1+1)*4,9),9)</f>
        <v>12</v>
      </c>
      <c r="O214">
        <f t="shared" si="146"/>
        <v>6868.32</v>
      </c>
      <c r="P214">
        <f t="shared" si="147"/>
        <v>0</v>
      </c>
      <c r="Q214">
        <f t="shared" si="148"/>
        <v>1876.32</v>
      </c>
      <c r="R214">
        <f t="shared" si="149"/>
        <v>1189.68</v>
      </c>
      <c r="S214">
        <f t="shared" si="150"/>
        <v>4992</v>
      </c>
      <c r="T214">
        <f t="shared" si="151"/>
        <v>0</v>
      </c>
      <c r="U214">
        <f t="shared" si="152"/>
        <v>8.879999999999999</v>
      </c>
      <c r="V214">
        <f t="shared" si="153"/>
        <v>0</v>
      </c>
      <c r="W214">
        <f t="shared" si="154"/>
        <v>0</v>
      </c>
      <c r="X214">
        <f t="shared" si="155"/>
        <v>3494.4</v>
      </c>
      <c r="Y214">
        <f t="shared" si="156"/>
        <v>499.2</v>
      </c>
      <c r="AA214">
        <v>1472224561</v>
      </c>
      <c r="AB214">
        <f t="shared" si="157"/>
        <v>572.36</v>
      </c>
      <c r="AC214">
        <f>ROUND(((ES214*2)),6)</f>
        <v>0</v>
      </c>
      <c r="AD214">
        <f>ROUND(((((ET214*2))-((EU214*2)))+AE214),6)</f>
        <v>156.36000000000001</v>
      </c>
      <c r="AE214">
        <f>ROUND(((EU214*2)),6)</f>
        <v>99.14</v>
      </c>
      <c r="AF214">
        <f>ROUND(((EV214*2)),6)</f>
        <v>416</v>
      </c>
      <c r="AG214">
        <f t="shared" si="158"/>
        <v>0</v>
      </c>
      <c r="AH214">
        <f>((EW214*2))</f>
        <v>0.74</v>
      </c>
      <c r="AI214">
        <f>((EX214*2))</f>
        <v>0</v>
      </c>
      <c r="AJ214">
        <f t="shared" si="159"/>
        <v>0</v>
      </c>
      <c r="AK214">
        <v>286.18</v>
      </c>
      <c r="AL214">
        <v>0</v>
      </c>
      <c r="AM214">
        <v>78.180000000000007</v>
      </c>
      <c r="AN214">
        <v>49.57</v>
      </c>
      <c r="AO214">
        <v>208</v>
      </c>
      <c r="AP214">
        <v>0</v>
      </c>
      <c r="AQ214">
        <v>0.37</v>
      </c>
      <c r="AR214">
        <v>0</v>
      </c>
      <c r="AS214">
        <v>0</v>
      </c>
      <c r="AT214">
        <v>70</v>
      </c>
      <c r="AU214">
        <v>10</v>
      </c>
      <c r="AV214">
        <v>1</v>
      </c>
      <c r="AW214">
        <v>1</v>
      </c>
      <c r="AZ214">
        <v>1</v>
      </c>
      <c r="BA214">
        <v>1</v>
      </c>
      <c r="BB214">
        <v>1</v>
      </c>
      <c r="BC214">
        <v>1</v>
      </c>
      <c r="BD214" t="s">
        <v>3</v>
      </c>
      <c r="BE214" t="s">
        <v>3</v>
      </c>
      <c r="BF214" t="s">
        <v>3</v>
      </c>
      <c r="BG214" t="s">
        <v>3</v>
      </c>
      <c r="BH214">
        <v>0</v>
      </c>
      <c r="BI214">
        <v>4</v>
      </c>
      <c r="BJ214" t="s">
        <v>33</v>
      </c>
      <c r="BM214">
        <v>0</v>
      </c>
      <c r="BN214">
        <v>0</v>
      </c>
      <c r="BO214" t="s">
        <v>3</v>
      </c>
      <c r="BP214">
        <v>0</v>
      </c>
      <c r="BQ214">
        <v>1</v>
      </c>
      <c r="BR214">
        <v>0</v>
      </c>
      <c r="BS214">
        <v>1</v>
      </c>
      <c r="BT214">
        <v>1</v>
      </c>
      <c r="BU214">
        <v>1</v>
      </c>
      <c r="BV214">
        <v>1</v>
      </c>
      <c r="BW214">
        <v>1</v>
      </c>
      <c r="BX214">
        <v>1</v>
      </c>
      <c r="BY214" t="s">
        <v>3</v>
      </c>
      <c r="BZ214">
        <v>70</v>
      </c>
      <c r="CA214">
        <v>10</v>
      </c>
      <c r="CB214" t="s">
        <v>3</v>
      </c>
      <c r="CE214">
        <v>0</v>
      </c>
      <c r="CF214">
        <v>0</v>
      </c>
      <c r="CG214">
        <v>0</v>
      </c>
      <c r="CM214">
        <v>0</v>
      </c>
      <c r="CN214" t="s">
        <v>3</v>
      </c>
      <c r="CO214">
        <v>0</v>
      </c>
      <c r="CP214">
        <f t="shared" si="160"/>
        <v>6868.32</v>
      </c>
      <c r="CQ214">
        <f t="shared" si="161"/>
        <v>0</v>
      </c>
      <c r="CR214">
        <f>(((((ET214*2))*BB214-((EU214*2))*BS214)+AE214*BS214)*AV214)</f>
        <v>156.36000000000001</v>
      </c>
      <c r="CS214">
        <f t="shared" si="162"/>
        <v>99.14</v>
      </c>
      <c r="CT214">
        <f t="shared" si="163"/>
        <v>416</v>
      </c>
      <c r="CU214">
        <f t="shared" si="164"/>
        <v>0</v>
      </c>
      <c r="CV214">
        <f t="shared" si="165"/>
        <v>0.74</v>
      </c>
      <c r="CW214">
        <f t="shared" si="166"/>
        <v>0</v>
      </c>
      <c r="CX214">
        <f t="shared" si="167"/>
        <v>0</v>
      </c>
      <c r="CY214">
        <f t="shared" si="168"/>
        <v>3494.4</v>
      </c>
      <c r="CZ214">
        <f t="shared" si="169"/>
        <v>499.2</v>
      </c>
      <c r="DC214" t="s">
        <v>3</v>
      </c>
      <c r="DD214" t="s">
        <v>164</v>
      </c>
      <c r="DE214" t="s">
        <v>164</v>
      </c>
      <c r="DF214" t="s">
        <v>164</v>
      </c>
      <c r="DG214" t="s">
        <v>164</v>
      </c>
      <c r="DH214" t="s">
        <v>3</v>
      </c>
      <c r="DI214" t="s">
        <v>164</v>
      </c>
      <c r="DJ214" t="s">
        <v>164</v>
      </c>
      <c r="DK214" t="s">
        <v>3</v>
      </c>
      <c r="DL214" t="s">
        <v>3</v>
      </c>
      <c r="DM214" t="s">
        <v>3</v>
      </c>
      <c r="DN214">
        <v>0</v>
      </c>
      <c r="DO214">
        <v>0</v>
      </c>
      <c r="DP214">
        <v>1</v>
      </c>
      <c r="DQ214">
        <v>1</v>
      </c>
      <c r="DU214">
        <v>16987630</v>
      </c>
      <c r="DV214" t="s">
        <v>32</v>
      </c>
      <c r="DW214" t="s">
        <v>32</v>
      </c>
      <c r="DX214">
        <v>1</v>
      </c>
      <c r="DZ214" t="s">
        <v>3</v>
      </c>
      <c r="EA214" t="s">
        <v>3</v>
      </c>
      <c r="EB214" t="s">
        <v>3</v>
      </c>
      <c r="EC214" t="s">
        <v>3</v>
      </c>
      <c r="EE214">
        <v>1441815344</v>
      </c>
      <c r="EF214">
        <v>1</v>
      </c>
      <c r="EG214" t="s">
        <v>23</v>
      </c>
      <c r="EH214">
        <v>0</v>
      </c>
      <c r="EI214" t="s">
        <v>3</v>
      </c>
      <c r="EJ214">
        <v>4</v>
      </c>
      <c r="EK214">
        <v>0</v>
      </c>
      <c r="EL214" t="s">
        <v>24</v>
      </c>
      <c r="EM214" t="s">
        <v>25</v>
      </c>
      <c r="EO214" t="s">
        <v>3</v>
      </c>
      <c r="EQ214">
        <v>0</v>
      </c>
      <c r="ER214">
        <v>286.18</v>
      </c>
      <c r="ES214">
        <v>0</v>
      </c>
      <c r="ET214">
        <v>78.180000000000007</v>
      </c>
      <c r="EU214">
        <v>49.57</v>
      </c>
      <c r="EV214">
        <v>208</v>
      </c>
      <c r="EW214">
        <v>0.37</v>
      </c>
      <c r="EX214">
        <v>0</v>
      </c>
      <c r="EY214">
        <v>0</v>
      </c>
      <c r="FQ214">
        <v>0</v>
      </c>
      <c r="FR214">
        <f t="shared" si="170"/>
        <v>0</v>
      </c>
      <c r="FS214">
        <v>0</v>
      </c>
      <c r="FX214">
        <v>70</v>
      </c>
      <c r="FY214">
        <v>10</v>
      </c>
      <c r="GA214" t="s">
        <v>3</v>
      </c>
      <c r="GD214">
        <v>0</v>
      </c>
      <c r="GF214">
        <v>1942891278</v>
      </c>
      <c r="GG214">
        <v>2</v>
      </c>
      <c r="GH214">
        <v>1</v>
      </c>
      <c r="GI214">
        <v>-2</v>
      </c>
      <c r="GJ214">
        <v>0</v>
      </c>
      <c r="GK214">
        <f>ROUND(R214*(R12)/100,2)</f>
        <v>1284.8499999999999</v>
      </c>
      <c r="GL214">
        <f t="shared" si="171"/>
        <v>0</v>
      </c>
      <c r="GM214">
        <f t="shared" si="172"/>
        <v>12146.77</v>
      </c>
      <c r="GN214">
        <f t="shared" si="173"/>
        <v>0</v>
      </c>
      <c r="GO214">
        <f t="shared" si="174"/>
        <v>0</v>
      </c>
      <c r="GP214">
        <f t="shared" si="175"/>
        <v>12146.77</v>
      </c>
      <c r="GR214">
        <v>0</v>
      </c>
      <c r="GS214">
        <v>3</v>
      </c>
      <c r="GT214">
        <v>0</v>
      </c>
      <c r="GU214" t="s">
        <v>3</v>
      </c>
      <c r="GV214">
        <f t="shared" si="176"/>
        <v>0</v>
      </c>
      <c r="GW214">
        <v>1</v>
      </c>
      <c r="GX214">
        <f t="shared" si="177"/>
        <v>0</v>
      </c>
      <c r="HA214">
        <v>0</v>
      </c>
      <c r="HB214">
        <v>0</v>
      </c>
      <c r="HC214">
        <f t="shared" si="178"/>
        <v>0</v>
      </c>
      <c r="HE214" t="s">
        <v>3</v>
      </c>
      <c r="HF214" t="s">
        <v>3</v>
      </c>
      <c r="HM214" t="s">
        <v>3</v>
      </c>
      <c r="HN214" t="s">
        <v>3</v>
      </c>
      <c r="HO214" t="s">
        <v>3</v>
      </c>
      <c r="HP214" t="s">
        <v>3</v>
      </c>
      <c r="HQ214" t="s">
        <v>3</v>
      </c>
      <c r="IK214">
        <v>0</v>
      </c>
    </row>
    <row r="215" spans="1:245" x14ac:dyDescent="0.2">
      <c r="A215">
        <v>17</v>
      </c>
      <c r="B215">
        <v>1</v>
      </c>
      <c r="D215">
        <f>ROW(EtalonRes!A74)</f>
        <v>74</v>
      </c>
      <c r="E215" t="s">
        <v>165</v>
      </c>
      <c r="F215" t="s">
        <v>166</v>
      </c>
      <c r="G215" t="s">
        <v>167</v>
      </c>
      <c r="H215" t="s">
        <v>32</v>
      </c>
      <c r="I215">
        <f>ROUND(ROUND(1+1+1+1,9),9)</f>
        <v>4</v>
      </c>
      <c r="J215">
        <v>0</v>
      </c>
      <c r="K215">
        <f>ROUND(ROUND(1+1+1+1,9),9)</f>
        <v>4</v>
      </c>
      <c r="O215">
        <f t="shared" si="146"/>
        <v>1435.08</v>
      </c>
      <c r="P215">
        <f t="shared" si="147"/>
        <v>2.52</v>
      </c>
      <c r="Q215">
        <f t="shared" si="148"/>
        <v>0</v>
      </c>
      <c r="R215">
        <f t="shared" si="149"/>
        <v>0</v>
      </c>
      <c r="S215">
        <f t="shared" si="150"/>
        <v>1432.56</v>
      </c>
      <c r="T215">
        <f t="shared" si="151"/>
        <v>0</v>
      </c>
      <c r="U215">
        <f t="shared" si="152"/>
        <v>2.3199999999999998</v>
      </c>
      <c r="V215">
        <f t="shared" si="153"/>
        <v>0</v>
      </c>
      <c r="W215">
        <f t="shared" si="154"/>
        <v>0</v>
      </c>
      <c r="X215">
        <f t="shared" si="155"/>
        <v>1002.79</v>
      </c>
      <c r="Y215">
        <f t="shared" si="156"/>
        <v>143.26</v>
      </c>
      <c r="AA215">
        <v>1472224561</v>
      </c>
      <c r="AB215">
        <f t="shared" si="157"/>
        <v>358.77</v>
      </c>
      <c r="AC215">
        <f>ROUND((ES215),6)</f>
        <v>0.63</v>
      </c>
      <c r="AD215">
        <f>ROUND((((ET215)-(EU215))+AE215),6)</f>
        <v>0</v>
      </c>
      <c r="AE215">
        <f>ROUND((EU215),6)</f>
        <v>0</v>
      </c>
      <c r="AF215">
        <f>ROUND((EV215),6)</f>
        <v>358.14</v>
      </c>
      <c r="AG215">
        <f t="shared" si="158"/>
        <v>0</v>
      </c>
      <c r="AH215">
        <f>(EW215)</f>
        <v>0.57999999999999996</v>
      </c>
      <c r="AI215">
        <f>(EX215)</f>
        <v>0</v>
      </c>
      <c r="AJ215">
        <f t="shared" si="159"/>
        <v>0</v>
      </c>
      <c r="AK215">
        <v>358.77</v>
      </c>
      <c r="AL215">
        <v>0.63</v>
      </c>
      <c r="AM215">
        <v>0</v>
      </c>
      <c r="AN215">
        <v>0</v>
      </c>
      <c r="AO215">
        <v>358.14</v>
      </c>
      <c r="AP215">
        <v>0</v>
      </c>
      <c r="AQ215">
        <v>0.57999999999999996</v>
      </c>
      <c r="AR215">
        <v>0</v>
      </c>
      <c r="AS215">
        <v>0</v>
      </c>
      <c r="AT215">
        <v>70</v>
      </c>
      <c r="AU215">
        <v>10</v>
      </c>
      <c r="AV215">
        <v>1</v>
      </c>
      <c r="AW215">
        <v>1</v>
      </c>
      <c r="AZ215">
        <v>1</v>
      </c>
      <c r="BA215">
        <v>1</v>
      </c>
      <c r="BB215">
        <v>1</v>
      </c>
      <c r="BC215">
        <v>1</v>
      </c>
      <c r="BD215" t="s">
        <v>3</v>
      </c>
      <c r="BE215" t="s">
        <v>3</v>
      </c>
      <c r="BF215" t="s">
        <v>3</v>
      </c>
      <c r="BG215" t="s">
        <v>3</v>
      </c>
      <c r="BH215">
        <v>0</v>
      </c>
      <c r="BI215">
        <v>4</v>
      </c>
      <c r="BJ215" t="s">
        <v>168</v>
      </c>
      <c r="BM215">
        <v>0</v>
      </c>
      <c r="BN215">
        <v>0</v>
      </c>
      <c r="BO215" t="s">
        <v>3</v>
      </c>
      <c r="BP215">
        <v>0</v>
      </c>
      <c r="BQ215">
        <v>1</v>
      </c>
      <c r="BR215">
        <v>0</v>
      </c>
      <c r="BS215">
        <v>1</v>
      </c>
      <c r="BT215">
        <v>1</v>
      </c>
      <c r="BU215">
        <v>1</v>
      </c>
      <c r="BV215">
        <v>1</v>
      </c>
      <c r="BW215">
        <v>1</v>
      </c>
      <c r="BX215">
        <v>1</v>
      </c>
      <c r="BY215" t="s">
        <v>3</v>
      </c>
      <c r="BZ215">
        <v>70</v>
      </c>
      <c r="CA215">
        <v>10</v>
      </c>
      <c r="CB215" t="s">
        <v>3</v>
      </c>
      <c r="CE215">
        <v>0</v>
      </c>
      <c r="CF215">
        <v>0</v>
      </c>
      <c r="CG215">
        <v>0</v>
      </c>
      <c r="CM215">
        <v>0</v>
      </c>
      <c r="CN215" t="s">
        <v>3</v>
      </c>
      <c r="CO215">
        <v>0</v>
      </c>
      <c r="CP215">
        <f t="shared" si="160"/>
        <v>1435.08</v>
      </c>
      <c r="CQ215">
        <f t="shared" si="161"/>
        <v>0.63</v>
      </c>
      <c r="CR215">
        <f>((((ET215)*BB215-(EU215)*BS215)+AE215*BS215)*AV215)</f>
        <v>0</v>
      </c>
      <c r="CS215">
        <f t="shared" si="162"/>
        <v>0</v>
      </c>
      <c r="CT215">
        <f t="shared" si="163"/>
        <v>358.14</v>
      </c>
      <c r="CU215">
        <f t="shared" si="164"/>
        <v>0</v>
      </c>
      <c r="CV215">
        <f t="shared" si="165"/>
        <v>0.57999999999999996</v>
      </c>
      <c r="CW215">
        <f t="shared" si="166"/>
        <v>0</v>
      </c>
      <c r="CX215">
        <f t="shared" si="167"/>
        <v>0</v>
      </c>
      <c r="CY215">
        <f t="shared" si="168"/>
        <v>1002.7919999999999</v>
      </c>
      <c r="CZ215">
        <f t="shared" si="169"/>
        <v>143.25599999999997</v>
      </c>
      <c r="DC215" t="s">
        <v>3</v>
      </c>
      <c r="DD215" t="s">
        <v>3</v>
      </c>
      <c r="DE215" t="s">
        <v>3</v>
      </c>
      <c r="DF215" t="s">
        <v>3</v>
      </c>
      <c r="DG215" t="s">
        <v>3</v>
      </c>
      <c r="DH215" t="s">
        <v>3</v>
      </c>
      <c r="DI215" t="s">
        <v>3</v>
      </c>
      <c r="DJ215" t="s">
        <v>3</v>
      </c>
      <c r="DK215" t="s">
        <v>3</v>
      </c>
      <c r="DL215" t="s">
        <v>3</v>
      </c>
      <c r="DM215" t="s">
        <v>3</v>
      </c>
      <c r="DN215">
        <v>0</v>
      </c>
      <c r="DO215">
        <v>0</v>
      </c>
      <c r="DP215">
        <v>1</v>
      </c>
      <c r="DQ215">
        <v>1</v>
      </c>
      <c r="DU215">
        <v>16987630</v>
      </c>
      <c r="DV215" t="s">
        <v>32</v>
      </c>
      <c r="DW215" t="s">
        <v>32</v>
      </c>
      <c r="DX215">
        <v>1</v>
      </c>
      <c r="DZ215" t="s">
        <v>3</v>
      </c>
      <c r="EA215" t="s">
        <v>3</v>
      </c>
      <c r="EB215" t="s">
        <v>3</v>
      </c>
      <c r="EC215" t="s">
        <v>3</v>
      </c>
      <c r="EE215">
        <v>1441815344</v>
      </c>
      <c r="EF215">
        <v>1</v>
      </c>
      <c r="EG215" t="s">
        <v>23</v>
      </c>
      <c r="EH215">
        <v>0</v>
      </c>
      <c r="EI215" t="s">
        <v>3</v>
      </c>
      <c r="EJ215">
        <v>4</v>
      </c>
      <c r="EK215">
        <v>0</v>
      </c>
      <c r="EL215" t="s">
        <v>24</v>
      </c>
      <c r="EM215" t="s">
        <v>25</v>
      </c>
      <c r="EO215" t="s">
        <v>3</v>
      </c>
      <c r="EQ215">
        <v>0</v>
      </c>
      <c r="ER215">
        <v>358.77</v>
      </c>
      <c r="ES215">
        <v>0.63</v>
      </c>
      <c r="ET215">
        <v>0</v>
      </c>
      <c r="EU215">
        <v>0</v>
      </c>
      <c r="EV215">
        <v>358.14</v>
      </c>
      <c r="EW215">
        <v>0.57999999999999996</v>
      </c>
      <c r="EX215">
        <v>0</v>
      </c>
      <c r="EY215">
        <v>0</v>
      </c>
      <c r="FQ215">
        <v>0</v>
      </c>
      <c r="FR215">
        <f t="shared" si="170"/>
        <v>0</v>
      </c>
      <c r="FS215">
        <v>0</v>
      </c>
      <c r="FX215">
        <v>70</v>
      </c>
      <c r="FY215">
        <v>10</v>
      </c>
      <c r="GA215" t="s">
        <v>3</v>
      </c>
      <c r="GD215">
        <v>0</v>
      </c>
      <c r="GF215">
        <v>-1986114179</v>
      </c>
      <c r="GG215">
        <v>2</v>
      </c>
      <c r="GH215">
        <v>1</v>
      </c>
      <c r="GI215">
        <v>-2</v>
      </c>
      <c r="GJ215">
        <v>0</v>
      </c>
      <c r="GK215">
        <f>ROUND(R215*(R12)/100,2)</f>
        <v>0</v>
      </c>
      <c r="GL215">
        <f t="shared" si="171"/>
        <v>0</v>
      </c>
      <c r="GM215">
        <f t="shared" si="172"/>
        <v>2581.13</v>
      </c>
      <c r="GN215">
        <f t="shared" si="173"/>
        <v>0</v>
      </c>
      <c r="GO215">
        <f t="shared" si="174"/>
        <v>0</v>
      </c>
      <c r="GP215">
        <f t="shared" si="175"/>
        <v>2581.13</v>
      </c>
      <c r="GR215">
        <v>0</v>
      </c>
      <c r="GS215">
        <v>3</v>
      </c>
      <c r="GT215">
        <v>0</v>
      </c>
      <c r="GU215" t="s">
        <v>3</v>
      </c>
      <c r="GV215">
        <f t="shared" si="176"/>
        <v>0</v>
      </c>
      <c r="GW215">
        <v>1</v>
      </c>
      <c r="GX215">
        <f t="shared" si="177"/>
        <v>0</v>
      </c>
      <c r="HA215">
        <v>0</v>
      </c>
      <c r="HB215">
        <v>0</v>
      </c>
      <c r="HC215">
        <f t="shared" si="178"/>
        <v>0</v>
      </c>
      <c r="HE215" t="s">
        <v>3</v>
      </c>
      <c r="HF215" t="s">
        <v>3</v>
      </c>
      <c r="HM215" t="s">
        <v>3</v>
      </c>
      <c r="HN215" t="s">
        <v>3</v>
      </c>
      <c r="HO215" t="s">
        <v>3</v>
      </c>
      <c r="HP215" t="s">
        <v>3</v>
      </c>
      <c r="HQ215" t="s">
        <v>3</v>
      </c>
      <c r="IK215">
        <v>0</v>
      </c>
    </row>
    <row r="216" spans="1:245" x14ac:dyDescent="0.2">
      <c r="A216">
        <v>17</v>
      </c>
      <c r="B216">
        <v>1</v>
      </c>
      <c r="D216">
        <f>ROW(EtalonRes!A77)</f>
        <v>77</v>
      </c>
      <c r="E216" t="s">
        <v>169</v>
      </c>
      <c r="F216" t="s">
        <v>170</v>
      </c>
      <c r="G216" t="s">
        <v>171</v>
      </c>
      <c r="H216" t="s">
        <v>32</v>
      </c>
      <c r="I216">
        <f>ROUND(4,9)</f>
        <v>4</v>
      </c>
      <c r="J216">
        <v>0</v>
      </c>
      <c r="K216">
        <f>ROUND(4,9)</f>
        <v>4</v>
      </c>
      <c r="O216">
        <f t="shared" si="146"/>
        <v>10623.28</v>
      </c>
      <c r="P216">
        <f t="shared" si="147"/>
        <v>2.52</v>
      </c>
      <c r="Q216">
        <f t="shared" si="148"/>
        <v>5644.64</v>
      </c>
      <c r="R216">
        <f t="shared" si="149"/>
        <v>3579.08</v>
      </c>
      <c r="S216">
        <f t="shared" si="150"/>
        <v>4976.12</v>
      </c>
      <c r="T216">
        <f t="shared" si="151"/>
        <v>0</v>
      </c>
      <c r="U216">
        <f t="shared" si="152"/>
        <v>7</v>
      </c>
      <c r="V216">
        <f t="shared" si="153"/>
        <v>0</v>
      </c>
      <c r="W216">
        <f t="shared" si="154"/>
        <v>0</v>
      </c>
      <c r="X216">
        <f t="shared" si="155"/>
        <v>3483.28</v>
      </c>
      <c r="Y216">
        <f t="shared" si="156"/>
        <v>497.61</v>
      </c>
      <c r="AA216">
        <v>1472224561</v>
      </c>
      <c r="AB216">
        <f t="shared" si="157"/>
        <v>2655.82</v>
      </c>
      <c r="AC216">
        <f>ROUND((ES216),6)</f>
        <v>0.63</v>
      </c>
      <c r="AD216">
        <f>ROUND((((ET216)-(EU216))+AE216),6)</f>
        <v>1411.16</v>
      </c>
      <c r="AE216">
        <f>ROUND((EU216),6)</f>
        <v>894.77</v>
      </c>
      <c r="AF216">
        <f>ROUND((EV216),6)</f>
        <v>1244.03</v>
      </c>
      <c r="AG216">
        <f t="shared" si="158"/>
        <v>0</v>
      </c>
      <c r="AH216">
        <f>(EW216)</f>
        <v>1.75</v>
      </c>
      <c r="AI216">
        <f>(EX216)</f>
        <v>0</v>
      </c>
      <c r="AJ216">
        <f t="shared" si="159"/>
        <v>0</v>
      </c>
      <c r="AK216">
        <v>2655.82</v>
      </c>
      <c r="AL216">
        <v>0.63</v>
      </c>
      <c r="AM216">
        <v>1411.16</v>
      </c>
      <c r="AN216">
        <v>894.77</v>
      </c>
      <c r="AO216">
        <v>1244.03</v>
      </c>
      <c r="AP216">
        <v>0</v>
      </c>
      <c r="AQ216">
        <v>1.75</v>
      </c>
      <c r="AR216">
        <v>0</v>
      </c>
      <c r="AS216">
        <v>0</v>
      </c>
      <c r="AT216">
        <v>70</v>
      </c>
      <c r="AU216">
        <v>10</v>
      </c>
      <c r="AV216">
        <v>1</v>
      </c>
      <c r="AW216">
        <v>1</v>
      </c>
      <c r="AZ216">
        <v>1</v>
      </c>
      <c r="BA216">
        <v>1</v>
      </c>
      <c r="BB216">
        <v>1</v>
      </c>
      <c r="BC216">
        <v>1</v>
      </c>
      <c r="BD216" t="s">
        <v>3</v>
      </c>
      <c r="BE216" t="s">
        <v>3</v>
      </c>
      <c r="BF216" t="s">
        <v>3</v>
      </c>
      <c r="BG216" t="s">
        <v>3</v>
      </c>
      <c r="BH216">
        <v>0</v>
      </c>
      <c r="BI216">
        <v>4</v>
      </c>
      <c r="BJ216" t="s">
        <v>172</v>
      </c>
      <c r="BM216">
        <v>0</v>
      </c>
      <c r="BN216">
        <v>0</v>
      </c>
      <c r="BO216" t="s">
        <v>3</v>
      </c>
      <c r="BP216">
        <v>0</v>
      </c>
      <c r="BQ216">
        <v>1</v>
      </c>
      <c r="BR216">
        <v>0</v>
      </c>
      <c r="BS216">
        <v>1</v>
      </c>
      <c r="BT216">
        <v>1</v>
      </c>
      <c r="BU216">
        <v>1</v>
      </c>
      <c r="BV216">
        <v>1</v>
      </c>
      <c r="BW216">
        <v>1</v>
      </c>
      <c r="BX216">
        <v>1</v>
      </c>
      <c r="BY216" t="s">
        <v>3</v>
      </c>
      <c r="BZ216">
        <v>70</v>
      </c>
      <c r="CA216">
        <v>10</v>
      </c>
      <c r="CB216" t="s">
        <v>3</v>
      </c>
      <c r="CE216">
        <v>0</v>
      </c>
      <c r="CF216">
        <v>0</v>
      </c>
      <c r="CG216">
        <v>0</v>
      </c>
      <c r="CM216">
        <v>0</v>
      </c>
      <c r="CN216" t="s">
        <v>3</v>
      </c>
      <c r="CO216">
        <v>0</v>
      </c>
      <c r="CP216">
        <f t="shared" si="160"/>
        <v>10623.28</v>
      </c>
      <c r="CQ216">
        <f t="shared" si="161"/>
        <v>0.63</v>
      </c>
      <c r="CR216">
        <f>((((ET216)*BB216-(EU216)*BS216)+AE216*BS216)*AV216)</f>
        <v>1411.16</v>
      </c>
      <c r="CS216">
        <f t="shared" si="162"/>
        <v>894.77</v>
      </c>
      <c r="CT216">
        <f t="shared" si="163"/>
        <v>1244.03</v>
      </c>
      <c r="CU216">
        <f t="shared" si="164"/>
        <v>0</v>
      </c>
      <c r="CV216">
        <f t="shared" si="165"/>
        <v>1.75</v>
      </c>
      <c r="CW216">
        <f t="shared" si="166"/>
        <v>0</v>
      </c>
      <c r="CX216">
        <f t="shared" si="167"/>
        <v>0</v>
      </c>
      <c r="CY216">
        <f t="shared" si="168"/>
        <v>3483.2839999999997</v>
      </c>
      <c r="CZ216">
        <f t="shared" si="169"/>
        <v>497.61199999999997</v>
      </c>
      <c r="DC216" t="s">
        <v>3</v>
      </c>
      <c r="DD216" t="s">
        <v>3</v>
      </c>
      <c r="DE216" t="s">
        <v>3</v>
      </c>
      <c r="DF216" t="s">
        <v>3</v>
      </c>
      <c r="DG216" t="s">
        <v>3</v>
      </c>
      <c r="DH216" t="s">
        <v>3</v>
      </c>
      <c r="DI216" t="s">
        <v>3</v>
      </c>
      <c r="DJ216" t="s">
        <v>3</v>
      </c>
      <c r="DK216" t="s">
        <v>3</v>
      </c>
      <c r="DL216" t="s">
        <v>3</v>
      </c>
      <c r="DM216" t="s">
        <v>3</v>
      </c>
      <c r="DN216">
        <v>0</v>
      </c>
      <c r="DO216">
        <v>0</v>
      </c>
      <c r="DP216">
        <v>1</v>
      </c>
      <c r="DQ216">
        <v>1</v>
      </c>
      <c r="DU216">
        <v>16987630</v>
      </c>
      <c r="DV216" t="s">
        <v>32</v>
      </c>
      <c r="DW216" t="s">
        <v>32</v>
      </c>
      <c r="DX216">
        <v>1</v>
      </c>
      <c r="DZ216" t="s">
        <v>3</v>
      </c>
      <c r="EA216" t="s">
        <v>3</v>
      </c>
      <c r="EB216" t="s">
        <v>3</v>
      </c>
      <c r="EC216" t="s">
        <v>3</v>
      </c>
      <c r="EE216">
        <v>1441815344</v>
      </c>
      <c r="EF216">
        <v>1</v>
      </c>
      <c r="EG216" t="s">
        <v>23</v>
      </c>
      <c r="EH216">
        <v>0</v>
      </c>
      <c r="EI216" t="s">
        <v>3</v>
      </c>
      <c r="EJ216">
        <v>4</v>
      </c>
      <c r="EK216">
        <v>0</v>
      </c>
      <c r="EL216" t="s">
        <v>24</v>
      </c>
      <c r="EM216" t="s">
        <v>25</v>
      </c>
      <c r="EO216" t="s">
        <v>3</v>
      </c>
      <c r="EQ216">
        <v>0</v>
      </c>
      <c r="ER216">
        <v>2655.82</v>
      </c>
      <c r="ES216">
        <v>0.63</v>
      </c>
      <c r="ET216">
        <v>1411.16</v>
      </c>
      <c r="EU216">
        <v>894.77</v>
      </c>
      <c r="EV216">
        <v>1244.03</v>
      </c>
      <c r="EW216">
        <v>1.75</v>
      </c>
      <c r="EX216">
        <v>0</v>
      </c>
      <c r="EY216">
        <v>0</v>
      </c>
      <c r="FQ216">
        <v>0</v>
      </c>
      <c r="FR216">
        <f t="shared" si="170"/>
        <v>0</v>
      </c>
      <c r="FS216">
        <v>0</v>
      </c>
      <c r="FX216">
        <v>70</v>
      </c>
      <c r="FY216">
        <v>10</v>
      </c>
      <c r="GA216" t="s">
        <v>3</v>
      </c>
      <c r="GD216">
        <v>0</v>
      </c>
      <c r="GF216">
        <v>-1602766855</v>
      </c>
      <c r="GG216">
        <v>2</v>
      </c>
      <c r="GH216">
        <v>1</v>
      </c>
      <c r="GI216">
        <v>-2</v>
      </c>
      <c r="GJ216">
        <v>0</v>
      </c>
      <c r="GK216">
        <f>ROUND(R216*(R12)/100,2)</f>
        <v>3865.41</v>
      </c>
      <c r="GL216">
        <f t="shared" si="171"/>
        <v>0</v>
      </c>
      <c r="GM216">
        <f t="shared" si="172"/>
        <v>18469.580000000002</v>
      </c>
      <c r="GN216">
        <f t="shared" si="173"/>
        <v>0</v>
      </c>
      <c r="GO216">
        <f t="shared" si="174"/>
        <v>0</v>
      </c>
      <c r="GP216">
        <f t="shared" si="175"/>
        <v>18469.580000000002</v>
      </c>
      <c r="GR216">
        <v>0</v>
      </c>
      <c r="GS216">
        <v>3</v>
      </c>
      <c r="GT216">
        <v>0</v>
      </c>
      <c r="GU216" t="s">
        <v>3</v>
      </c>
      <c r="GV216">
        <f t="shared" si="176"/>
        <v>0</v>
      </c>
      <c r="GW216">
        <v>1</v>
      </c>
      <c r="GX216">
        <f t="shared" si="177"/>
        <v>0</v>
      </c>
      <c r="HA216">
        <v>0</v>
      </c>
      <c r="HB216">
        <v>0</v>
      </c>
      <c r="HC216">
        <f t="shared" si="178"/>
        <v>0</v>
      </c>
      <c r="HE216" t="s">
        <v>3</v>
      </c>
      <c r="HF216" t="s">
        <v>3</v>
      </c>
      <c r="HM216" t="s">
        <v>3</v>
      </c>
      <c r="HN216" t="s">
        <v>3</v>
      </c>
      <c r="HO216" t="s">
        <v>3</v>
      </c>
      <c r="HP216" t="s">
        <v>3</v>
      </c>
      <c r="HQ216" t="s">
        <v>3</v>
      </c>
      <c r="IK216">
        <v>0</v>
      </c>
    </row>
    <row r="217" spans="1:245" x14ac:dyDescent="0.2">
      <c r="A217">
        <v>17</v>
      </c>
      <c r="B217">
        <v>1</v>
      </c>
      <c r="D217">
        <f>ROW(EtalonRes!A80)</f>
        <v>80</v>
      </c>
      <c r="E217" t="s">
        <v>173</v>
      </c>
      <c r="F217" t="s">
        <v>174</v>
      </c>
      <c r="G217" t="s">
        <v>175</v>
      </c>
      <c r="H217" t="s">
        <v>32</v>
      </c>
      <c r="I217">
        <v>4</v>
      </c>
      <c r="J217">
        <v>0</v>
      </c>
      <c r="K217">
        <v>4</v>
      </c>
      <c r="O217">
        <f t="shared" si="146"/>
        <v>5262.64</v>
      </c>
      <c r="P217">
        <f t="shared" si="147"/>
        <v>153.12</v>
      </c>
      <c r="Q217">
        <f t="shared" si="148"/>
        <v>0</v>
      </c>
      <c r="R217">
        <f t="shared" si="149"/>
        <v>0</v>
      </c>
      <c r="S217">
        <f t="shared" si="150"/>
        <v>5109.5200000000004</v>
      </c>
      <c r="T217">
        <f t="shared" si="151"/>
        <v>0</v>
      </c>
      <c r="U217">
        <f t="shared" si="152"/>
        <v>6.16</v>
      </c>
      <c r="V217">
        <f t="shared" si="153"/>
        <v>0</v>
      </c>
      <c r="W217">
        <f t="shared" si="154"/>
        <v>0</v>
      </c>
      <c r="X217">
        <f t="shared" si="155"/>
        <v>3576.66</v>
      </c>
      <c r="Y217">
        <f t="shared" si="156"/>
        <v>510.95</v>
      </c>
      <c r="AA217">
        <v>1472224561</v>
      </c>
      <c r="AB217">
        <f t="shared" si="157"/>
        <v>1315.66</v>
      </c>
      <c r="AC217">
        <f>ROUND(((ES217*2)),6)</f>
        <v>38.28</v>
      </c>
      <c r="AD217">
        <f>ROUND(((((ET217*2))-((EU217*2)))+AE217),6)</f>
        <v>0</v>
      </c>
      <c r="AE217">
        <f>ROUND(((EU217*2)),6)</f>
        <v>0</v>
      </c>
      <c r="AF217">
        <f>ROUND(((EV217*2)),6)</f>
        <v>1277.3800000000001</v>
      </c>
      <c r="AG217">
        <f t="shared" si="158"/>
        <v>0</v>
      </c>
      <c r="AH217">
        <f>((EW217*2))</f>
        <v>1.54</v>
      </c>
      <c r="AI217">
        <f>((EX217*2))</f>
        <v>0</v>
      </c>
      <c r="AJ217">
        <f t="shared" si="159"/>
        <v>0</v>
      </c>
      <c r="AK217">
        <v>657.83</v>
      </c>
      <c r="AL217">
        <v>19.14</v>
      </c>
      <c r="AM217">
        <v>0</v>
      </c>
      <c r="AN217">
        <v>0</v>
      </c>
      <c r="AO217">
        <v>638.69000000000005</v>
      </c>
      <c r="AP217">
        <v>0</v>
      </c>
      <c r="AQ217">
        <v>0.77</v>
      </c>
      <c r="AR217">
        <v>0</v>
      </c>
      <c r="AS217">
        <v>0</v>
      </c>
      <c r="AT217">
        <v>70</v>
      </c>
      <c r="AU217">
        <v>10</v>
      </c>
      <c r="AV217">
        <v>1</v>
      </c>
      <c r="AW217">
        <v>1</v>
      </c>
      <c r="AZ217">
        <v>1</v>
      </c>
      <c r="BA217">
        <v>1</v>
      </c>
      <c r="BB217">
        <v>1</v>
      </c>
      <c r="BC217">
        <v>1</v>
      </c>
      <c r="BD217" t="s">
        <v>3</v>
      </c>
      <c r="BE217" t="s">
        <v>3</v>
      </c>
      <c r="BF217" t="s">
        <v>3</v>
      </c>
      <c r="BG217" t="s">
        <v>3</v>
      </c>
      <c r="BH217">
        <v>0</v>
      </c>
      <c r="BI217">
        <v>4</v>
      </c>
      <c r="BJ217" t="s">
        <v>176</v>
      </c>
      <c r="BM217">
        <v>0</v>
      </c>
      <c r="BN217">
        <v>0</v>
      </c>
      <c r="BO217" t="s">
        <v>3</v>
      </c>
      <c r="BP217">
        <v>0</v>
      </c>
      <c r="BQ217">
        <v>1</v>
      </c>
      <c r="BR217">
        <v>0</v>
      </c>
      <c r="BS217">
        <v>1</v>
      </c>
      <c r="BT217">
        <v>1</v>
      </c>
      <c r="BU217">
        <v>1</v>
      </c>
      <c r="BV217">
        <v>1</v>
      </c>
      <c r="BW217">
        <v>1</v>
      </c>
      <c r="BX217">
        <v>1</v>
      </c>
      <c r="BY217" t="s">
        <v>3</v>
      </c>
      <c r="BZ217">
        <v>70</v>
      </c>
      <c r="CA217">
        <v>10</v>
      </c>
      <c r="CB217" t="s">
        <v>3</v>
      </c>
      <c r="CE217">
        <v>0</v>
      </c>
      <c r="CF217">
        <v>0</v>
      </c>
      <c r="CG217">
        <v>0</v>
      </c>
      <c r="CM217">
        <v>0</v>
      </c>
      <c r="CN217" t="s">
        <v>3</v>
      </c>
      <c r="CO217">
        <v>0</v>
      </c>
      <c r="CP217">
        <f t="shared" si="160"/>
        <v>5262.64</v>
      </c>
      <c r="CQ217">
        <f t="shared" si="161"/>
        <v>38.28</v>
      </c>
      <c r="CR217">
        <f>(((((ET217*2))*BB217-((EU217*2))*BS217)+AE217*BS217)*AV217)</f>
        <v>0</v>
      </c>
      <c r="CS217">
        <f t="shared" si="162"/>
        <v>0</v>
      </c>
      <c r="CT217">
        <f t="shared" si="163"/>
        <v>1277.3800000000001</v>
      </c>
      <c r="CU217">
        <f t="shared" si="164"/>
        <v>0</v>
      </c>
      <c r="CV217">
        <f t="shared" si="165"/>
        <v>1.54</v>
      </c>
      <c r="CW217">
        <f t="shared" si="166"/>
        <v>0</v>
      </c>
      <c r="CX217">
        <f t="shared" si="167"/>
        <v>0</v>
      </c>
      <c r="CY217">
        <f t="shared" si="168"/>
        <v>3576.6640000000002</v>
      </c>
      <c r="CZ217">
        <f t="shared" si="169"/>
        <v>510.95200000000006</v>
      </c>
      <c r="DC217" t="s">
        <v>3</v>
      </c>
      <c r="DD217" t="s">
        <v>164</v>
      </c>
      <c r="DE217" t="s">
        <v>164</v>
      </c>
      <c r="DF217" t="s">
        <v>164</v>
      </c>
      <c r="DG217" t="s">
        <v>164</v>
      </c>
      <c r="DH217" t="s">
        <v>3</v>
      </c>
      <c r="DI217" t="s">
        <v>164</v>
      </c>
      <c r="DJ217" t="s">
        <v>164</v>
      </c>
      <c r="DK217" t="s">
        <v>3</v>
      </c>
      <c r="DL217" t="s">
        <v>3</v>
      </c>
      <c r="DM217" t="s">
        <v>3</v>
      </c>
      <c r="DN217">
        <v>0</v>
      </c>
      <c r="DO217">
        <v>0</v>
      </c>
      <c r="DP217">
        <v>1</v>
      </c>
      <c r="DQ217">
        <v>1</v>
      </c>
      <c r="DU217">
        <v>16987630</v>
      </c>
      <c r="DV217" t="s">
        <v>32</v>
      </c>
      <c r="DW217" t="s">
        <v>32</v>
      </c>
      <c r="DX217">
        <v>1</v>
      </c>
      <c r="DZ217" t="s">
        <v>3</v>
      </c>
      <c r="EA217" t="s">
        <v>3</v>
      </c>
      <c r="EB217" t="s">
        <v>3</v>
      </c>
      <c r="EC217" t="s">
        <v>3</v>
      </c>
      <c r="EE217">
        <v>1441815344</v>
      </c>
      <c r="EF217">
        <v>1</v>
      </c>
      <c r="EG217" t="s">
        <v>23</v>
      </c>
      <c r="EH217">
        <v>0</v>
      </c>
      <c r="EI217" t="s">
        <v>3</v>
      </c>
      <c r="EJ217">
        <v>4</v>
      </c>
      <c r="EK217">
        <v>0</v>
      </c>
      <c r="EL217" t="s">
        <v>24</v>
      </c>
      <c r="EM217" t="s">
        <v>25</v>
      </c>
      <c r="EO217" t="s">
        <v>3</v>
      </c>
      <c r="EQ217">
        <v>0</v>
      </c>
      <c r="ER217">
        <v>657.83</v>
      </c>
      <c r="ES217">
        <v>19.14</v>
      </c>
      <c r="ET217">
        <v>0</v>
      </c>
      <c r="EU217">
        <v>0</v>
      </c>
      <c r="EV217">
        <v>638.69000000000005</v>
      </c>
      <c r="EW217">
        <v>0.77</v>
      </c>
      <c r="EX217">
        <v>0</v>
      </c>
      <c r="EY217">
        <v>0</v>
      </c>
      <c r="FQ217">
        <v>0</v>
      </c>
      <c r="FR217">
        <f t="shared" si="170"/>
        <v>0</v>
      </c>
      <c r="FS217">
        <v>0</v>
      </c>
      <c r="FX217">
        <v>70</v>
      </c>
      <c r="FY217">
        <v>10</v>
      </c>
      <c r="GA217" t="s">
        <v>3</v>
      </c>
      <c r="GD217">
        <v>0</v>
      </c>
      <c r="GF217">
        <v>53561231</v>
      </c>
      <c r="GG217">
        <v>2</v>
      </c>
      <c r="GH217">
        <v>1</v>
      </c>
      <c r="GI217">
        <v>-2</v>
      </c>
      <c r="GJ217">
        <v>0</v>
      </c>
      <c r="GK217">
        <f>ROUND(R217*(R12)/100,2)</f>
        <v>0</v>
      </c>
      <c r="GL217">
        <f t="shared" si="171"/>
        <v>0</v>
      </c>
      <c r="GM217">
        <f t="shared" si="172"/>
        <v>9350.25</v>
      </c>
      <c r="GN217">
        <f t="shared" si="173"/>
        <v>0</v>
      </c>
      <c r="GO217">
        <f t="shared" si="174"/>
        <v>0</v>
      </c>
      <c r="GP217">
        <f t="shared" si="175"/>
        <v>9350.25</v>
      </c>
      <c r="GR217">
        <v>0</v>
      </c>
      <c r="GS217">
        <v>3</v>
      </c>
      <c r="GT217">
        <v>0</v>
      </c>
      <c r="GU217" t="s">
        <v>3</v>
      </c>
      <c r="GV217">
        <f t="shared" si="176"/>
        <v>0</v>
      </c>
      <c r="GW217">
        <v>1</v>
      </c>
      <c r="GX217">
        <f t="shared" si="177"/>
        <v>0</v>
      </c>
      <c r="HA217">
        <v>0</v>
      </c>
      <c r="HB217">
        <v>0</v>
      </c>
      <c r="HC217">
        <f t="shared" si="178"/>
        <v>0</v>
      </c>
      <c r="HE217" t="s">
        <v>3</v>
      </c>
      <c r="HF217" t="s">
        <v>3</v>
      </c>
      <c r="HM217" t="s">
        <v>3</v>
      </c>
      <c r="HN217" t="s">
        <v>3</v>
      </c>
      <c r="HO217" t="s">
        <v>3</v>
      </c>
      <c r="HP217" t="s">
        <v>3</v>
      </c>
      <c r="HQ217" t="s">
        <v>3</v>
      </c>
      <c r="IK217">
        <v>0</v>
      </c>
    </row>
    <row r="218" spans="1:245" x14ac:dyDescent="0.2">
      <c r="A218">
        <v>17</v>
      </c>
      <c r="B218">
        <v>1</v>
      </c>
      <c r="D218">
        <f>ROW(EtalonRes!A82)</f>
        <v>82</v>
      </c>
      <c r="E218" t="s">
        <v>177</v>
      </c>
      <c r="F218" t="s">
        <v>30</v>
      </c>
      <c r="G218" t="s">
        <v>178</v>
      </c>
      <c r="H218" t="s">
        <v>32</v>
      </c>
      <c r="I218">
        <f>ROUND(ROUND(1+1+1+1,9),9)</f>
        <v>4</v>
      </c>
      <c r="J218">
        <v>0</v>
      </c>
      <c r="K218">
        <f>ROUND(ROUND(1+1+1+1,9),9)</f>
        <v>4</v>
      </c>
      <c r="O218">
        <f t="shared" si="146"/>
        <v>2289.44</v>
      </c>
      <c r="P218">
        <f t="shared" si="147"/>
        <v>0</v>
      </c>
      <c r="Q218">
        <f t="shared" si="148"/>
        <v>625.44000000000005</v>
      </c>
      <c r="R218">
        <f t="shared" si="149"/>
        <v>396.56</v>
      </c>
      <c r="S218">
        <f t="shared" si="150"/>
        <v>1664</v>
      </c>
      <c r="T218">
        <f t="shared" si="151"/>
        <v>0</v>
      </c>
      <c r="U218">
        <f t="shared" si="152"/>
        <v>2.96</v>
      </c>
      <c r="V218">
        <f t="shared" si="153"/>
        <v>0</v>
      </c>
      <c r="W218">
        <f t="shared" si="154"/>
        <v>0</v>
      </c>
      <c r="X218">
        <f t="shared" si="155"/>
        <v>1164.8</v>
      </c>
      <c r="Y218">
        <f t="shared" si="156"/>
        <v>166.4</v>
      </c>
      <c r="AA218">
        <v>1472224561</v>
      </c>
      <c r="AB218">
        <f t="shared" si="157"/>
        <v>572.36</v>
      </c>
      <c r="AC218">
        <f>ROUND(((ES218*2)),6)</f>
        <v>0</v>
      </c>
      <c r="AD218">
        <f>ROUND(((((ET218*2))-((EU218*2)))+AE218),6)</f>
        <v>156.36000000000001</v>
      </c>
      <c r="AE218">
        <f>ROUND(((EU218*2)),6)</f>
        <v>99.14</v>
      </c>
      <c r="AF218">
        <f>ROUND(((EV218*2)),6)</f>
        <v>416</v>
      </c>
      <c r="AG218">
        <f t="shared" si="158"/>
        <v>0</v>
      </c>
      <c r="AH218">
        <f>((EW218*2))</f>
        <v>0.74</v>
      </c>
      <c r="AI218">
        <f>((EX218*2))</f>
        <v>0</v>
      </c>
      <c r="AJ218">
        <f t="shared" si="159"/>
        <v>0</v>
      </c>
      <c r="AK218">
        <v>286.18</v>
      </c>
      <c r="AL218">
        <v>0</v>
      </c>
      <c r="AM218">
        <v>78.180000000000007</v>
      </c>
      <c r="AN218">
        <v>49.57</v>
      </c>
      <c r="AO218">
        <v>208</v>
      </c>
      <c r="AP218">
        <v>0</v>
      </c>
      <c r="AQ218">
        <v>0.37</v>
      </c>
      <c r="AR218">
        <v>0</v>
      </c>
      <c r="AS218">
        <v>0</v>
      </c>
      <c r="AT218">
        <v>70</v>
      </c>
      <c r="AU218">
        <v>10</v>
      </c>
      <c r="AV218">
        <v>1</v>
      </c>
      <c r="AW218">
        <v>1</v>
      </c>
      <c r="AZ218">
        <v>1</v>
      </c>
      <c r="BA218">
        <v>1</v>
      </c>
      <c r="BB218">
        <v>1</v>
      </c>
      <c r="BC218">
        <v>1</v>
      </c>
      <c r="BD218" t="s">
        <v>3</v>
      </c>
      <c r="BE218" t="s">
        <v>3</v>
      </c>
      <c r="BF218" t="s">
        <v>3</v>
      </c>
      <c r="BG218" t="s">
        <v>3</v>
      </c>
      <c r="BH218">
        <v>0</v>
      </c>
      <c r="BI218">
        <v>4</v>
      </c>
      <c r="BJ218" t="s">
        <v>33</v>
      </c>
      <c r="BM218">
        <v>0</v>
      </c>
      <c r="BN218">
        <v>0</v>
      </c>
      <c r="BO218" t="s">
        <v>3</v>
      </c>
      <c r="BP218">
        <v>0</v>
      </c>
      <c r="BQ218">
        <v>1</v>
      </c>
      <c r="BR218">
        <v>0</v>
      </c>
      <c r="BS218">
        <v>1</v>
      </c>
      <c r="BT218">
        <v>1</v>
      </c>
      <c r="BU218">
        <v>1</v>
      </c>
      <c r="BV218">
        <v>1</v>
      </c>
      <c r="BW218">
        <v>1</v>
      </c>
      <c r="BX218">
        <v>1</v>
      </c>
      <c r="BY218" t="s">
        <v>3</v>
      </c>
      <c r="BZ218">
        <v>70</v>
      </c>
      <c r="CA218">
        <v>10</v>
      </c>
      <c r="CB218" t="s">
        <v>3</v>
      </c>
      <c r="CE218">
        <v>0</v>
      </c>
      <c r="CF218">
        <v>0</v>
      </c>
      <c r="CG218">
        <v>0</v>
      </c>
      <c r="CM218">
        <v>0</v>
      </c>
      <c r="CN218" t="s">
        <v>3</v>
      </c>
      <c r="CO218">
        <v>0</v>
      </c>
      <c r="CP218">
        <f t="shared" si="160"/>
        <v>2289.44</v>
      </c>
      <c r="CQ218">
        <f t="shared" si="161"/>
        <v>0</v>
      </c>
      <c r="CR218">
        <f>(((((ET218*2))*BB218-((EU218*2))*BS218)+AE218*BS218)*AV218)</f>
        <v>156.36000000000001</v>
      </c>
      <c r="CS218">
        <f t="shared" si="162"/>
        <v>99.14</v>
      </c>
      <c r="CT218">
        <f t="shared" si="163"/>
        <v>416</v>
      </c>
      <c r="CU218">
        <f t="shared" si="164"/>
        <v>0</v>
      </c>
      <c r="CV218">
        <f t="shared" si="165"/>
        <v>0.74</v>
      </c>
      <c r="CW218">
        <f t="shared" si="166"/>
        <v>0</v>
      </c>
      <c r="CX218">
        <f t="shared" si="167"/>
        <v>0</v>
      </c>
      <c r="CY218">
        <f t="shared" si="168"/>
        <v>1164.8</v>
      </c>
      <c r="CZ218">
        <f t="shared" si="169"/>
        <v>166.4</v>
      </c>
      <c r="DC218" t="s">
        <v>3</v>
      </c>
      <c r="DD218" t="s">
        <v>164</v>
      </c>
      <c r="DE218" t="s">
        <v>164</v>
      </c>
      <c r="DF218" t="s">
        <v>164</v>
      </c>
      <c r="DG218" t="s">
        <v>164</v>
      </c>
      <c r="DH218" t="s">
        <v>3</v>
      </c>
      <c r="DI218" t="s">
        <v>164</v>
      </c>
      <c r="DJ218" t="s">
        <v>164</v>
      </c>
      <c r="DK218" t="s">
        <v>3</v>
      </c>
      <c r="DL218" t="s">
        <v>3</v>
      </c>
      <c r="DM218" t="s">
        <v>3</v>
      </c>
      <c r="DN218">
        <v>0</v>
      </c>
      <c r="DO218">
        <v>0</v>
      </c>
      <c r="DP218">
        <v>1</v>
      </c>
      <c r="DQ218">
        <v>1</v>
      </c>
      <c r="DU218">
        <v>16987630</v>
      </c>
      <c r="DV218" t="s">
        <v>32</v>
      </c>
      <c r="DW218" t="s">
        <v>32</v>
      </c>
      <c r="DX218">
        <v>1</v>
      </c>
      <c r="DZ218" t="s">
        <v>3</v>
      </c>
      <c r="EA218" t="s">
        <v>3</v>
      </c>
      <c r="EB218" t="s">
        <v>3</v>
      </c>
      <c r="EC218" t="s">
        <v>3</v>
      </c>
      <c r="EE218">
        <v>1441815344</v>
      </c>
      <c r="EF218">
        <v>1</v>
      </c>
      <c r="EG218" t="s">
        <v>23</v>
      </c>
      <c r="EH218">
        <v>0</v>
      </c>
      <c r="EI218" t="s">
        <v>3</v>
      </c>
      <c r="EJ218">
        <v>4</v>
      </c>
      <c r="EK218">
        <v>0</v>
      </c>
      <c r="EL218" t="s">
        <v>24</v>
      </c>
      <c r="EM218" t="s">
        <v>25</v>
      </c>
      <c r="EO218" t="s">
        <v>3</v>
      </c>
      <c r="EQ218">
        <v>0</v>
      </c>
      <c r="ER218">
        <v>286.18</v>
      </c>
      <c r="ES218">
        <v>0</v>
      </c>
      <c r="ET218">
        <v>78.180000000000007</v>
      </c>
      <c r="EU218">
        <v>49.57</v>
      </c>
      <c r="EV218">
        <v>208</v>
      </c>
      <c r="EW218">
        <v>0.37</v>
      </c>
      <c r="EX218">
        <v>0</v>
      </c>
      <c r="EY218">
        <v>0</v>
      </c>
      <c r="FQ218">
        <v>0</v>
      </c>
      <c r="FR218">
        <f t="shared" si="170"/>
        <v>0</v>
      </c>
      <c r="FS218">
        <v>0</v>
      </c>
      <c r="FX218">
        <v>70</v>
      </c>
      <c r="FY218">
        <v>10</v>
      </c>
      <c r="GA218" t="s">
        <v>3</v>
      </c>
      <c r="GD218">
        <v>0</v>
      </c>
      <c r="GF218">
        <v>678704700</v>
      </c>
      <c r="GG218">
        <v>2</v>
      </c>
      <c r="GH218">
        <v>1</v>
      </c>
      <c r="GI218">
        <v>-2</v>
      </c>
      <c r="GJ218">
        <v>0</v>
      </c>
      <c r="GK218">
        <f>ROUND(R218*(R12)/100,2)</f>
        <v>428.28</v>
      </c>
      <c r="GL218">
        <f t="shared" si="171"/>
        <v>0</v>
      </c>
      <c r="GM218">
        <f t="shared" si="172"/>
        <v>4048.92</v>
      </c>
      <c r="GN218">
        <f t="shared" si="173"/>
        <v>0</v>
      </c>
      <c r="GO218">
        <f t="shared" si="174"/>
        <v>0</v>
      </c>
      <c r="GP218">
        <f t="shared" si="175"/>
        <v>4048.92</v>
      </c>
      <c r="GR218">
        <v>0</v>
      </c>
      <c r="GS218">
        <v>3</v>
      </c>
      <c r="GT218">
        <v>0</v>
      </c>
      <c r="GU218" t="s">
        <v>3</v>
      </c>
      <c r="GV218">
        <f t="shared" si="176"/>
        <v>0</v>
      </c>
      <c r="GW218">
        <v>1</v>
      </c>
      <c r="GX218">
        <f t="shared" si="177"/>
        <v>0</v>
      </c>
      <c r="HA218">
        <v>0</v>
      </c>
      <c r="HB218">
        <v>0</v>
      </c>
      <c r="HC218">
        <f t="shared" si="178"/>
        <v>0</v>
      </c>
      <c r="HE218" t="s">
        <v>3</v>
      </c>
      <c r="HF218" t="s">
        <v>3</v>
      </c>
      <c r="HM218" t="s">
        <v>3</v>
      </c>
      <c r="HN218" t="s">
        <v>3</v>
      </c>
      <c r="HO218" t="s">
        <v>3</v>
      </c>
      <c r="HP218" t="s">
        <v>3</v>
      </c>
      <c r="HQ218" t="s">
        <v>3</v>
      </c>
      <c r="IK218">
        <v>0</v>
      </c>
    </row>
    <row r="219" spans="1:245" x14ac:dyDescent="0.2">
      <c r="A219">
        <v>17</v>
      </c>
      <c r="B219">
        <v>1</v>
      </c>
      <c r="D219">
        <f>ROW(EtalonRes!A85)</f>
        <v>85</v>
      </c>
      <c r="E219" t="s">
        <v>179</v>
      </c>
      <c r="F219" t="s">
        <v>180</v>
      </c>
      <c r="G219" t="s">
        <v>181</v>
      </c>
      <c r="H219" t="s">
        <v>32</v>
      </c>
      <c r="I219">
        <f>ROUND(ROUND((1+1+1)*4,9),9)</f>
        <v>12</v>
      </c>
      <c r="J219">
        <v>0</v>
      </c>
      <c r="K219">
        <f>ROUND(ROUND((1+1+1)*4,9),9)</f>
        <v>12</v>
      </c>
      <c r="O219">
        <f t="shared" si="146"/>
        <v>18146.28</v>
      </c>
      <c r="P219">
        <f t="shared" si="147"/>
        <v>229.68</v>
      </c>
      <c r="Q219">
        <f t="shared" si="148"/>
        <v>0</v>
      </c>
      <c r="R219">
        <f t="shared" si="149"/>
        <v>0</v>
      </c>
      <c r="S219">
        <f t="shared" si="150"/>
        <v>17916.599999999999</v>
      </c>
      <c r="T219">
        <f t="shared" si="151"/>
        <v>0</v>
      </c>
      <c r="U219">
        <f t="shared" si="152"/>
        <v>21.6</v>
      </c>
      <c r="V219">
        <f t="shared" si="153"/>
        <v>0</v>
      </c>
      <c r="W219">
        <f t="shared" si="154"/>
        <v>0</v>
      </c>
      <c r="X219">
        <f t="shared" si="155"/>
        <v>12541.62</v>
      </c>
      <c r="Y219">
        <f t="shared" si="156"/>
        <v>1791.66</v>
      </c>
      <c r="AA219">
        <v>1472224561</v>
      </c>
      <c r="AB219">
        <f t="shared" si="157"/>
        <v>1512.19</v>
      </c>
      <c r="AC219">
        <f t="shared" ref="AC219:AC224" si="179">ROUND((ES219),6)</f>
        <v>19.14</v>
      </c>
      <c r="AD219">
        <f t="shared" ref="AD219:AD224" si="180">ROUND((((ET219)-(EU219))+AE219),6)</f>
        <v>0</v>
      </c>
      <c r="AE219">
        <f t="shared" ref="AE219:AF224" si="181">ROUND((EU219),6)</f>
        <v>0</v>
      </c>
      <c r="AF219">
        <f t="shared" si="181"/>
        <v>1493.05</v>
      </c>
      <c r="AG219">
        <f t="shared" si="158"/>
        <v>0</v>
      </c>
      <c r="AH219">
        <f t="shared" ref="AH219:AI224" si="182">(EW219)</f>
        <v>1.8</v>
      </c>
      <c r="AI219">
        <f t="shared" si="182"/>
        <v>0</v>
      </c>
      <c r="AJ219">
        <f t="shared" si="159"/>
        <v>0</v>
      </c>
      <c r="AK219">
        <v>1512.19</v>
      </c>
      <c r="AL219">
        <v>19.14</v>
      </c>
      <c r="AM219">
        <v>0</v>
      </c>
      <c r="AN219">
        <v>0</v>
      </c>
      <c r="AO219">
        <v>1493.05</v>
      </c>
      <c r="AP219">
        <v>0</v>
      </c>
      <c r="AQ219">
        <v>1.8</v>
      </c>
      <c r="AR219">
        <v>0</v>
      </c>
      <c r="AS219">
        <v>0</v>
      </c>
      <c r="AT219">
        <v>70</v>
      </c>
      <c r="AU219">
        <v>10</v>
      </c>
      <c r="AV219">
        <v>1</v>
      </c>
      <c r="AW219">
        <v>1</v>
      </c>
      <c r="AZ219">
        <v>1</v>
      </c>
      <c r="BA219">
        <v>1</v>
      </c>
      <c r="BB219">
        <v>1</v>
      </c>
      <c r="BC219">
        <v>1</v>
      </c>
      <c r="BD219" t="s">
        <v>3</v>
      </c>
      <c r="BE219" t="s">
        <v>3</v>
      </c>
      <c r="BF219" t="s">
        <v>3</v>
      </c>
      <c r="BG219" t="s">
        <v>3</v>
      </c>
      <c r="BH219">
        <v>0</v>
      </c>
      <c r="BI219">
        <v>4</v>
      </c>
      <c r="BJ219" t="s">
        <v>182</v>
      </c>
      <c r="BM219">
        <v>0</v>
      </c>
      <c r="BN219">
        <v>0</v>
      </c>
      <c r="BO219" t="s">
        <v>3</v>
      </c>
      <c r="BP219">
        <v>0</v>
      </c>
      <c r="BQ219">
        <v>1</v>
      </c>
      <c r="BR219">
        <v>0</v>
      </c>
      <c r="BS219">
        <v>1</v>
      </c>
      <c r="BT219">
        <v>1</v>
      </c>
      <c r="BU219">
        <v>1</v>
      </c>
      <c r="BV219">
        <v>1</v>
      </c>
      <c r="BW219">
        <v>1</v>
      </c>
      <c r="BX219">
        <v>1</v>
      </c>
      <c r="BY219" t="s">
        <v>3</v>
      </c>
      <c r="BZ219">
        <v>70</v>
      </c>
      <c r="CA219">
        <v>10</v>
      </c>
      <c r="CB219" t="s">
        <v>3</v>
      </c>
      <c r="CE219">
        <v>0</v>
      </c>
      <c r="CF219">
        <v>0</v>
      </c>
      <c r="CG219">
        <v>0</v>
      </c>
      <c r="CM219">
        <v>0</v>
      </c>
      <c r="CN219" t="s">
        <v>3</v>
      </c>
      <c r="CO219">
        <v>0</v>
      </c>
      <c r="CP219">
        <f t="shared" si="160"/>
        <v>18146.28</v>
      </c>
      <c r="CQ219">
        <f t="shared" si="161"/>
        <v>19.14</v>
      </c>
      <c r="CR219">
        <f t="shared" ref="CR219:CR224" si="183">((((ET219)*BB219-(EU219)*BS219)+AE219*BS219)*AV219)</f>
        <v>0</v>
      </c>
      <c r="CS219">
        <f t="shared" si="162"/>
        <v>0</v>
      </c>
      <c r="CT219">
        <f t="shared" si="163"/>
        <v>1493.05</v>
      </c>
      <c r="CU219">
        <f t="shared" si="164"/>
        <v>0</v>
      </c>
      <c r="CV219">
        <f t="shared" si="165"/>
        <v>1.8</v>
      </c>
      <c r="CW219">
        <f t="shared" si="166"/>
        <v>0</v>
      </c>
      <c r="CX219">
        <f t="shared" si="167"/>
        <v>0</v>
      </c>
      <c r="CY219">
        <f t="shared" si="168"/>
        <v>12541.62</v>
      </c>
      <c r="CZ219">
        <f t="shared" si="169"/>
        <v>1791.66</v>
      </c>
      <c r="DC219" t="s">
        <v>3</v>
      </c>
      <c r="DD219" t="s">
        <v>3</v>
      </c>
      <c r="DE219" t="s">
        <v>3</v>
      </c>
      <c r="DF219" t="s">
        <v>3</v>
      </c>
      <c r="DG219" t="s">
        <v>3</v>
      </c>
      <c r="DH219" t="s">
        <v>3</v>
      </c>
      <c r="DI219" t="s">
        <v>3</v>
      </c>
      <c r="DJ219" t="s">
        <v>3</v>
      </c>
      <c r="DK219" t="s">
        <v>3</v>
      </c>
      <c r="DL219" t="s">
        <v>3</v>
      </c>
      <c r="DM219" t="s">
        <v>3</v>
      </c>
      <c r="DN219">
        <v>0</v>
      </c>
      <c r="DO219">
        <v>0</v>
      </c>
      <c r="DP219">
        <v>1</v>
      </c>
      <c r="DQ219">
        <v>1</v>
      </c>
      <c r="DU219">
        <v>16987630</v>
      </c>
      <c r="DV219" t="s">
        <v>32</v>
      </c>
      <c r="DW219" t="s">
        <v>32</v>
      </c>
      <c r="DX219">
        <v>1</v>
      </c>
      <c r="DZ219" t="s">
        <v>3</v>
      </c>
      <c r="EA219" t="s">
        <v>3</v>
      </c>
      <c r="EB219" t="s">
        <v>3</v>
      </c>
      <c r="EC219" t="s">
        <v>3</v>
      </c>
      <c r="EE219">
        <v>1441815344</v>
      </c>
      <c r="EF219">
        <v>1</v>
      </c>
      <c r="EG219" t="s">
        <v>23</v>
      </c>
      <c r="EH219">
        <v>0</v>
      </c>
      <c r="EI219" t="s">
        <v>3</v>
      </c>
      <c r="EJ219">
        <v>4</v>
      </c>
      <c r="EK219">
        <v>0</v>
      </c>
      <c r="EL219" t="s">
        <v>24</v>
      </c>
      <c r="EM219" t="s">
        <v>25</v>
      </c>
      <c r="EO219" t="s">
        <v>3</v>
      </c>
      <c r="EQ219">
        <v>0</v>
      </c>
      <c r="ER219">
        <v>1512.19</v>
      </c>
      <c r="ES219">
        <v>19.14</v>
      </c>
      <c r="ET219">
        <v>0</v>
      </c>
      <c r="EU219">
        <v>0</v>
      </c>
      <c r="EV219">
        <v>1493.05</v>
      </c>
      <c r="EW219">
        <v>1.8</v>
      </c>
      <c r="EX219">
        <v>0</v>
      </c>
      <c r="EY219">
        <v>0</v>
      </c>
      <c r="FQ219">
        <v>0</v>
      </c>
      <c r="FR219">
        <f t="shared" si="170"/>
        <v>0</v>
      </c>
      <c r="FS219">
        <v>0</v>
      </c>
      <c r="FX219">
        <v>70</v>
      </c>
      <c r="FY219">
        <v>10</v>
      </c>
      <c r="GA219" t="s">
        <v>3</v>
      </c>
      <c r="GD219">
        <v>0</v>
      </c>
      <c r="GF219">
        <v>-458068811</v>
      </c>
      <c r="GG219">
        <v>2</v>
      </c>
      <c r="GH219">
        <v>1</v>
      </c>
      <c r="GI219">
        <v>-2</v>
      </c>
      <c r="GJ219">
        <v>0</v>
      </c>
      <c r="GK219">
        <f>ROUND(R219*(R12)/100,2)</f>
        <v>0</v>
      </c>
      <c r="GL219">
        <f t="shared" si="171"/>
        <v>0</v>
      </c>
      <c r="GM219">
        <f t="shared" si="172"/>
        <v>32479.56</v>
      </c>
      <c r="GN219">
        <f t="shared" si="173"/>
        <v>0</v>
      </c>
      <c r="GO219">
        <f t="shared" si="174"/>
        <v>0</v>
      </c>
      <c r="GP219">
        <f t="shared" si="175"/>
        <v>32479.56</v>
      </c>
      <c r="GR219">
        <v>0</v>
      </c>
      <c r="GS219">
        <v>3</v>
      </c>
      <c r="GT219">
        <v>0</v>
      </c>
      <c r="GU219" t="s">
        <v>3</v>
      </c>
      <c r="GV219">
        <f t="shared" si="176"/>
        <v>0</v>
      </c>
      <c r="GW219">
        <v>1</v>
      </c>
      <c r="GX219">
        <f t="shared" si="177"/>
        <v>0</v>
      </c>
      <c r="HA219">
        <v>0</v>
      </c>
      <c r="HB219">
        <v>0</v>
      </c>
      <c r="HC219">
        <f t="shared" si="178"/>
        <v>0</v>
      </c>
      <c r="HE219" t="s">
        <v>3</v>
      </c>
      <c r="HF219" t="s">
        <v>3</v>
      </c>
      <c r="HM219" t="s">
        <v>3</v>
      </c>
      <c r="HN219" t="s">
        <v>3</v>
      </c>
      <c r="HO219" t="s">
        <v>3</v>
      </c>
      <c r="HP219" t="s">
        <v>3</v>
      </c>
      <c r="HQ219" t="s">
        <v>3</v>
      </c>
      <c r="IK219">
        <v>0</v>
      </c>
    </row>
    <row r="220" spans="1:245" x14ac:dyDescent="0.2">
      <c r="A220">
        <v>17</v>
      </c>
      <c r="B220">
        <v>1</v>
      </c>
      <c r="D220">
        <f>ROW(EtalonRes!A86)</f>
        <v>86</v>
      </c>
      <c r="E220" t="s">
        <v>183</v>
      </c>
      <c r="F220" t="s">
        <v>35</v>
      </c>
      <c r="G220" t="s">
        <v>36</v>
      </c>
      <c r="H220" t="s">
        <v>37</v>
      </c>
      <c r="I220">
        <f>ROUND(ROUND(((14+1+4+23)*3+(13+1+1+4+23))/10,9),9)</f>
        <v>16.8</v>
      </c>
      <c r="J220">
        <v>0</v>
      </c>
      <c r="K220">
        <f>ROUND(ROUND(((14+1+4+23)*3+(13+1+1+4+23))/10,9),9)</f>
        <v>16.8</v>
      </c>
      <c r="O220">
        <f t="shared" si="146"/>
        <v>4668.22</v>
      </c>
      <c r="P220">
        <f t="shared" si="147"/>
        <v>0</v>
      </c>
      <c r="Q220">
        <f t="shared" si="148"/>
        <v>0</v>
      </c>
      <c r="R220">
        <f t="shared" si="149"/>
        <v>0</v>
      </c>
      <c r="S220">
        <f t="shared" si="150"/>
        <v>4668.22</v>
      </c>
      <c r="T220">
        <f t="shared" si="151"/>
        <v>0</v>
      </c>
      <c r="U220">
        <f t="shared" si="152"/>
        <v>7.5600000000000005</v>
      </c>
      <c r="V220">
        <f t="shared" si="153"/>
        <v>0</v>
      </c>
      <c r="W220">
        <f t="shared" si="154"/>
        <v>0</v>
      </c>
      <c r="X220">
        <f t="shared" si="155"/>
        <v>3267.75</v>
      </c>
      <c r="Y220">
        <f t="shared" si="156"/>
        <v>466.82</v>
      </c>
      <c r="AA220">
        <v>1472224561</v>
      </c>
      <c r="AB220">
        <f t="shared" si="157"/>
        <v>277.87</v>
      </c>
      <c r="AC220">
        <f t="shared" si="179"/>
        <v>0</v>
      </c>
      <c r="AD220">
        <f t="shared" si="180"/>
        <v>0</v>
      </c>
      <c r="AE220">
        <f t="shared" si="181"/>
        <v>0</v>
      </c>
      <c r="AF220">
        <f t="shared" si="181"/>
        <v>277.87</v>
      </c>
      <c r="AG220">
        <f t="shared" si="158"/>
        <v>0</v>
      </c>
      <c r="AH220">
        <f t="shared" si="182"/>
        <v>0.45</v>
      </c>
      <c r="AI220">
        <f t="shared" si="182"/>
        <v>0</v>
      </c>
      <c r="AJ220">
        <f t="shared" si="159"/>
        <v>0</v>
      </c>
      <c r="AK220">
        <v>277.87</v>
      </c>
      <c r="AL220">
        <v>0</v>
      </c>
      <c r="AM220">
        <v>0</v>
      </c>
      <c r="AN220">
        <v>0</v>
      </c>
      <c r="AO220">
        <v>277.87</v>
      </c>
      <c r="AP220">
        <v>0</v>
      </c>
      <c r="AQ220">
        <v>0.45</v>
      </c>
      <c r="AR220">
        <v>0</v>
      </c>
      <c r="AS220">
        <v>0</v>
      </c>
      <c r="AT220">
        <v>70</v>
      </c>
      <c r="AU220">
        <v>10</v>
      </c>
      <c r="AV220">
        <v>1</v>
      </c>
      <c r="AW220">
        <v>1</v>
      </c>
      <c r="AZ220">
        <v>1</v>
      </c>
      <c r="BA220">
        <v>1</v>
      </c>
      <c r="BB220">
        <v>1</v>
      </c>
      <c r="BC220">
        <v>1</v>
      </c>
      <c r="BD220" t="s">
        <v>3</v>
      </c>
      <c r="BE220" t="s">
        <v>3</v>
      </c>
      <c r="BF220" t="s">
        <v>3</v>
      </c>
      <c r="BG220" t="s">
        <v>3</v>
      </c>
      <c r="BH220">
        <v>0</v>
      </c>
      <c r="BI220">
        <v>4</v>
      </c>
      <c r="BJ220" t="s">
        <v>38</v>
      </c>
      <c r="BM220">
        <v>0</v>
      </c>
      <c r="BN220">
        <v>0</v>
      </c>
      <c r="BO220" t="s">
        <v>3</v>
      </c>
      <c r="BP220">
        <v>0</v>
      </c>
      <c r="BQ220">
        <v>1</v>
      </c>
      <c r="BR220">
        <v>0</v>
      </c>
      <c r="BS220">
        <v>1</v>
      </c>
      <c r="BT220">
        <v>1</v>
      </c>
      <c r="BU220">
        <v>1</v>
      </c>
      <c r="BV220">
        <v>1</v>
      </c>
      <c r="BW220">
        <v>1</v>
      </c>
      <c r="BX220">
        <v>1</v>
      </c>
      <c r="BY220" t="s">
        <v>3</v>
      </c>
      <c r="BZ220">
        <v>70</v>
      </c>
      <c r="CA220">
        <v>10</v>
      </c>
      <c r="CB220" t="s">
        <v>3</v>
      </c>
      <c r="CE220">
        <v>0</v>
      </c>
      <c r="CF220">
        <v>0</v>
      </c>
      <c r="CG220">
        <v>0</v>
      </c>
      <c r="CM220">
        <v>0</v>
      </c>
      <c r="CN220" t="s">
        <v>3</v>
      </c>
      <c r="CO220">
        <v>0</v>
      </c>
      <c r="CP220">
        <f t="shared" si="160"/>
        <v>4668.22</v>
      </c>
      <c r="CQ220">
        <f t="shared" si="161"/>
        <v>0</v>
      </c>
      <c r="CR220">
        <f t="shared" si="183"/>
        <v>0</v>
      </c>
      <c r="CS220">
        <f t="shared" si="162"/>
        <v>0</v>
      </c>
      <c r="CT220">
        <f t="shared" si="163"/>
        <v>277.87</v>
      </c>
      <c r="CU220">
        <f t="shared" si="164"/>
        <v>0</v>
      </c>
      <c r="CV220">
        <f t="shared" si="165"/>
        <v>0.45</v>
      </c>
      <c r="CW220">
        <f t="shared" si="166"/>
        <v>0</v>
      </c>
      <c r="CX220">
        <f t="shared" si="167"/>
        <v>0</v>
      </c>
      <c r="CY220">
        <f t="shared" si="168"/>
        <v>3267.7540000000004</v>
      </c>
      <c r="CZ220">
        <f t="shared" si="169"/>
        <v>466.82200000000006</v>
      </c>
      <c r="DC220" t="s">
        <v>3</v>
      </c>
      <c r="DD220" t="s">
        <v>3</v>
      </c>
      <c r="DE220" t="s">
        <v>3</v>
      </c>
      <c r="DF220" t="s">
        <v>3</v>
      </c>
      <c r="DG220" t="s">
        <v>3</v>
      </c>
      <c r="DH220" t="s">
        <v>3</v>
      </c>
      <c r="DI220" t="s">
        <v>3</v>
      </c>
      <c r="DJ220" t="s">
        <v>3</v>
      </c>
      <c r="DK220" t="s">
        <v>3</v>
      </c>
      <c r="DL220" t="s">
        <v>3</v>
      </c>
      <c r="DM220" t="s">
        <v>3</v>
      </c>
      <c r="DN220">
        <v>0</v>
      </c>
      <c r="DO220">
        <v>0</v>
      </c>
      <c r="DP220">
        <v>1</v>
      </c>
      <c r="DQ220">
        <v>1</v>
      </c>
      <c r="DU220">
        <v>16987630</v>
      </c>
      <c r="DV220" t="s">
        <v>37</v>
      </c>
      <c r="DW220" t="s">
        <v>37</v>
      </c>
      <c r="DX220">
        <v>10</v>
      </c>
      <c r="DZ220" t="s">
        <v>3</v>
      </c>
      <c r="EA220" t="s">
        <v>3</v>
      </c>
      <c r="EB220" t="s">
        <v>3</v>
      </c>
      <c r="EC220" t="s">
        <v>3</v>
      </c>
      <c r="EE220">
        <v>1441815344</v>
      </c>
      <c r="EF220">
        <v>1</v>
      </c>
      <c r="EG220" t="s">
        <v>23</v>
      </c>
      <c r="EH220">
        <v>0</v>
      </c>
      <c r="EI220" t="s">
        <v>3</v>
      </c>
      <c r="EJ220">
        <v>4</v>
      </c>
      <c r="EK220">
        <v>0</v>
      </c>
      <c r="EL220" t="s">
        <v>24</v>
      </c>
      <c r="EM220" t="s">
        <v>25</v>
      </c>
      <c r="EO220" t="s">
        <v>3</v>
      </c>
      <c r="EQ220">
        <v>0</v>
      </c>
      <c r="ER220">
        <v>277.87</v>
      </c>
      <c r="ES220">
        <v>0</v>
      </c>
      <c r="ET220">
        <v>0</v>
      </c>
      <c r="EU220">
        <v>0</v>
      </c>
      <c r="EV220">
        <v>277.87</v>
      </c>
      <c r="EW220">
        <v>0.45</v>
      </c>
      <c r="EX220">
        <v>0</v>
      </c>
      <c r="EY220">
        <v>0</v>
      </c>
      <c r="FQ220">
        <v>0</v>
      </c>
      <c r="FR220">
        <f t="shared" si="170"/>
        <v>0</v>
      </c>
      <c r="FS220">
        <v>0</v>
      </c>
      <c r="FX220">
        <v>70</v>
      </c>
      <c r="FY220">
        <v>10</v>
      </c>
      <c r="GA220" t="s">
        <v>3</v>
      </c>
      <c r="GD220">
        <v>0</v>
      </c>
      <c r="GF220">
        <v>-559430364</v>
      </c>
      <c r="GG220">
        <v>2</v>
      </c>
      <c r="GH220">
        <v>1</v>
      </c>
      <c r="GI220">
        <v>-2</v>
      </c>
      <c r="GJ220">
        <v>0</v>
      </c>
      <c r="GK220">
        <f>ROUND(R220*(R12)/100,2)</f>
        <v>0</v>
      </c>
      <c r="GL220">
        <f t="shared" si="171"/>
        <v>0</v>
      </c>
      <c r="GM220">
        <f t="shared" si="172"/>
        <v>8402.7900000000009</v>
      </c>
      <c r="GN220">
        <f t="shared" si="173"/>
        <v>0</v>
      </c>
      <c r="GO220">
        <f t="shared" si="174"/>
        <v>0</v>
      </c>
      <c r="GP220">
        <f t="shared" si="175"/>
        <v>8402.7900000000009</v>
      </c>
      <c r="GR220">
        <v>0</v>
      </c>
      <c r="GS220">
        <v>3</v>
      </c>
      <c r="GT220">
        <v>0</v>
      </c>
      <c r="GU220" t="s">
        <v>3</v>
      </c>
      <c r="GV220">
        <f t="shared" si="176"/>
        <v>0</v>
      </c>
      <c r="GW220">
        <v>1</v>
      </c>
      <c r="GX220">
        <f t="shared" si="177"/>
        <v>0</v>
      </c>
      <c r="HA220">
        <v>0</v>
      </c>
      <c r="HB220">
        <v>0</v>
      </c>
      <c r="HC220">
        <f t="shared" si="178"/>
        <v>0</v>
      </c>
      <c r="HE220" t="s">
        <v>3</v>
      </c>
      <c r="HF220" t="s">
        <v>3</v>
      </c>
      <c r="HM220" t="s">
        <v>3</v>
      </c>
      <c r="HN220" t="s">
        <v>3</v>
      </c>
      <c r="HO220" t="s">
        <v>3</v>
      </c>
      <c r="HP220" t="s">
        <v>3</v>
      </c>
      <c r="HQ220" t="s">
        <v>3</v>
      </c>
      <c r="IK220">
        <v>0</v>
      </c>
    </row>
    <row r="221" spans="1:245" x14ac:dyDescent="0.2">
      <c r="A221">
        <v>17</v>
      </c>
      <c r="B221">
        <v>1</v>
      </c>
      <c r="D221">
        <f>ROW(EtalonRes!A87)</f>
        <v>87</v>
      </c>
      <c r="E221" t="s">
        <v>184</v>
      </c>
      <c r="F221" t="s">
        <v>185</v>
      </c>
      <c r="G221" t="s">
        <v>186</v>
      </c>
      <c r="H221" t="s">
        <v>37</v>
      </c>
      <c r="I221">
        <f>ROUND(ROUND(((4+7+3+2+2+1)*3+(4+6+1+3+2+1+1))/10,9),9)</f>
        <v>7.5</v>
      </c>
      <c r="J221">
        <v>0</v>
      </c>
      <c r="K221">
        <f>ROUND(ROUND(((4+7+3+2+2+1)*3+(4+6+1+3+2+1+1))/10,9),9)</f>
        <v>7.5</v>
      </c>
      <c r="O221">
        <f t="shared" si="146"/>
        <v>2825.03</v>
      </c>
      <c r="P221">
        <f t="shared" si="147"/>
        <v>0</v>
      </c>
      <c r="Q221">
        <f t="shared" si="148"/>
        <v>0</v>
      </c>
      <c r="R221">
        <f t="shared" si="149"/>
        <v>0</v>
      </c>
      <c r="S221">
        <f t="shared" si="150"/>
        <v>2825.03</v>
      </c>
      <c r="T221">
        <f t="shared" si="151"/>
        <v>0</v>
      </c>
      <c r="U221">
        <f t="shared" si="152"/>
        <v>4.5750000000000002</v>
      </c>
      <c r="V221">
        <f t="shared" si="153"/>
        <v>0</v>
      </c>
      <c r="W221">
        <f t="shared" si="154"/>
        <v>0</v>
      </c>
      <c r="X221">
        <f t="shared" si="155"/>
        <v>1977.52</v>
      </c>
      <c r="Y221">
        <f t="shared" si="156"/>
        <v>282.5</v>
      </c>
      <c r="AA221">
        <v>1472224561</v>
      </c>
      <c r="AB221">
        <f t="shared" si="157"/>
        <v>376.67</v>
      </c>
      <c r="AC221">
        <f t="shared" si="179"/>
        <v>0</v>
      </c>
      <c r="AD221">
        <f t="shared" si="180"/>
        <v>0</v>
      </c>
      <c r="AE221">
        <f t="shared" si="181"/>
        <v>0</v>
      </c>
      <c r="AF221">
        <f t="shared" si="181"/>
        <v>376.67</v>
      </c>
      <c r="AG221">
        <f t="shared" si="158"/>
        <v>0</v>
      </c>
      <c r="AH221">
        <f t="shared" si="182"/>
        <v>0.61</v>
      </c>
      <c r="AI221">
        <f t="shared" si="182"/>
        <v>0</v>
      </c>
      <c r="AJ221">
        <f t="shared" si="159"/>
        <v>0</v>
      </c>
      <c r="AK221">
        <v>376.67</v>
      </c>
      <c r="AL221">
        <v>0</v>
      </c>
      <c r="AM221">
        <v>0</v>
      </c>
      <c r="AN221">
        <v>0</v>
      </c>
      <c r="AO221">
        <v>376.67</v>
      </c>
      <c r="AP221">
        <v>0</v>
      </c>
      <c r="AQ221">
        <v>0.61</v>
      </c>
      <c r="AR221">
        <v>0</v>
      </c>
      <c r="AS221">
        <v>0</v>
      </c>
      <c r="AT221">
        <v>70</v>
      </c>
      <c r="AU221">
        <v>10</v>
      </c>
      <c r="AV221">
        <v>1</v>
      </c>
      <c r="AW221">
        <v>1</v>
      </c>
      <c r="AZ221">
        <v>1</v>
      </c>
      <c r="BA221">
        <v>1</v>
      </c>
      <c r="BB221">
        <v>1</v>
      </c>
      <c r="BC221">
        <v>1</v>
      </c>
      <c r="BD221" t="s">
        <v>3</v>
      </c>
      <c r="BE221" t="s">
        <v>3</v>
      </c>
      <c r="BF221" t="s">
        <v>3</v>
      </c>
      <c r="BG221" t="s">
        <v>3</v>
      </c>
      <c r="BH221">
        <v>0</v>
      </c>
      <c r="BI221">
        <v>4</v>
      </c>
      <c r="BJ221" t="s">
        <v>187</v>
      </c>
      <c r="BM221">
        <v>0</v>
      </c>
      <c r="BN221">
        <v>0</v>
      </c>
      <c r="BO221" t="s">
        <v>3</v>
      </c>
      <c r="BP221">
        <v>0</v>
      </c>
      <c r="BQ221">
        <v>1</v>
      </c>
      <c r="BR221">
        <v>0</v>
      </c>
      <c r="BS221">
        <v>1</v>
      </c>
      <c r="BT221">
        <v>1</v>
      </c>
      <c r="BU221">
        <v>1</v>
      </c>
      <c r="BV221">
        <v>1</v>
      </c>
      <c r="BW221">
        <v>1</v>
      </c>
      <c r="BX221">
        <v>1</v>
      </c>
      <c r="BY221" t="s">
        <v>3</v>
      </c>
      <c r="BZ221">
        <v>70</v>
      </c>
      <c r="CA221">
        <v>10</v>
      </c>
      <c r="CB221" t="s">
        <v>3</v>
      </c>
      <c r="CE221">
        <v>0</v>
      </c>
      <c r="CF221">
        <v>0</v>
      </c>
      <c r="CG221">
        <v>0</v>
      </c>
      <c r="CM221">
        <v>0</v>
      </c>
      <c r="CN221" t="s">
        <v>3</v>
      </c>
      <c r="CO221">
        <v>0</v>
      </c>
      <c r="CP221">
        <f t="shared" si="160"/>
        <v>2825.03</v>
      </c>
      <c r="CQ221">
        <f t="shared" si="161"/>
        <v>0</v>
      </c>
      <c r="CR221">
        <f t="shared" si="183"/>
        <v>0</v>
      </c>
      <c r="CS221">
        <f t="shared" si="162"/>
        <v>0</v>
      </c>
      <c r="CT221">
        <f t="shared" si="163"/>
        <v>376.67</v>
      </c>
      <c r="CU221">
        <f t="shared" si="164"/>
        <v>0</v>
      </c>
      <c r="CV221">
        <f t="shared" si="165"/>
        <v>0.61</v>
      </c>
      <c r="CW221">
        <f t="shared" si="166"/>
        <v>0</v>
      </c>
      <c r="CX221">
        <f t="shared" si="167"/>
        <v>0</v>
      </c>
      <c r="CY221">
        <f t="shared" si="168"/>
        <v>1977.521</v>
      </c>
      <c r="CZ221">
        <f t="shared" si="169"/>
        <v>282.50300000000004</v>
      </c>
      <c r="DC221" t="s">
        <v>3</v>
      </c>
      <c r="DD221" t="s">
        <v>3</v>
      </c>
      <c r="DE221" t="s">
        <v>3</v>
      </c>
      <c r="DF221" t="s">
        <v>3</v>
      </c>
      <c r="DG221" t="s">
        <v>3</v>
      </c>
      <c r="DH221" t="s">
        <v>3</v>
      </c>
      <c r="DI221" t="s">
        <v>3</v>
      </c>
      <c r="DJ221" t="s">
        <v>3</v>
      </c>
      <c r="DK221" t="s">
        <v>3</v>
      </c>
      <c r="DL221" t="s">
        <v>3</v>
      </c>
      <c r="DM221" t="s">
        <v>3</v>
      </c>
      <c r="DN221">
        <v>0</v>
      </c>
      <c r="DO221">
        <v>0</v>
      </c>
      <c r="DP221">
        <v>1</v>
      </c>
      <c r="DQ221">
        <v>1</v>
      </c>
      <c r="DU221">
        <v>16987630</v>
      </c>
      <c r="DV221" t="s">
        <v>37</v>
      </c>
      <c r="DW221" t="s">
        <v>37</v>
      </c>
      <c r="DX221">
        <v>10</v>
      </c>
      <c r="DZ221" t="s">
        <v>3</v>
      </c>
      <c r="EA221" t="s">
        <v>3</v>
      </c>
      <c r="EB221" t="s">
        <v>3</v>
      </c>
      <c r="EC221" t="s">
        <v>3</v>
      </c>
      <c r="EE221">
        <v>1441815344</v>
      </c>
      <c r="EF221">
        <v>1</v>
      </c>
      <c r="EG221" t="s">
        <v>23</v>
      </c>
      <c r="EH221">
        <v>0</v>
      </c>
      <c r="EI221" t="s">
        <v>3</v>
      </c>
      <c r="EJ221">
        <v>4</v>
      </c>
      <c r="EK221">
        <v>0</v>
      </c>
      <c r="EL221" t="s">
        <v>24</v>
      </c>
      <c r="EM221" t="s">
        <v>25</v>
      </c>
      <c r="EO221" t="s">
        <v>3</v>
      </c>
      <c r="EQ221">
        <v>0</v>
      </c>
      <c r="ER221">
        <v>376.67</v>
      </c>
      <c r="ES221">
        <v>0</v>
      </c>
      <c r="ET221">
        <v>0</v>
      </c>
      <c r="EU221">
        <v>0</v>
      </c>
      <c r="EV221">
        <v>376.67</v>
      </c>
      <c r="EW221">
        <v>0.61</v>
      </c>
      <c r="EX221">
        <v>0</v>
      </c>
      <c r="EY221">
        <v>0</v>
      </c>
      <c r="FQ221">
        <v>0</v>
      </c>
      <c r="FR221">
        <f t="shared" si="170"/>
        <v>0</v>
      </c>
      <c r="FS221">
        <v>0</v>
      </c>
      <c r="FX221">
        <v>70</v>
      </c>
      <c r="FY221">
        <v>10</v>
      </c>
      <c r="GA221" t="s">
        <v>3</v>
      </c>
      <c r="GD221">
        <v>0</v>
      </c>
      <c r="GF221">
        <v>357408898</v>
      </c>
      <c r="GG221">
        <v>2</v>
      </c>
      <c r="GH221">
        <v>1</v>
      </c>
      <c r="GI221">
        <v>-2</v>
      </c>
      <c r="GJ221">
        <v>0</v>
      </c>
      <c r="GK221">
        <f>ROUND(R221*(R12)/100,2)</f>
        <v>0</v>
      </c>
      <c r="GL221">
        <f t="shared" si="171"/>
        <v>0</v>
      </c>
      <c r="GM221">
        <f t="shared" si="172"/>
        <v>5085.05</v>
      </c>
      <c r="GN221">
        <f t="shared" si="173"/>
        <v>0</v>
      </c>
      <c r="GO221">
        <f t="shared" si="174"/>
        <v>0</v>
      </c>
      <c r="GP221">
        <f t="shared" si="175"/>
        <v>5085.05</v>
      </c>
      <c r="GR221">
        <v>0</v>
      </c>
      <c r="GS221">
        <v>3</v>
      </c>
      <c r="GT221">
        <v>0</v>
      </c>
      <c r="GU221" t="s">
        <v>3</v>
      </c>
      <c r="GV221">
        <f t="shared" si="176"/>
        <v>0</v>
      </c>
      <c r="GW221">
        <v>1</v>
      </c>
      <c r="GX221">
        <f t="shared" si="177"/>
        <v>0</v>
      </c>
      <c r="HA221">
        <v>0</v>
      </c>
      <c r="HB221">
        <v>0</v>
      </c>
      <c r="HC221">
        <f t="shared" si="178"/>
        <v>0</v>
      </c>
      <c r="HE221" t="s">
        <v>3</v>
      </c>
      <c r="HF221" t="s">
        <v>3</v>
      </c>
      <c r="HM221" t="s">
        <v>3</v>
      </c>
      <c r="HN221" t="s">
        <v>3</v>
      </c>
      <c r="HO221" t="s">
        <v>3</v>
      </c>
      <c r="HP221" t="s">
        <v>3</v>
      </c>
      <c r="HQ221" t="s">
        <v>3</v>
      </c>
      <c r="IK221">
        <v>0</v>
      </c>
    </row>
    <row r="222" spans="1:245" x14ac:dyDescent="0.2">
      <c r="A222">
        <v>17</v>
      </c>
      <c r="B222">
        <v>1</v>
      </c>
      <c r="D222">
        <f>ROW(EtalonRes!A90)</f>
        <v>90</v>
      </c>
      <c r="E222" t="s">
        <v>188</v>
      </c>
      <c r="F222" t="s">
        <v>189</v>
      </c>
      <c r="G222" t="s">
        <v>190</v>
      </c>
      <c r="H222" t="s">
        <v>37</v>
      </c>
      <c r="I222">
        <f>ROUND(ROUND(4/10,9),9)</f>
        <v>0.4</v>
      </c>
      <c r="J222">
        <v>0</v>
      </c>
      <c r="K222">
        <f>ROUND(ROUND(4/10,9),9)</f>
        <v>0.4</v>
      </c>
      <c r="O222">
        <f t="shared" si="146"/>
        <v>809.67</v>
      </c>
      <c r="P222">
        <f t="shared" si="147"/>
        <v>0.15</v>
      </c>
      <c r="Q222">
        <f t="shared" si="148"/>
        <v>0</v>
      </c>
      <c r="R222">
        <f t="shared" si="149"/>
        <v>0</v>
      </c>
      <c r="S222">
        <f t="shared" si="150"/>
        <v>809.52</v>
      </c>
      <c r="T222">
        <f t="shared" si="151"/>
        <v>0</v>
      </c>
      <c r="U222">
        <f t="shared" si="152"/>
        <v>1.4400000000000002</v>
      </c>
      <c r="V222">
        <f t="shared" si="153"/>
        <v>0</v>
      </c>
      <c r="W222">
        <f t="shared" si="154"/>
        <v>0</v>
      </c>
      <c r="X222">
        <f t="shared" si="155"/>
        <v>566.66</v>
      </c>
      <c r="Y222">
        <f t="shared" si="156"/>
        <v>80.95</v>
      </c>
      <c r="AA222">
        <v>1472224561</v>
      </c>
      <c r="AB222">
        <f t="shared" si="157"/>
        <v>2024.19</v>
      </c>
      <c r="AC222">
        <f t="shared" si="179"/>
        <v>0.38</v>
      </c>
      <c r="AD222">
        <f t="shared" si="180"/>
        <v>0</v>
      </c>
      <c r="AE222">
        <f t="shared" si="181"/>
        <v>0</v>
      </c>
      <c r="AF222">
        <f t="shared" si="181"/>
        <v>2023.81</v>
      </c>
      <c r="AG222">
        <f t="shared" si="158"/>
        <v>0</v>
      </c>
      <c r="AH222">
        <f t="shared" si="182"/>
        <v>3.6</v>
      </c>
      <c r="AI222">
        <f t="shared" si="182"/>
        <v>0</v>
      </c>
      <c r="AJ222">
        <f t="shared" si="159"/>
        <v>0</v>
      </c>
      <c r="AK222">
        <v>2024.19</v>
      </c>
      <c r="AL222">
        <v>0.38</v>
      </c>
      <c r="AM222">
        <v>0</v>
      </c>
      <c r="AN222">
        <v>0</v>
      </c>
      <c r="AO222">
        <v>2023.81</v>
      </c>
      <c r="AP222">
        <v>0</v>
      </c>
      <c r="AQ222">
        <v>3.6</v>
      </c>
      <c r="AR222">
        <v>0</v>
      </c>
      <c r="AS222">
        <v>0</v>
      </c>
      <c r="AT222">
        <v>70</v>
      </c>
      <c r="AU222">
        <v>10</v>
      </c>
      <c r="AV222">
        <v>1</v>
      </c>
      <c r="AW222">
        <v>1</v>
      </c>
      <c r="AZ222">
        <v>1</v>
      </c>
      <c r="BA222">
        <v>1</v>
      </c>
      <c r="BB222">
        <v>1</v>
      </c>
      <c r="BC222">
        <v>1</v>
      </c>
      <c r="BD222" t="s">
        <v>3</v>
      </c>
      <c r="BE222" t="s">
        <v>3</v>
      </c>
      <c r="BF222" t="s">
        <v>3</v>
      </c>
      <c r="BG222" t="s">
        <v>3</v>
      </c>
      <c r="BH222">
        <v>0</v>
      </c>
      <c r="BI222">
        <v>4</v>
      </c>
      <c r="BJ222" t="s">
        <v>191</v>
      </c>
      <c r="BM222">
        <v>0</v>
      </c>
      <c r="BN222">
        <v>0</v>
      </c>
      <c r="BO222" t="s">
        <v>3</v>
      </c>
      <c r="BP222">
        <v>0</v>
      </c>
      <c r="BQ222">
        <v>1</v>
      </c>
      <c r="BR222">
        <v>0</v>
      </c>
      <c r="BS222">
        <v>1</v>
      </c>
      <c r="BT222">
        <v>1</v>
      </c>
      <c r="BU222">
        <v>1</v>
      </c>
      <c r="BV222">
        <v>1</v>
      </c>
      <c r="BW222">
        <v>1</v>
      </c>
      <c r="BX222">
        <v>1</v>
      </c>
      <c r="BY222" t="s">
        <v>3</v>
      </c>
      <c r="BZ222">
        <v>70</v>
      </c>
      <c r="CA222">
        <v>10</v>
      </c>
      <c r="CB222" t="s">
        <v>3</v>
      </c>
      <c r="CE222">
        <v>0</v>
      </c>
      <c r="CF222">
        <v>0</v>
      </c>
      <c r="CG222">
        <v>0</v>
      </c>
      <c r="CM222">
        <v>0</v>
      </c>
      <c r="CN222" t="s">
        <v>3</v>
      </c>
      <c r="CO222">
        <v>0</v>
      </c>
      <c r="CP222">
        <f t="shared" si="160"/>
        <v>809.67</v>
      </c>
      <c r="CQ222">
        <f t="shared" si="161"/>
        <v>0.38</v>
      </c>
      <c r="CR222">
        <f t="shared" si="183"/>
        <v>0</v>
      </c>
      <c r="CS222">
        <f t="shared" si="162"/>
        <v>0</v>
      </c>
      <c r="CT222">
        <f t="shared" si="163"/>
        <v>2023.81</v>
      </c>
      <c r="CU222">
        <f t="shared" si="164"/>
        <v>0</v>
      </c>
      <c r="CV222">
        <f t="shared" si="165"/>
        <v>3.6</v>
      </c>
      <c r="CW222">
        <f t="shared" si="166"/>
        <v>0</v>
      </c>
      <c r="CX222">
        <f t="shared" si="167"/>
        <v>0</v>
      </c>
      <c r="CY222">
        <f t="shared" si="168"/>
        <v>566.66399999999999</v>
      </c>
      <c r="CZ222">
        <f t="shared" si="169"/>
        <v>80.951999999999998</v>
      </c>
      <c r="DC222" t="s">
        <v>3</v>
      </c>
      <c r="DD222" t="s">
        <v>3</v>
      </c>
      <c r="DE222" t="s">
        <v>3</v>
      </c>
      <c r="DF222" t="s">
        <v>3</v>
      </c>
      <c r="DG222" t="s">
        <v>3</v>
      </c>
      <c r="DH222" t="s">
        <v>3</v>
      </c>
      <c r="DI222" t="s">
        <v>3</v>
      </c>
      <c r="DJ222" t="s">
        <v>3</v>
      </c>
      <c r="DK222" t="s">
        <v>3</v>
      </c>
      <c r="DL222" t="s">
        <v>3</v>
      </c>
      <c r="DM222" t="s">
        <v>3</v>
      </c>
      <c r="DN222">
        <v>0</v>
      </c>
      <c r="DO222">
        <v>0</v>
      </c>
      <c r="DP222">
        <v>1</v>
      </c>
      <c r="DQ222">
        <v>1</v>
      </c>
      <c r="DU222">
        <v>16987630</v>
      </c>
      <c r="DV222" t="s">
        <v>37</v>
      </c>
      <c r="DW222" t="s">
        <v>37</v>
      </c>
      <c r="DX222">
        <v>10</v>
      </c>
      <c r="DZ222" t="s">
        <v>3</v>
      </c>
      <c r="EA222" t="s">
        <v>3</v>
      </c>
      <c r="EB222" t="s">
        <v>3</v>
      </c>
      <c r="EC222" t="s">
        <v>3</v>
      </c>
      <c r="EE222">
        <v>1441815344</v>
      </c>
      <c r="EF222">
        <v>1</v>
      </c>
      <c r="EG222" t="s">
        <v>23</v>
      </c>
      <c r="EH222">
        <v>0</v>
      </c>
      <c r="EI222" t="s">
        <v>3</v>
      </c>
      <c r="EJ222">
        <v>4</v>
      </c>
      <c r="EK222">
        <v>0</v>
      </c>
      <c r="EL222" t="s">
        <v>24</v>
      </c>
      <c r="EM222" t="s">
        <v>25</v>
      </c>
      <c r="EO222" t="s">
        <v>3</v>
      </c>
      <c r="EQ222">
        <v>0</v>
      </c>
      <c r="ER222">
        <v>2024.19</v>
      </c>
      <c r="ES222">
        <v>0.38</v>
      </c>
      <c r="ET222">
        <v>0</v>
      </c>
      <c r="EU222">
        <v>0</v>
      </c>
      <c r="EV222">
        <v>2023.81</v>
      </c>
      <c r="EW222">
        <v>3.6</v>
      </c>
      <c r="EX222">
        <v>0</v>
      </c>
      <c r="EY222">
        <v>0</v>
      </c>
      <c r="FQ222">
        <v>0</v>
      </c>
      <c r="FR222">
        <f t="shared" si="170"/>
        <v>0</v>
      </c>
      <c r="FS222">
        <v>0</v>
      </c>
      <c r="FX222">
        <v>70</v>
      </c>
      <c r="FY222">
        <v>10</v>
      </c>
      <c r="GA222" t="s">
        <v>3</v>
      </c>
      <c r="GD222">
        <v>0</v>
      </c>
      <c r="GF222">
        <v>-1974966375</v>
      </c>
      <c r="GG222">
        <v>2</v>
      </c>
      <c r="GH222">
        <v>1</v>
      </c>
      <c r="GI222">
        <v>-2</v>
      </c>
      <c r="GJ222">
        <v>0</v>
      </c>
      <c r="GK222">
        <f>ROUND(R222*(R12)/100,2)</f>
        <v>0</v>
      </c>
      <c r="GL222">
        <f t="shared" si="171"/>
        <v>0</v>
      </c>
      <c r="GM222">
        <f t="shared" si="172"/>
        <v>1457.28</v>
      </c>
      <c r="GN222">
        <f t="shared" si="173"/>
        <v>0</v>
      </c>
      <c r="GO222">
        <f t="shared" si="174"/>
        <v>0</v>
      </c>
      <c r="GP222">
        <f t="shared" si="175"/>
        <v>1457.28</v>
      </c>
      <c r="GR222">
        <v>0</v>
      </c>
      <c r="GS222">
        <v>3</v>
      </c>
      <c r="GT222">
        <v>0</v>
      </c>
      <c r="GU222" t="s">
        <v>3</v>
      </c>
      <c r="GV222">
        <f t="shared" si="176"/>
        <v>0</v>
      </c>
      <c r="GW222">
        <v>1</v>
      </c>
      <c r="GX222">
        <f t="shared" si="177"/>
        <v>0</v>
      </c>
      <c r="HA222">
        <v>0</v>
      </c>
      <c r="HB222">
        <v>0</v>
      </c>
      <c r="HC222">
        <f t="shared" si="178"/>
        <v>0</v>
      </c>
      <c r="HE222" t="s">
        <v>3</v>
      </c>
      <c r="HF222" t="s">
        <v>3</v>
      </c>
      <c r="HM222" t="s">
        <v>3</v>
      </c>
      <c r="HN222" t="s">
        <v>3</v>
      </c>
      <c r="HO222" t="s">
        <v>3</v>
      </c>
      <c r="HP222" t="s">
        <v>3</v>
      </c>
      <c r="HQ222" t="s">
        <v>3</v>
      </c>
      <c r="IK222">
        <v>0</v>
      </c>
    </row>
    <row r="223" spans="1:245" x14ac:dyDescent="0.2">
      <c r="A223">
        <v>18</v>
      </c>
      <c r="B223">
        <v>1</v>
      </c>
      <c r="E223" t="s">
        <v>192</v>
      </c>
      <c r="F223" t="s">
        <v>193</v>
      </c>
      <c r="G223" t="s">
        <v>194</v>
      </c>
      <c r="H223" t="s">
        <v>32</v>
      </c>
      <c r="I223">
        <f>I222*J223</f>
        <v>8</v>
      </c>
      <c r="J223">
        <v>20</v>
      </c>
      <c r="K223">
        <v>10</v>
      </c>
      <c r="O223">
        <f t="shared" si="146"/>
        <v>1659.76</v>
      </c>
      <c r="P223">
        <f t="shared" si="147"/>
        <v>1659.76</v>
      </c>
      <c r="Q223">
        <f t="shared" si="148"/>
        <v>0</v>
      </c>
      <c r="R223">
        <f t="shared" si="149"/>
        <v>0</v>
      </c>
      <c r="S223">
        <f t="shared" si="150"/>
        <v>0</v>
      </c>
      <c r="T223">
        <f t="shared" si="151"/>
        <v>0</v>
      </c>
      <c r="U223">
        <f t="shared" si="152"/>
        <v>0</v>
      </c>
      <c r="V223">
        <f t="shared" si="153"/>
        <v>0</v>
      </c>
      <c r="W223">
        <f t="shared" si="154"/>
        <v>0</v>
      </c>
      <c r="X223">
        <f t="shared" si="155"/>
        <v>0</v>
      </c>
      <c r="Y223">
        <f t="shared" si="156"/>
        <v>0</v>
      </c>
      <c r="AA223">
        <v>1472224561</v>
      </c>
      <c r="AB223">
        <f t="shared" si="157"/>
        <v>207.47</v>
      </c>
      <c r="AC223">
        <f t="shared" si="179"/>
        <v>207.47</v>
      </c>
      <c r="AD223">
        <f t="shared" si="180"/>
        <v>0</v>
      </c>
      <c r="AE223">
        <f t="shared" si="181"/>
        <v>0</v>
      </c>
      <c r="AF223">
        <f t="shared" si="181"/>
        <v>0</v>
      </c>
      <c r="AG223">
        <f t="shared" si="158"/>
        <v>0</v>
      </c>
      <c r="AH223">
        <f t="shared" si="182"/>
        <v>0</v>
      </c>
      <c r="AI223">
        <f t="shared" si="182"/>
        <v>0</v>
      </c>
      <c r="AJ223">
        <f t="shared" si="159"/>
        <v>0</v>
      </c>
      <c r="AK223">
        <v>207.47</v>
      </c>
      <c r="AL223">
        <v>207.47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70</v>
      </c>
      <c r="AU223">
        <v>10</v>
      </c>
      <c r="AV223">
        <v>1</v>
      </c>
      <c r="AW223">
        <v>1</v>
      </c>
      <c r="AZ223">
        <v>1</v>
      </c>
      <c r="BA223">
        <v>1</v>
      </c>
      <c r="BB223">
        <v>1</v>
      </c>
      <c r="BC223">
        <v>1</v>
      </c>
      <c r="BD223" t="s">
        <v>3</v>
      </c>
      <c r="BE223" t="s">
        <v>3</v>
      </c>
      <c r="BF223" t="s">
        <v>3</v>
      </c>
      <c r="BG223" t="s">
        <v>3</v>
      </c>
      <c r="BH223">
        <v>3</v>
      </c>
      <c r="BI223">
        <v>4</v>
      </c>
      <c r="BJ223" t="s">
        <v>195</v>
      </c>
      <c r="BM223">
        <v>0</v>
      </c>
      <c r="BN223">
        <v>0</v>
      </c>
      <c r="BO223" t="s">
        <v>3</v>
      </c>
      <c r="BP223">
        <v>0</v>
      </c>
      <c r="BQ223">
        <v>1</v>
      </c>
      <c r="BR223">
        <v>0</v>
      </c>
      <c r="BS223">
        <v>1</v>
      </c>
      <c r="BT223">
        <v>1</v>
      </c>
      <c r="BU223">
        <v>1</v>
      </c>
      <c r="BV223">
        <v>1</v>
      </c>
      <c r="BW223">
        <v>1</v>
      </c>
      <c r="BX223">
        <v>1</v>
      </c>
      <c r="BY223" t="s">
        <v>3</v>
      </c>
      <c r="BZ223">
        <v>70</v>
      </c>
      <c r="CA223">
        <v>10</v>
      </c>
      <c r="CB223" t="s">
        <v>3</v>
      </c>
      <c r="CE223">
        <v>0</v>
      </c>
      <c r="CF223">
        <v>0</v>
      </c>
      <c r="CG223">
        <v>0</v>
      </c>
      <c r="CM223">
        <v>0</v>
      </c>
      <c r="CN223" t="s">
        <v>3</v>
      </c>
      <c r="CO223">
        <v>0</v>
      </c>
      <c r="CP223">
        <f t="shared" si="160"/>
        <v>1659.76</v>
      </c>
      <c r="CQ223">
        <f t="shared" si="161"/>
        <v>207.47</v>
      </c>
      <c r="CR223">
        <f t="shared" si="183"/>
        <v>0</v>
      </c>
      <c r="CS223">
        <f t="shared" si="162"/>
        <v>0</v>
      </c>
      <c r="CT223">
        <f t="shared" si="163"/>
        <v>0</v>
      </c>
      <c r="CU223">
        <f t="shared" si="164"/>
        <v>0</v>
      </c>
      <c r="CV223">
        <f t="shared" si="165"/>
        <v>0</v>
      </c>
      <c r="CW223">
        <f t="shared" si="166"/>
        <v>0</v>
      </c>
      <c r="CX223">
        <f t="shared" si="167"/>
        <v>0</v>
      </c>
      <c r="CY223">
        <f t="shared" si="168"/>
        <v>0</v>
      </c>
      <c r="CZ223">
        <f t="shared" si="169"/>
        <v>0</v>
      </c>
      <c r="DC223" t="s">
        <v>3</v>
      </c>
      <c r="DD223" t="s">
        <v>3</v>
      </c>
      <c r="DE223" t="s">
        <v>3</v>
      </c>
      <c r="DF223" t="s">
        <v>3</v>
      </c>
      <c r="DG223" t="s">
        <v>3</v>
      </c>
      <c r="DH223" t="s">
        <v>3</v>
      </c>
      <c r="DI223" t="s">
        <v>3</v>
      </c>
      <c r="DJ223" t="s">
        <v>3</v>
      </c>
      <c r="DK223" t="s">
        <v>3</v>
      </c>
      <c r="DL223" t="s">
        <v>3</v>
      </c>
      <c r="DM223" t="s">
        <v>3</v>
      </c>
      <c r="DN223">
        <v>0</v>
      </c>
      <c r="DO223">
        <v>0</v>
      </c>
      <c r="DP223">
        <v>1</v>
      </c>
      <c r="DQ223">
        <v>1</v>
      </c>
      <c r="DU223">
        <v>16987630</v>
      </c>
      <c r="DV223" t="s">
        <v>32</v>
      </c>
      <c r="DW223" t="s">
        <v>32</v>
      </c>
      <c r="DX223">
        <v>1</v>
      </c>
      <c r="DZ223" t="s">
        <v>3</v>
      </c>
      <c r="EA223" t="s">
        <v>3</v>
      </c>
      <c r="EB223" t="s">
        <v>3</v>
      </c>
      <c r="EC223" t="s">
        <v>3</v>
      </c>
      <c r="EE223">
        <v>1441815344</v>
      </c>
      <c r="EF223">
        <v>1</v>
      </c>
      <c r="EG223" t="s">
        <v>23</v>
      </c>
      <c r="EH223">
        <v>0</v>
      </c>
      <c r="EI223" t="s">
        <v>3</v>
      </c>
      <c r="EJ223">
        <v>4</v>
      </c>
      <c r="EK223">
        <v>0</v>
      </c>
      <c r="EL223" t="s">
        <v>24</v>
      </c>
      <c r="EM223" t="s">
        <v>25</v>
      </c>
      <c r="EO223" t="s">
        <v>3</v>
      </c>
      <c r="EQ223">
        <v>0</v>
      </c>
      <c r="ER223">
        <v>207.47</v>
      </c>
      <c r="ES223">
        <v>207.47</v>
      </c>
      <c r="ET223">
        <v>0</v>
      </c>
      <c r="EU223">
        <v>0</v>
      </c>
      <c r="EV223">
        <v>0</v>
      </c>
      <c r="EW223">
        <v>0</v>
      </c>
      <c r="EX223">
        <v>0</v>
      </c>
      <c r="FQ223">
        <v>0</v>
      </c>
      <c r="FR223">
        <f t="shared" si="170"/>
        <v>0</v>
      </c>
      <c r="FS223">
        <v>0</v>
      </c>
      <c r="FX223">
        <v>70</v>
      </c>
      <c r="FY223">
        <v>10</v>
      </c>
      <c r="GA223" t="s">
        <v>3</v>
      </c>
      <c r="GD223">
        <v>0</v>
      </c>
      <c r="GF223">
        <v>-1876481285</v>
      </c>
      <c r="GG223">
        <v>2</v>
      </c>
      <c r="GH223">
        <v>1</v>
      </c>
      <c r="GI223">
        <v>-2</v>
      </c>
      <c r="GJ223">
        <v>0</v>
      </c>
      <c r="GK223">
        <f>ROUND(R223*(R12)/100,2)</f>
        <v>0</v>
      </c>
      <c r="GL223">
        <f t="shared" si="171"/>
        <v>0</v>
      </c>
      <c r="GM223">
        <f t="shared" si="172"/>
        <v>1659.76</v>
      </c>
      <c r="GN223">
        <f t="shared" si="173"/>
        <v>0</v>
      </c>
      <c r="GO223">
        <f t="shared" si="174"/>
        <v>0</v>
      </c>
      <c r="GP223">
        <f t="shared" si="175"/>
        <v>1659.76</v>
      </c>
      <c r="GR223">
        <v>0</v>
      </c>
      <c r="GS223">
        <v>3</v>
      </c>
      <c r="GT223">
        <v>0</v>
      </c>
      <c r="GU223" t="s">
        <v>3</v>
      </c>
      <c r="GV223">
        <f t="shared" si="176"/>
        <v>0</v>
      </c>
      <c r="GW223">
        <v>1</v>
      </c>
      <c r="GX223">
        <f t="shared" si="177"/>
        <v>0</v>
      </c>
      <c r="HA223">
        <v>0</v>
      </c>
      <c r="HB223">
        <v>0</v>
      </c>
      <c r="HC223">
        <f t="shared" si="178"/>
        <v>0</v>
      </c>
      <c r="HE223" t="s">
        <v>3</v>
      </c>
      <c r="HF223" t="s">
        <v>3</v>
      </c>
      <c r="HM223" t="s">
        <v>164</v>
      </c>
      <c r="HN223" t="s">
        <v>3</v>
      </c>
      <c r="HO223" t="s">
        <v>3</v>
      </c>
      <c r="HP223" t="s">
        <v>3</v>
      </c>
      <c r="HQ223" t="s">
        <v>3</v>
      </c>
      <c r="IK223">
        <v>0</v>
      </c>
    </row>
    <row r="224" spans="1:245" x14ac:dyDescent="0.2">
      <c r="A224">
        <v>17</v>
      </c>
      <c r="B224">
        <v>1</v>
      </c>
      <c r="D224">
        <f>ROW(EtalonRes!A92)</f>
        <v>92</v>
      </c>
      <c r="E224" t="s">
        <v>196</v>
      </c>
      <c r="F224" t="s">
        <v>30</v>
      </c>
      <c r="G224" t="s">
        <v>197</v>
      </c>
      <c r="H224" t="s">
        <v>32</v>
      </c>
      <c r="I224">
        <f>ROUND(ROUND((2+1+2)*4,9),9)</f>
        <v>20</v>
      </c>
      <c r="J224">
        <v>0</v>
      </c>
      <c r="K224">
        <f>ROUND(ROUND((2+1+2)*4,9),9)</f>
        <v>20</v>
      </c>
      <c r="O224">
        <f t="shared" si="146"/>
        <v>5723.6</v>
      </c>
      <c r="P224">
        <f t="shared" si="147"/>
        <v>0</v>
      </c>
      <c r="Q224">
        <f t="shared" si="148"/>
        <v>1563.6</v>
      </c>
      <c r="R224">
        <f t="shared" si="149"/>
        <v>991.4</v>
      </c>
      <c r="S224">
        <f t="shared" si="150"/>
        <v>4160</v>
      </c>
      <c r="T224">
        <f t="shared" si="151"/>
        <v>0</v>
      </c>
      <c r="U224">
        <f t="shared" si="152"/>
        <v>7.4</v>
      </c>
      <c r="V224">
        <f t="shared" si="153"/>
        <v>0</v>
      </c>
      <c r="W224">
        <f t="shared" si="154"/>
        <v>0</v>
      </c>
      <c r="X224">
        <f t="shared" si="155"/>
        <v>2912</v>
      </c>
      <c r="Y224">
        <f t="shared" si="156"/>
        <v>416</v>
      </c>
      <c r="AA224">
        <v>1472224561</v>
      </c>
      <c r="AB224">
        <f t="shared" si="157"/>
        <v>286.18</v>
      </c>
      <c r="AC224">
        <f t="shared" si="179"/>
        <v>0</v>
      </c>
      <c r="AD224">
        <f t="shared" si="180"/>
        <v>78.180000000000007</v>
      </c>
      <c r="AE224">
        <f t="shared" si="181"/>
        <v>49.57</v>
      </c>
      <c r="AF224">
        <f t="shared" si="181"/>
        <v>208</v>
      </c>
      <c r="AG224">
        <f t="shared" si="158"/>
        <v>0</v>
      </c>
      <c r="AH224">
        <f t="shared" si="182"/>
        <v>0.37</v>
      </c>
      <c r="AI224">
        <f t="shared" si="182"/>
        <v>0</v>
      </c>
      <c r="AJ224">
        <f t="shared" si="159"/>
        <v>0</v>
      </c>
      <c r="AK224">
        <v>286.18</v>
      </c>
      <c r="AL224">
        <v>0</v>
      </c>
      <c r="AM224">
        <v>78.180000000000007</v>
      </c>
      <c r="AN224">
        <v>49.57</v>
      </c>
      <c r="AO224">
        <v>208</v>
      </c>
      <c r="AP224">
        <v>0</v>
      </c>
      <c r="AQ224">
        <v>0.37</v>
      </c>
      <c r="AR224">
        <v>0</v>
      </c>
      <c r="AS224">
        <v>0</v>
      </c>
      <c r="AT224">
        <v>70</v>
      </c>
      <c r="AU224">
        <v>10</v>
      </c>
      <c r="AV224">
        <v>1</v>
      </c>
      <c r="AW224">
        <v>1</v>
      </c>
      <c r="AZ224">
        <v>1</v>
      </c>
      <c r="BA224">
        <v>1</v>
      </c>
      <c r="BB224">
        <v>1</v>
      </c>
      <c r="BC224">
        <v>1</v>
      </c>
      <c r="BD224" t="s">
        <v>3</v>
      </c>
      <c r="BE224" t="s">
        <v>3</v>
      </c>
      <c r="BF224" t="s">
        <v>3</v>
      </c>
      <c r="BG224" t="s">
        <v>3</v>
      </c>
      <c r="BH224">
        <v>0</v>
      </c>
      <c r="BI224">
        <v>4</v>
      </c>
      <c r="BJ224" t="s">
        <v>33</v>
      </c>
      <c r="BM224">
        <v>0</v>
      </c>
      <c r="BN224">
        <v>0</v>
      </c>
      <c r="BO224" t="s">
        <v>3</v>
      </c>
      <c r="BP224">
        <v>0</v>
      </c>
      <c r="BQ224">
        <v>1</v>
      </c>
      <c r="BR224">
        <v>0</v>
      </c>
      <c r="BS224">
        <v>1</v>
      </c>
      <c r="BT224">
        <v>1</v>
      </c>
      <c r="BU224">
        <v>1</v>
      </c>
      <c r="BV224">
        <v>1</v>
      </c>
      <c r="BW224">
        <v>1</v>
      </c>
      <c r="BX224">
        <v>1</v>
      </c>
      <c r="BY224" t="s">
        <v>3</v>
      </c>
      <c r="BZ224">
        <v>70</v>
      </c>
      <c r="CA224">
        <v>10</v>
      </c>
      <c r="CB224" t="s">
        <v>3</v>
      </c>
      <c r="CE224">
        <v>0</v>
      </c>
      <c r="CF224">
        <v>0</v>
      </c>
      <c r="CG224">
        <v>0</v>
      </c>
      <c r="CM224">
        <v>0</v>
      </c>
      <c r="CN224" t="s">
        <v>3</v>
      </c>
      <c r="CO224">
        <v>0</v>
      </c>
      <c r="CP224">
        <f t="shared" si="160"/>
        <v>5723.6</v>
      </c>
      <c r="CQ224">
        <f t="shared" si="161"/>
        <v>0</v>
      </c>
      <c r="CR224">
        <f t="shared" si="183"/>
        <v>78.180000000000007</v>
      </c>
      <c r="CS224">
        <f t="shared" si="162"/>
        <v>49.57</v>
      </c>
      <c r="CT224">
        <f t="shared" si="163"/>
        <v>208</v>
      </c>
      <c r="CU224">
        <f t="shared" si="164"/>
        <v>0</v>
      </c>
      <c r="CV224">
        <f t="shared" si="165"/>
        <v>0.37</v>
      </c>
      <c r="CW224">
        <f t="shared" si="166"/>
        <v>0</v>
      </c>
      <c r="CX224">
        <f t="shared" si="167"/>
        <v>0</v>
      </c>
      <c r="CY224">
        <f t="shared" si="168"/>
        <v>2912</v>
      </c>
      <c r="CZ224">
        <f t="shared" si="169"/>
        <v>416</v>
      </c>
      <c r="DC224" t="s">
        <v>3</v>
      </c>
      <c r="DD224" t="s">
        <v>3</v>
      </c>
      <c r="DE224" t="s">
        <v>3</v>
      </c>
      <c r="DF224" t="s">
        <v>3</v>
      </c>
      <c r="DG224" t="s">
        <v>3</v>
      </c>
      <c r="DH224" t="s">
        <v>3</v>
      </c>
      <c r="DI224" t="s">
        <v>3</v>
      </c>
      <c r="DJ224" t="s">
        <v>3</v>
      </c>
      <c r="DK224" t="s">
        <v>3</v>
      </c>
      <c r="DL224" t="s">
        <v>3</v>
      </c>
      <c r="DM224" t="s">
        <v>3</v>
      </c>
      <c r="DN224">
        <v>0</v>
      </c>
      <c r="DO224">
        <v>0</v>
      </c>
      <c r="DP224">
        <v>1</v>
      </c>
      <c r="DQ224">
        <v>1</v>
      </c>
      <c r="DU224">
        <v>16987630</v>
      </c>
      <c r="DV224" t="s">
        <v>32</v>
      </c>
      <c r="DW224" t="s">
        <v>32</v>
      </c>
      <c r="DX224">
        <v>1</v>
      </c>
      <c r="DZ224" t="s">
        <v>3</v>
      </c>
      <c r="EA224" t="s">
        <v>3</v>
      </c>
      <c r="EB224" t="s">
        <v>3</v>
      </c>
      <c r="EC224" t="s">
        <v>3</v>
      </c>
      <c r="EE224">
        <v>1441815344</v>
      </c>
      <c r="EF224">
        <v>1</v>
      </c>
      <c r="EG224" t="s">
        <v>23</v>
      </c>
      <c r="EH224">
        <v>0</v>
      </c>
      <c r="EI224" t="s">
        <v>3</v>
      </c>
      <c r="EJ224">
        <v>4</v>
      </c>
      <c r="EK224">
        <v>0</v>
      </c>
      <c r="EL224" t="s">
        <v>24</v>
      </c>
      <c r="EM224" t="s">
        <v>25</v>
      </c>
      <c r="EO224" t="s">
        <v>3</v>
      </c>
      <c r="EQ224">
        <v>0</v>
      </c>
      <c r="ER224">
        <v>286.18</v>
      </c>
      <c r="ES224">
        <v>0</v>
      </c>
      <c r="ET224">
        <v>78.180000000000007</v>
      </c>
      <c r="EU224">
        <v>49.57</v>
      </c>
      <c r="EV224">
        <v>208</v>
      </c>
      <c r="EW224">
        <v>0.37</v>
      </c>
      <c r="EX224">
        <v>0</v>
      </c>
      <c r="EY224">
        <v>0</v>
      </c>
      <c r="FQ224">
        <v>0</v>
      </c>
      <c r="FR224">
        <f t="shared" si="170"/>
        <v>0</v>
      </c>
      <c r="FS224">
        <v>0</v>
      </c>
      <c r="FX224">
        <v>70</v>
      </c>
      <c r="FY224">
        <v>10</v>
      </c>
      <c r="GA224" t="s">
        <v>3</v>
      </c>
      <c r="GD224">
        <v>0</v>
      </c>
      <c r="GF224">
        <v>504006196</v>
      </c>
      <c r="GG224">
        <v>2</v>
      </c>
      <c r="GH224">
        <v>1</v>
      </c>
      <c r="GI224">
        <v>-2</v>
      </c>
      <c r="GJ224">
        <v>0</v>
      </c>
      <c r="GK224">
        <f>ROUND(R224*(R12)/100,2)</f>
        <v>1070.71</v>
      </c>
      <c r="GL224">
        <f t="shared" si="171"/>
        <v>0</v>
      </c>
      <c r="GM224">
        <f t="shared" si="172"/>
        <v>10122.31</v>
      </c>
      <c r="GN224">
        <f t="shared" si="173"/>
        <v>0</v>
      </c>
      <c r="GO224">
        <f t="shared" si="174"/>
        <v>0</v>
      </c>
      <c r="GP224">
        <f t="shared" si="175"/>
        <v>10122.31</v>
      </c>
      <c r="GR224">
        <v>0</v>
      </c>
      <c r="GS224">
        <v>3</v>
      </c>
      <c r="GT224">
        <v>0</v>
      </c>
      <c r="GU224" t="s">
        <v>3</v>
      </c>
      <c r="GV224">
        <f t="shared" si="176"/>
        <v>0</v>
      </c>
      <c r="GW224">
        <v>1</v>
      </c>
      <c r="GX224">
        <f t="shared" si="177"/>
        <v>0</v>
      </c>
      <c r="HA224">
        <v>0</v>
      </c>
      <c r="HB224">
        <v>0</v>
      </c>
      <c r="HC224">
        <f t="shared" si="178"/>
        <v>0</v>
      </c>
      <c r="HE224" t="s">
        <v>3</v>
      </c>
      <c r="HF224" t="s">
        <v>3</v>
      </c>
      <c r="HM224" t="s">
        <v>3</v>
      </c>
      <c r="HN224" t="s">
        <v>3</v>
      </c>
      <c r="HO224" t="s">
        <v>3</v>
      </c>
      <c r="HP224" t="s">
        <v>3</v>
      </c>
      <c r="HQ224" t="s">
        <v>3</v>
      </c>
      <c r="IK224">
        <v>0</v>
      </c>
    </row>
    <row r="225" spans="1:245" x14ac:dyDescent="0.2">
      <c r="A225">
        <v>17</v>
      </c>
      <c r="B225">
        <v>1</v>
      </c>
      <c r="D225">
        <f>ROW(EtalonRes!A93)</f>
        <v>93</v>
      </c>
      <c r="E225" t="s">
        <v>198</v>
      </c>
      <c r="F225" t="s">
        <v>199</v>
      </c>
      <c r="G225" t="s">
        <v>200</v>
      </c>
      <c r="H225" t="s">
        <v>37</v>
      </c>
      <c r="I225">
        <f>ROUND(ROUND((2+2+2+2)/10,9),9)</f>
        <v>0.8</v>
      </c>
      <c r="J225">
        <v>0</v>
      </c>
      <c r="K225">
        <f>ROUND(ROUND((2+2+2+2)/10,9),9)</f>
        <v>0.8</v>
      </c>
      <c r="O225">
        <f t="shared" si="146"/>
        <v>2015.49</v>
      </c>
      <c r="P225">
        <f t="shared" si="147"/>
        <v>0</v>
      </c>
      <c r="Q225">
        <f t="shared" si="148"/>
        <v>0</v>
      </c>
      <c r="R225">
        <f t="shared" si="149"/>
        <v>0</v>
      </c>
      <c r="S225">
        <f t="shared" si="150"/>
        <v>2015.49</v>
      </c>
      <c r="T225">
        <f t="shared" si="151"/>
        <v>0</v>
      </c>
      <c r="U225">
        <f t="shared" si="152"/>
        <v>3.2640000000000002</v>
      </c>
      <c r="V225">
        <f t="shared" si="153"/>
        <v>0</v>
      </c>
      <c r="W225">
        <f t="shared" si="154"/>
        <v>0</v>
      </c>
      <c r="X225">
        <f t="shared" si="155"/>
        <v>1410.84</v>
      </c>
      <c r="Y225">
        <f t="shared" si="156"/>
        <v>201.55</v>
      </c>
      <c r="AA225">
        <v>1472224561</v>
      </c>
      <c r="AB225">
        <f t="shared" si="157"/>
        <v>2519.36</v>
      </c>
      <c r="AC225">
        <f>ROUND(((ES225*2)),6)</f>
        <v>0</v>
      </c>
      <c r="AD225">
        <f>ROUND(((((ET225*2))-((EU225*2)))+AE225),6)</f>
        <v>0</v>
      </c>
      <c r="AE225">
        <f>ROUND(((EU225*2)),6)</f>
        <v>0</v>
      </c>
      <c r="AF225">
        <f>ROUND(((EV225*2)),6)</f>
        <v>2519.36</v>
      </c>
      <c r="AG225">
        <f t="shared" si="158"/>
        <v>0</v>
      </c>
      <c r="AH225">
        <f>((EW225*2))</f>
        <v>4.08</v>
      </c>
      <c r="AI225">
        <f>((EX225*2))</f>
        <v>0</v>
      </c>
      <c r="AJ225">
        <f t="shared" si="159"/>
        <v>0</v>
      </c>
      <c r="AK225">
        <v>1259.68</v>
      </c>
      <c r="AL225">
        <v>0</v>
      </c>
      <c r="AM225">
        <v>0</v>
      </c>
      <c r="AN225">
        <v>0</v>
      </c>
      <c r="AO225">
        <v>1259.68</v>
      </c>
      <c r="AP225">
        <v>0</v>
      </c>
      <c r="AQ225">
        <v>2.04</v>
      </c>
      <c r="AR225">
        <v>0</v>
      </c>
      <c r="AS225">
        <v>0</v>
      </c>
      <c r="AT225">
        <v>70</v>
      </c>
      <c r="AU225">
        <v>10</v>
      </c>
      <c r="AV225">
        <v>1</v>
      </c>
      <c r="AW225">
        <v>1</v>
      </c>
      <c r="AZ225">
        <v>1</v>
      </c>
      <c r="BA225">
        <v>1</v>
      </c>
      <c r="BB225">
        <v>1</v>
      </c>
      <c r="BC225">
        <v>1</v>
      </c>
      <c r="BD225" t="s">
        <v>3</v>
      </c>
      <c r="BE225" t="s">
        <v>3</v>
      </c>
      <c r="BF225" t="s">
        <v>3</v>
      </c>
      <c r="BG225" t="s">
        <v>3</v>
      </c>
      <c r="BH225">
        <v>0</v>
      </c>
      <c r="BI225">
        <v>4</v>
      </c>
      <c r="BJ225" t="s">
        <v>201</v>
      </c>
      <c r="BM225">
        <v>0</v>
      </c>
      <c r="BN225">
        <v>0</v>
      </c>
      <c r="BO225" t="s">
        <v>3</v>
      </c>
      <c r="BP225">
        <v>0</v>
      </c>
      <c r="BQ225">
        <v>1</v>
      </c>
      <c r="BR225">
        <v>0</v>
      </c>
      <c r="BS225">
        <v>1</v>
      </c>
      <c r="BT225">
        <v>1</v>
      </c>
      <c r="BU225">
        <v>1</v>
      </c>
      <c r="BV225">
        <v>1</v>
      </c>
      <c r="BW225">
        <v>1</v>
      </c>
      <c r="BX225">
        <v>1</v>
      </c>
      <c r="BY225" t="s">
        <v>3</v>
      </c>
      <c r="BZ225">
        <v>70</v>
      </c>
      <c r="CA225">
        <v>10</v>
      </c>
      <c r="CB225" t="s">
        <v>3</v>
      </c>
      <c r="CE225">
        <v>0</v>
      </c>
      <c r="CF225">
        <v>0</v>
      </c>
      <c r="CG225">
        <v>0</v>
      </c>
      <c r="CM225">
        <v>0</v>
      </c>
      <c r="CN225" t="s">
        <v>3</v>
      </c>
      <c r="CO225">
        <v>0</v>
      </c>
      <c r="CP225">
        <f t="shared" si="160"/>
        <v>2015.49</v>
      </c>
      <c r="CQ225">
        <f t="shared" si="161"/>
        <v>0</v>
      </c>
      <c r="CR225">
        <f>(((((ET225*2))*BB225-((EU225*2))*BS225)+AE225*BS225)*AV225)</f>
        <v>0</v>
      </c>
      <c r="CS225">
        <f t="shared" si="162"/>
        <v>0</v>
      </c>
      <c r="CT225">
        <f t="shared" si="163"/>
        <v>2519.36</v>
      </c>
      <c r="CU225">
        <f t="shared" si="164"/>
        <v>0</v>
      </c>
      <c r="CV225">
        <f t="shared" si="165"/>
        <v>4.08</v>
      </c>
      <c r="CW225">
        <f t="shared" si="166"/>
        <v>0</v>
      </c>
      <c r="CX225">
        <f t="shared" si="167"/>
        <v>0</v>
      </c>
      <c r="CY225">
        <f t="shared" si="168"/>
        <v>1410.8429999999998</v>
      </c>
      <c r="CZ225">
        <f t="shared" si="169"/>
        <v>201.54900000000001</v>
      </c>
      <c r="DC225" t="s">
        <v>3</v>
      </c>
      <c r="DD225" t="s">
        <v>164</v>
      </c>
      <c r="DE225" t="s">
        <v>164</v>
      </c>
      <c r="DF225" t="s">
        <v>164</v>
      </c>
      <c r="DG225" t="s">
        <v>164</v>
      </c>
      <c r="DH225" t="s">
        <v>3</v>
      </c>
      <c r="DI225" t="s">
        <v>164</v>
      </c>
      <c r="DJ225" t="s">
        <v>164</v>
      </c>
      <c r="DK225" t="s">
        <v>3</v>
      </c>
      <c r="DL225" t="s">
        <v>3</v>
      </c>
      <c r="DM225" t="s">
        <v>3</v>
      </c>
      <c r="DN225">
        <v>0</v>
      </c>
      <c r="DO225">
        <v>0</v>
      </c>
      <c r="DP225">
        <v>1</v>
      </c>
      <c r="DQ225">
        <v>1</v>
      </c>
      <c r="DU225">
        <v>16987630</v>
      </c>
      <c r="DV225" t="s">
        <v>37</v>
      </c>
      <c r="DW225" t="s">
        <v>37</v>
      </c>
      <c r="DX225">
        <v>10</v>
      </c>
      <c r="DZ225" t="s">
        <v>3</v>
      </c>
      <c r="EA225" t="s">
        <v>3</v>
      </c>
      <c r="EB225" t="s">
        <v>3</v>
      </c>
      <c r="EC225" t="s">
        <v>3</v>
      </c>
      <c r="EE225">
        <v>1441815344</v>
      </c>
      <c r="EF225">
        <v>1</v>
      </c>
      <c r="EG225" t="s">
        <v>23</v>
      </c>
      <c r="EH225">
        <v>0</v>
      </c>
      <c r="EI225" t="s">
        <v>3</v>
      </c>
      <c r="EJ225">
        <v>4</v>
      </c>
      <c r="EK225">
        <v>0</v>
      </c>
      <c r="EL225" t="s">
        <v>24</v>
      </c>
      <c r="EM225" t="s">
        <v>25</v>
      </c>
      <c r="EO225" t="s">
        <v>3</v>
      </c>
      <c r="EQ225">
        <v>0</v>
      </c>
      <c r="ER225">
        <v>1259.68</v>
      </c>
      <c r="ES225">
        <v>0</v>
      </c>
      <c r="ET225">
        <v>0</v>
      </c>
      <c r="EU225">
        <v>0</v>
      </c>
      <c r="EV225">
        <v>1259.68</v>
      </c>
      <c r="EW225">
        <v>2.04</v>
      </c>
      <c r="EX225">
        <v>0</v>
      </c>
      <c r="EY225">
        <v>0</v>
      </c>
      <c r="FQ225">
        <v>0</v>
      </c>
      <c r="FR225">
        <f t="shared" si="170"/>
        <v>0</v>
      </c>
      <c r="FS225">
        <v>0</v>
      </c>
      <c r="FX225">
        <v>70</v>
      </c>
      <c r="FY225">
        <v>10</v>
      </c>
      <c r="GA225" t="s">
        <v>3</v>
      </c>
      <c r="GD225">
        <v>0</v>
      </c>
      <c r="GF225">
        <v>-675599503</v>
      </c>
      <c r="GG225">
        <v>2</v>
      </c>
      <c r="GH225">
        <v>1</v>
      </c>
      <c r="GI225">
        <v>-2</v>
      </c>
      <c r="GJ225">
        <v>0</v>
      </c>
      <c r="GK225">
        <f>ROUND(R225*(R12)/100,2)</f>
        <v>0</v>
      </c>
      <c r="GL225">
        <f t="shared" si="171"/>
        <v>0</v>
      </c>
      <c r="GM225">
        <f t="shared" si="172"/>
        <v>3627.88</v>
      </c>
      <c r="GN225">
        <f t="shared" si="173"/>
        <v>0</v>
      </c>
      <c r="GO225">
        <f t="shared" si="174"/>
        <v>0</v>
      </c>
      <c r="GP225">
        <f t="shared" si="175"/>
        <v>3627.88</v>
      </c>
      <c r="GR225">
        <v>0</v>
      </c>
      <c r="GS225">
        <v>3</v>
      </c>
      <c r="GT225">
        <v>0</v>
      </c>
      <c r="GU225" t="s">
        <v>3</v>
      </c>
      <c r="GV225">
        <f t="shared" si="176"/>
        <v>0</v>
      </c>
      <c r="GW225">
        <v>1</v>
      </c>
      <c r="GX225">
        <f t="shared" si="177"/>
        <v>0</v>
      </c>
      <c r="HA225">
        <v>0</v>
      </c>
      <c r="HB225">
        <v>0</v>
      </c>
      <c r="HC225">
        <f t="shared" si="178"/>
        <v>0</v>
      </c>
      <c r="HE225" t="s">
        <v>3</v>
      </c>
      <c r="HF225" t="s">
        <v>3</v>
      </c>
      <c r="HM225" t="s">
        <v>3</v>
      </c>
      <c r="HN225" t="s">
        <v>3</v>
      </c>
      <c r="HO225" t="s">
        <v>3</v>
      </c>
      <c r="HP225" t="s">
        <v>3</v>
      </c>
      <c r="HQ225" t="s">
        <v>3</v>
      </c>
      <c r="IK225">
        <v>0</v>
      </c>
    </row>
    <row r="226" spans="1:245" x14ac:dyDescent="0.2">
      <c r="A226">
        <v>17</v>
      </c>
      <c r="B226">
        <v>1</v>
      </c>
      <c r="D226">
        <f>ROW(EtalonRes!A94)</f>
        <v>94</v>
      </c>
      <c r="E226" t="s">
        <v>202</v>
      </c>
      <c r="F226" t="s">
        <v>203</v>
      </c>
      <c r="G226" t="s">
        <v>204</v>
      </c>
      <c r="H226" t="s">
        <v>37</v>
      </c>
      <c r="I226">
        <f>ROUND(ROUND((2+1)*4/10,9),9)</f>
        <v>1.2</v>
      </c>
      <c r="J226">
        <v>0</v>
      </c>
      <c r="K226">
        <f>ROUND(ROUND((2+1)*4/10,9),9)</f>
        <v>1.2</v>
      </c>
      <c r="O226">
        <f t="shared" si="146"/>
        <v>3453</v>
      </c>
      <c r="P226">
        <f t="shared" si="147"/>
        <v>0</v>
      </c>
      <c r="Q226">
        <f t="shared" si="148"/>
        <v>0</v>
      </c>
      <c r="R226">
        <f t="shared" si="149"/>
        <v>0</v>
      </c>
      <c r="S226">
        <f t="shared" si="150"/>
        <v>3453</v>
      </c>
      <c r="T226">
        <f t="shared" si="151"/>
        <v>0</v>
      </c>
      <c r="U226">
        <f t="shared" si="152"/>
        <v>5.5919999999999996</v>
      </c>
      <c r="V226">
        <f t="shared" si="153"/>
        <v>0</v>
      </c>
      <c r="W226">
        <f t="shared" si="154"/>
        <v>0</v>
      </c>
      <c r="X226">
        <f t="shared" si="155"/>
        <v>2417.1</v>
      </c>
      <c r="Y226">
        <f t="shared" si="156"/>
        <v>345.3</v>
      </c>
      <c r="AA226">
        <v>1472224561</v>
      </c>
      <c r="AB226">
        <f t="shared" si="157"/>
        <v>2877.5</v>
      </c>
      <c r="AC226">
        <f>ROUND(((ES226*2)),6)</f>
        <v>0</v>
      </c>
      <c r="AD226">
        <f>ROUND(((((ET226*2))-((EU226*2)))+AE226),6)</f>
        <v>0</v>
      </c>
      <c r="AE226">
        <f>ROUND(((EU226*2)),6)</f>
        <v>0</v>
      </c>
      <c r="AF226">
        <f>ROUND(((EV226*2)),6)</f>
        <v>2877.5</v>
      </c>
      <c r="AG226">
        <f t="shared" si="158"/>
        <v>0</v>
      </c>
      <c r="AH226">
        <f>((EW226*2))</f>
        <v>4.66</v>
      </c>
      <c r="AI226">
        <f>((EX226*2))</f>
        <v>0</v>
      </c>
      <c r="AJ226">
        <f t="shared" si="159"/>
        <v>0</v>
      </c>
      <c r="AK226">
        <v>1438.75</v>
      </c>
      <c r="AL226">
        <v>0</v>
      </c>
      <c r="AM226">
        <v>0</v>
      </c>
      <c r="AN226">
        <v>0</v>
      </c>
      <c r="AO226">
        <v>1438.75</v>
      </c>
      <c r="AP226">
        <v>0</v>
      </c>
      <c r="AQ226">
        <v>2.33</v>
      </c>
      <c r="AR226">
        <v>0</v>
      </c>
      <c r="AS226">
        <v>0</v>
      </c>
      <c r="AT226">
        <v>70</v>
      </c>
      <c r="AU226">
        <v>10</v>
      </c>
      <c r="AV226">
        <v>1</v>
      </c>
      <c r="AW226">
        <v>1</v>
      </c>
      <c r="AZ226">
        <v>1</v>
      </c>
      <c r="BA226">
        <v>1</v>
      </c>
      <c r="BB226">
        <v>1</v>
      </c>
      <c r="BC226">
        <v>1</v>
      </c>
      <c r="BD226" t="s">
        <v>3</v>
      </c>
      <c r="BE226" t="s">
        <v>3</v>
      </c>
      <c r="BF226" t="s">
        <v>3</v>
      </c>
      <c r="BG226" t="s">
        <v>3</v>
      </c>
      <c r="BH226">
        <v>0</v>
      </c>
      <c r="BI226">
        <v>4</v>
      </c>
      <c r="BJ226" t="s">
        <v>205</v>
      </c>
      <c r="BM226">
        <v>0</v>
      </c>
      <c r="BN226">
        <v>0</v>
      </c>
      <c r="BO226" t="s">
        <v>3</v>
      </c>
      <c r="BP226">
        <v>0</v>
      </c>
      <c r="BQ226">
        <v>1</v>
      </c>
      <c r="BR226">
        <v>0</v>
      </c>
      <c r="BS226">
        <v>1</v>
      </c>
      <c r="BT226">
        <v>1</v>
      </c>
      <c r="BU226">
        <v>1</v>
      </c>
      <c r="BV226">
        <v>1</v>
      </c>
      <c r="BW226">
        <v>1</v>
      </c>
      <c r="BX226">
        <v>1</v>
      </c>
      <c r="BY226" t="s">
        <v>3</v>
      </c>
      <c r="BZ226">
        <v>70</v>
      </c>
      <c r="CA226">
        <v>10</v>
      </c>
      <c r="CB226" t="s">
        <v>3</v>
      </c>
      <c r="CE226">
        <v>0</v>
      </c>
      <c r="CF226">
        <v>0</v>
      </c>
      <c r="CG226">
        <v>0</v>
      </c>
      <c r="CM226">
        <v>0</v>
      </c>
      <c r="CN226" t="s">
        <v>3</v>
      </c>
      <c r="CO226">
        <v>0</v>
      </c>
      <c r="CP226">
        <f t="shared" si="160"/>
        <v>3453</v>
      </c>
      <c r="CQ226">
        <f t="shared" si="161"/>
        <v>0</v>
      </c>
      <c r="CR226">
        <f>(((((ET226*2))*BB226-((EU226*2))*BS226)+AE226*BS226)*AV226)</f>
        <v>0</v>
      </c>
      <c r="CS226">
        <f t="shared" si="162"/>
        <v>0</v>
      </c>
      <c r="CT226">
        <f t="shared" si="163"/>
        <v>2877.5</v>
      </c>
      <c r="CU226">
        <f t="shared" si="164"/>
        <v>0</v>
      </c>
      <c r="CV226">
        <f t="shared" si="165"/>
        <v>4.66</v>
      </c>
      <c r="CW226">
        <f t="shared" si="166"/>
        <v>0</v>
      </c>
      <c r="CX226">
        <f t="shared" si="167"/>
        <v>0</v>
      </c>
      <c r="CY226">
        <f t="shared" si="168"/>
        <v>2417.1</v>
      </c>
      <c r="CZ226">
        <f t="shared" si="169"/>
        <v>345.3</v>
      </c>
      <c r="DC226" t="s">
        <v>3</v>
      </c>
      <c r="DD226" t="s">
        <v>164</v>
      </c>
      <c r="DE226" t="s">
        <v>164</v>
      </c>
      <c r="DF226" t="s">
        <v>164</v>
      </c>
      <c r="DG226" t="s">
        <v>164</v>
      </c>
      <c r="DH226" t="s">
        <v>3</v>
      </c>
      <c r="DI226" t="s">
        <v>164</v>
      </c>
      <c r="DJ226" t="s">
        <v>164</v>
      </c>
      <c r="DK226" t="s">
        <v>3</v>
      </c>
      <c r="DL226" t="s">
        <v>3</v>
      </c>
      <c r="DM226" t="s">
        <v>3</v>
      </c>
      <c r="DN226">
        <v>0</v>
      </c>
      <c r="DO226">
        <v>0</v>
      </c>
      <c r="DP226">
        <v>1</v>
      </c>
      <c r="DQ226">
        <v>1</v>
      </c>
      <c r="DU226">
        <v>16987630</v>
      </c>
      <c r="DV226" t="s">
        <v>37</v>
      </c>
      <c r="DW226" t="s">
        <v>37</v>
      </c>
      <c r="DX226">
        <v>10</v>
      </c>
      <c r="DZ226" t="s">
        <v>3</v>
      </c>
      <c r="EA226" t="s">
        <v>3</v>
      </c>
      <c r="EB226" t="s">
        <v>3</v>
      </c>
      <c r="EC226" t="s">
        <v>3</v>
      </c>
      <c r="EE226">
        <v>1441815344</v>
      </c>
      <c r="EF226">
        <v>1</v>
      </c>
      <c r="EG226" t="s">
        <v>23</v>
      </c>
      <c r="EH226">
        <v>0</v>
      </c>
      <c r="EI226" t="s">
        <v>3</v>
      </c>
      <c r="EJ226">
        <v>4</v>
      </c>
      <c r="EK226">
        <v>0</v>
      </c>
      <c r="EL226" t="s">
        <v>24</v>
      </c>
      <c r="EM226" t="s">
        <v>25</v>
      </c>
      <c r="EO226" t="s">
        <v>3</v>
      </c>
      <c r="EQ226">
        <v>0</v>
      </c>
      <c r="ER226">
        <v>1438.75</v>
      </c>
      <c r="ES226">
        <v>0</v>
      </c>
      <c r="ET226">
        <v>0</v>
      </c>
      <c r="EU226">
        <v>0</v>
      </c>
      <c r="EV226">
        <v>1438.75</v>
      </c>
      <c r="EW226">
        <v>2.33</v>
      </c>
      <c r="EX226">
        <v>0</v>
      </c>
      <c r="EY226">
        <v>0</v>
      </c>
      <c r="FQ226">
        <v>0</v>
      </c>
      <c r="FR226">
        <f t="shared" si="170"/>
        <v>0</v>
      </c>
      <c r="FS226">
        <v>0</v>
      </c>
      <c r="FX226">
        <v>70</v>
      </c>
      <c r="FY226">
        <v>10</v>
      </c>
      <c r="GA226" t="s">
        <v>3</v>
      </c>
      <c r="GD226">
        <v>0</v>
      </c>
      <c r="GF226">
        <v>103333465</v>
      </c>
      <c r="GG226">
        <v>2</v>
      </c>
      <c r="GH226">
        <v>1</v>
      </c>
      <c r="GI226">
        <v>-2</v>
      </c>
      <c r="GJ226">
        <v>0</v>
      </c>
      <c r="GK226">
        <f>ROUND(R226*(R12)/100,2)</f>
        <v>0</v>
      </c>
      <c r="GL226">
        <f t="shared" si="171"/>
        <v>0</v>
      </c>
      <c r="GM226">
        <f t="shared" si="172"/>
        <v>6215.4</v>
      </c>
      <c r="GN226">
        <f t="shared" si="173"/>
        <v>0</v>
      </c>
      <c r="GO226">
        <f t="shared" si="174"/>
        <v>0</v>
      </c>
      <c r="GP226">
        <f t="shared" si="175"/>
        <v>6215.4</v>
      </c>
      <c r="GR226">
        <v>0</v>
      </c>
      <c r="GS226">
        <v>3</v>
      </c>
      <c r="GT226">
        <v>0</v>
      </c>
      <c r="GU226" t="s">
        <v>3</v>
      </c>
      <c r="GV226">
        <f t="shared" si="176"/>
        <v>0</v>
      </c>
      <c r="GW226">
        <v>1</v>
      </c>
      <c r="GX226">
        <f t="shared" si="177"/>
        <v>0</v>
      </c>
      <c r="HA226">
        <v>0</v>
      </c>
      <c r="HB226">
        <v>0</v>
      </c>
      <c r="HC226">
        <f t="shared" si="178"/>
        <v>0</v>
      </c>
      <c r="HE226" t="s">
        <v>3</v>
      </c>
      <c r="HF226" t="s">
        <v>3</v>
      </c>
      <c r="HM226" t="s">
        <v>3</v>
      </c>
      <c r="HN226" t="s">
        <v>3</v>
      </c>
      <c r="HO226" t="s">
        <v>3</v>
      </c>
      <c r="HP226" t="s">
        <v>3</v>
      </c>
      <c r="HQ226" t="s">
        <v>3</v>
      </c>
      <c r="IK226">
        <v>0</v>
      </c>
    </row>
    <row r="227" spans="1:245" x14ac:dyDescent="0.2">
      <c r="A227">
        <v>17</v>
      </c>
      <c r="B227">
        <v>1</v>
      </c>
      <c r="D227">
        <f>ROW(EtalonRes!A96)</f>
        <v>96</v>
      </c>
      <c r="E227" t="s">
        <v>206</v>
      </c>
      <c r="F227" t="s">
        <v>207</v>
      </c>
      <c r="G227" t="s">
        <v>208</v>
      </c>
      <c r="H227" t="s">
        <v>32</v>
      </c>
      <c r="I227">
        <f>ROUND(ROUND(1+1+1+1,9),9)</f>
        <v>4</v>
      </c>
      <c r="J227">
        <v>0</v>
      </c>
      <c r="K227">
        <f>ROUND(ROUND(1+1+1+1,9),9)</f>
        <v>4</v>
      </c>
      <c r="O227">
        <f t="shared" si="146"/>
        <v>4678</v>
      </c>
      <c r="P227">
        <f t="shared" si="147"/>
        <v>0.76</v>
      </c>
      <c r="Q227">
        <f t="shared" si="148"/>
        <v>0</v>
      </c>
      <c r="R227">
        <f t="shared" si="149"/>
        <v>0</v>
      </c>
      <c r="S227">
        <f t="shared" si="150"/>
        <v>4677.24</v>
      </c>
      <c r="T227">
        <f t="shared" si="151"/>
        <v>0</v>
      </c>
      <c r="U227">
        <f t="shared" si="152"/>
        <v>8.32</v>
      </c>
      <c r="V227">
        <f t="shared" si="153"/>
        <v>0</v>
      </c>
      <c r="W227">
        <f t="shared" si="154"/>
        <v>0</v>
      </c>
      <c r="X227">
        <f t="shared" si="155"/>
        <v>3274.07</v>
      </c>
      <c r="Y227">
        <f t="shared" si="156"/>
        <v>467.72</v>
      </c>
      <c r="AA227">
        <v>1472224561</v>
      </c>
      <c r="AB227">
        <f t="shared" si="157"/>
        <v>1169.5</v>
      </c>
      <c r="AC227">
        <f>ROUND((ES227),6)</f>
        <v>0.19</v>
      </c>
      <c r="AD227">
        <f>ROUND((((ET227)-(EU227))+AE227),6)</f>
        <v>0</v>
      </c>
      <c r="AE227">
        <f>ROUND((EU227),6)</f>
        <v>0</v>
      </c>
      <c r="AF227">
        <f>ROUND((EV227),6)</f>
        <v>1169.31</v>
      </c>
      <c r="AG227">
        <f t="shared" si="158"/>
        <v>0</v>
      </c>
      <c r="AH227">
        <f>(EW227)</f>
        <v>2.08</v>
      </c>
      <c r="AI227">
        <f>(EX227)</f>
        <v>0</v>
      </c>
      <c r="AJ227">
        <f t="shared" si="159"/>
        <v>0</v>
      </c>
      <c r="AK227">
        <v>1169.5</v>
      </c>
      <c r="AL227">
        <v>0.19</v>
      </c>
      <c r="AM227">
        <v>0</v>
      </c>
      <c r="AN227">
        <v>0</v>
      </c>
      <c r="AO227">
        <v>1169.31</v>
      </c>
      <c r="AP227">
        <v>0</v>
      </c>
      <c r="AQ227">
        <v>2.08</v>
      </c>
      <c r="AR227">
        <v>0</v>
      </c>
      <c r="AS227">
        <v>0</v>
      </c>
      <c r="AT227">
        <v>70</v>
      </c>
      <c r="AU227">
        <v>10</v>
      </c>
      <c r="AV227">
        <v>1</v>
      </c>
      <c r="AW227">
        <v>1</v>
      </c>
      <c r="AZ227">
        <v>1</v>
      </c>
      <c r="BA227">
        <v>1</v>
      </c>
      <c r="BB227">
        <v>1</v>
      </c>
      <c r="BC227">
        <v>1</v>
      </c>
      <c r="BD227" t="s">
        <v>3</v>
      </c>
      <c r="BE227" t="s">
        <v>3</v>
      </c>
      <c r="BF227" t="s">
        <v>3</v>
      </c>
      <c r="BG227" t="s">
        <v>3</v>
      </c>
      <c r="BH227">
        <v>0</v>
      </c>
      <c r="BI227">
        <v>4</v>
      </c>
      <c r="BJ227" t="s">
        <v>209</v>
      </c>
      <c r="BM227">
        <v>0</v>
      </c>
      <c r="BN227">
        <v>0</v>
      </c>
      <c r="BO227" t="s">
        <v>3</v>
      </c>
      <c r="BP227">
        <v>0</v>
      </c>
      <c r="BQ227">
        <v>1</v>
      </c>
      <c r="BR227">
        <v>0</v>
      </c>
      <c r="BS227">
        <v>1</v>
      </c>
      <c r="BT227">
        <v>1</v>
      </c>
      <c r="BU227">
        <v>1</v>
      </c>
      <c r="BV227">
        <v>1</v>
      </c>
      <c r="BW227">
        <v>1</v>
      </c>
      <c r="BX227">
        <v>1</v>
      </c>
      <c r="BY227" t="s">
        <v>3</v>
      </c>
      <c r="BZ227">
        <v>70</v>
      </c>
      <c r="CA227">
        <v>10</v>
      </c>
      <c r="CB227" t="s">
        <v>3</v>
      </c>
      <c r="CE227">
        <v>0</v>
      </c>
      <c r="CF227">
        <v>0</v>
      </c>
      <c r="CG227">
        <v>0</v>
      </c>
      <c r="CM227">
        <v>0</v>
      </c>
      <c r="CN227" t="s">
        <v>3</v>
      </c>
      <c r="CO227">
        <v>0</v>
      </c>
      <c r="CP227">
        <f t="shared" si="160"/>
        <v>4678</v>
      </c>
      <c r="CQ227">
        <f t="shared" si="161"/>
        <v>0.19</v>
      </c>
      <c r="CR227">
        <f>((((ET227)*BB227-(EU227)*BS227)+AE227*BS227)*AV227)</f>
        <v>0</v>
      </c>
      <c r="CS227">
        <f t="shared" si="162"/>
        <v>0</v>
      </c>
      <c r="CT227">
        <f t="shared" si="163"/>
        <v>1169.31</v>
      </c>
      <c r="CU227">
        <f t="shared" si="164"/>
        <v>0</v>
      </c>
      <c r="CV227">
        <f t="shared" si="165"/>
        <v>2.08</v>
      </c>
      <c r="CW227">
        <f t="shared" si="166"/>
        <v>0</v>
      </c>
      <c r="CX227">
        <f t="shared" si="167"/>
        <v>0</v>
      </c>
      <c r="CY227">
        <f t="shared" si="168"/>
        <v>3274.0679999999998</v>
      </c>
      <c r="CZ227">
        <f t="shared" si="169"/>
        <v>467.72399999999993</v>
      </c>
      <c r="DC227" t="s">
        <v>3</v>
      </c>
      <c r="DD227" t="s">
        <v>3</v>
      </c>
      <c r="DE227" t="s">
        <v>3</v>
      </c>
      <c r="DF227" t="s">
        <v>3</v>
      </c>
      <c r="DG227" t="s">
        <v>3</v>
      </c>
      <c r="DH227" t="s">
        <v>3</v>
      </c>
      <c r="DI227" t="s">
        <v>3</v>
      </c>
      <c r="DJ227" t="s">
        <v>3</v>
      </c>
      <c r="DK227" t="s">
        <v>3</v>
      </c>
      <c r="DL227" t="s">
        <v>3</v>
      </c>
      <c r="DM227" t="s">
        <v>3</v>
      </c>
      <c r="DN227">
        <v>0</v>
      </c>
      <c r="DO227">
        <v>0</v>
      </c>
      <c r="DP227">
        <v>1</v>
      </c>
      <c r="DQ227">
        <v>1</v>
      </c>
      <c r="DU227">
        <v>16987630</v>
      </c>
      <c r="DV227" t="s">
        <v>32</v>
      </c>
      <c r="DW227" t="s">
        <v>32</v>
      </c>
      <c r="DX227">
        <v>1</v>
      </c>
      <c r="DZ227" t="s">
        <v>3</v>
      </c>
      <c r="EA227" t="s">
        <v>3</v>
      </c>
      <c r="EB227" t="s">
        <v>3</v>
      </c>
      <c r="EC227" t="s">
        <v>3</v>
      </c>
      <c r="EE227">
        <v>1441815344</v>
      </c>
      <c r="EF227">
        <v>1</v>
      </c>
      <c r="EG227" t="s">
        <v>23</v>
      </c>
      <c r="EH227">
        <v>0</v>
      </c>
      <c r="EI227" t="s">
        <v>3</v>
      </c>
      <c r="EJ227">
        <v>4</v>
      </c>
      <c r="EK227">
        <v>0</v>
      </c>
      <c r="EL227" t="s">
        <v>24</v>
      </c>
      <c r="EM227" t="s">
        <v>25</v>
      </c>
      <c r="EO227" t="s">
        <v>3</v>
      </c>
      <c r="EQ227">
        <v>0</v>
      </c>
      <c r="ER227">
        <v>1169.5</v>
      </c>
      <c r="ES227">
        <v>0.19</v>
      </c>
      <c r="ET227">
        <v>0</v>
      </c>
      <c r="EU227">
        <v>0</v>
      </c>
      <c r="EV227">
        <v>1169.31</v>
      </c>
      <c r="EW227">
        <v>2.08</v>
      </c>
      <c r="EX227">
        <v>0</v>
      </c>
      <c r="EY227">
        <v>0</v>
      </c>
      <c r="FQ227">
        <v>0</v>
      </c>
      <c r="FR227">
        <f t="shared" si="170"/>
        <v>0</v>
      </c>
      <c r="FS227">
        <v>0</v>
      </c>
      <c r="FX227">
        <v>70</v>
      </c>
      <c r="FY227">
        <v>10</v>
      </c>
      <c r="GA227" t="s">
        <v>3</v>
      </c>
      <c r="GD227">
        <v>0</v>
      </c>
      <c r="GF227">
        <v>-1349742446</v>
      </c>
      <c r="GG227">
        <v>2</v>
      </c>
      <c r="GH227">
        <v>1</v>
      </c>
      <c r="GI227">
        <v>-2</v>
      </c>
      <c r="GJ227">
        <v>0</v>
      </c>
      <c r="GK227">
        <f>ROUND(R227*(R12)/100,2)</f>
        <v>0</v>
      </c>
      <c r="GL227">
        <f t="shared" si="171"/>
        <v>0</v>
      </c>
      <c r="GM227">
        <f t="shared" si="172"/>
        <v>8419.7900000000009</v>
      </c>
      <c r="GN227">
        <f t="shared" si="173"/>
        <v>0</v>
      </c>
      <c r="GO227">
        <f t="shared" si="174"/>
        <v>0</v>
      </c>
      <c r="GP227">
        <f t="shared" si="175"/>
        <v>8419.7900000000009</v>
      </c>
      <c r="GR227">
        <v>0</v>
      </c>
      <c r="GS227">
        <v>3</v>
      </c>
      <c r="GT227">
        <v>0</v>
      </c>
      <c r="GU227" t="s">
        <v>3</v>
      </c>
      <c r="GV227">
        <f t="shared" si="176"/>
        <v>0</v>
      </c>
      <c r="GW227">
        <v>1</v>
      </c>
      <c r="GX227">
        <f t="shared" si="177"/>
        <v>0</v>
      </c>
      <c r="HA227">
        <v>0</v>
      </c>
      <c r="HB227">
        <v>0</v>
      </c>
      <c r="HC227">
        <f t="shared" si="178"/>
        <v>0</v>
      </c>
      <c r="HE227" t="s">
        <v>3</v>
      </c>
      <c r="HF227" t="s">
        <v>3</v>
      </c>
      <c r="HM227" t="s">
        <v>3</v>
      </c>
      <c r="HN227" t="s">
        <v>3</v>
      </c>
      <c r="HO227" t="s">
        <v>3</v>
      </c>
      <c r="HP227" t="s">
        <v>3</v>
      </c>
      <c r="HQ227" t="s">
        <v>3</v>
      </c>
      <c r="IK227">
        <v>0</v>
      </c>
    </row>
    <row r="228" spans="1:245" x14ac:dyDescent="0.2">
      <c r="A228">
        <v>17</v>
      </c>
      <c r="B228">
        <v>1</v>
      </c>
      <c r="D228">
        <f>ROW(EtalonRes!A98)</f>
        <v>98</v>
      </c>
      <c r="E228" t="s">
        <v>210</v>
      </c>
      <c r="F228" t="s">
        <v>30</v>
      </c>
      <c r="G228" t="s">
        <v>211</v>
      </c>
      <c r="H228" t="s">
        <v>32</v>
      </c>
      <c r="I228">
        <f>ROUND(ROUND((1+5+2)*3+(1+6+2),9),9)</f>
        <v>33</v>
      </c>
      <c r="J228">
        <v>0</v>
      </c>
      <c r="K228">
        <f>ROUND(ROUND((1+5+2)*3+(1+6+2),9),9)</f>
        <v>33</v>
      </c>
      <c r="O228">
        <f t="shared" si="146"/>
        <v>18887.88</v>
      </c>
      <c r="P228">
        <f t="shared" si="147"/>
        <v>0</v>
      </c>
      <c r="Q228">
        <f t="shared" si="148"/>
        <v>5159.88</v>
      </c>
      <c r="R228">
        <f t="shared" si="149"/>
        <v>3271.62</v>
      </c>
      <c r="S228">
        <f t="shared" si="150"/>
        <v>13728</v>
      </c>
      <c r="T228">
        <f t="shared" si="151"/>
        <v>0</v>
      </c>
      <c r="U228">
        <f t="shared" si="152"/>
        <v>24.419999999999998</v>
      </c>
      <c r="V228">
        <f t="shared" si="153"/>
        <v>0</v>
      </c>
      <c r="W228">
        <f t="shared" si="154"/>
        <v>0</v>
      </c>
      <c r="X228">
        <f t="shared" si="155"/>
        <v>9609.6</v>
      </c>
      <c r="Y228">
        <f t="shared" si="156"/>
        <v>1372.8</v>
      </c>
      <c r="AA228">
        <v>1472224561</v>
      </c>
      <c r="AB228">
        <f t="shared" si="157"/>
        <v>572.36</v>
      </c>
      <c r="AC228">
        <f>ROUND(((ES228*2)),6)</f>
        <v>0</v>
      </c>
      <c r="AD228">
        <f>ROUND(((((ET228*2))-((EU228*2)))+AE228),6)</f>
        <v>156.36000000000001</v>
      </c>
      <c r="AE228">
        <f>ROUND(((EU228*2)),6)</f>
        <v>99.14</v>
      </c>
      <c r="AF228">
        <f>ROUND(((EV228*2)),6)</f>
        <v>416</v>
      </c>
      <c r="AG228">
        <f t="shared" si="158"/>
        <v>0</v>
      </c>
      <c r="AH228">
        <f>((EW228*2))</f>
        <v>0.74</v>
      </c>
      <c r="AI228">
        <f>((EX228*2))</f>
        <v>0</v>
      </c>
      <c r="AJ228">
        <f t="shared" si="159"/>
        <v>0</v>
      </c>
      <c r="AK228">
        <v>286.18</v>
      </c>
      <c r="AL228">
        <v>0</v>
      </c>
      <c r="AM228">
        <v>78.180000000000007</v>
      </c>
      <c r="AN228">
        <v>49.57</v>
      </c>
      <c r="AO228">
        <v>208</v>
      </c>
      <c r="AP228">
        <v>0</v>
      </c>
      <c r="AQ228">
        <v>0.37</v>
      </c>
      <c r="AR228">
        <v>0</v>
      </c>
      <c r="AS228">
        <v>0</v>
      </c>
      <c r="AT228">
        <v>70</v>
      </c>
      <c r="AU228">
        <v>10</v>
      </c>
      <c r="AV228">
        <v>1</v>
      </c>
      <c r="AW228">
        <v>1</v>
      </c>
      <c r="AZ228">
        <v>1</v>
      </c>
      <c r="BA228">
        <v>1</v>
      </c>
      <c r="BB228">
        <v>1</v>
      </c>
      <c r="BC228">
        <v>1</v>
      </c>
      <c r="BD228" t="s">
        <v>3</v>
      </c>
      <c r="BE228" t="s">
        <v>3</v>
      </c>
      <c r="BF228" t="s">
        <v>3</v>
      </c>
      <c r="BG228" t="s">
        <v>3</v>
      </c>
      <c r="BH228">
        <v>0</v>
      </c>
      <c r="BI228">
        <v>4</v>
      </c>
      <c r="BJ228" t="s">
        <v>33</v>
      </c>
      <c r="BM228">
        <v>0</v>
      </c>
      <c r="BN228">
        <v>0</v>
      </c>
      <c r="BO228" t="s">
        <v>3</v>
      </c>
      <c r="BP228">
        <v>0</v>
      </c>
      <c r="BQ228">
        <v>1</v>
      </c>
      <c r="BR228">
        <v>0</v>
      </c>
      <c r="BS228">
        <v>1</v>
      </c>
      <c r="BT228">
        <v>1</v>
      </c>
      <c r="BU228">
        <v>1</v>
      </c>
      <c r="BV228">
        <v>1</v>
      </c>
      <c r="BW228">
        <v>1</v>
      </c>
      <c r="BX228">
        <v>1</v>
      </c>
      <c r="BY228" t="s">
        <v>3</v>
      </c>
      <c r="BZ228">
        <v>70</v>
      </c>
      <c r="CA228">
        <v>10</v>
      </c>
      <c r="CB228" t="s">
        <v>3</v>
      </c>
      <c r="CE228">
        <v>0</v>
      </c>
      <c r="CF228">
        <v>0</v>
      </c>
      <c r="CG228">
        <v>0</v>
      </c>
      <c r="CM228">
        <v>0</v>
      </c>
      <c r="CN228" t="s">
        <v>3</v>
      </c>
      <c r="CO228">
        <v>0</v>
      </c>
      <c r="CP228">
        <f t="shared" si="160"/>
        <v>18887.88</v>
      </c>
      <c r="CQ228">
        <f t="shared" si="161"/>
        <v>0</v>
      </c>
      <c r="CR228">
        <f>(((((ET228*2))*BB228-((EU228*2))*BS228)+AE228*BS228)*AV228)</f>
        <v>156.36000000000001</v>
      </c>
      <c r="CS228">
        <f t="shared" si="162"/>
        <v>99.14</v>
      </c>
      <c r="CT228">
        <f t="shared" si="163"/>
        <v>416</v>
      </c>
      <c r="CU228">
        <f t="shared" si="164"/>
        <v>0</v>
      </c>
      <c r="CV228">
        <f t="shared" si="165"/>
        <v>0.74</v>
      </c>
      <c r="CW228">
        <f t="shared" si="166"/>
        <v>0</v>
      </c>
      <c r="CX228">
        <f t="shared" si="167"/>
        <v>0</v>
      </c>
      <c r="CY228">
        <f t="shared" si="168"/>
        <v>9609.6</v>
      </c>
      <c r="CZ228">
        <f t="shared" si="169"/>
        <v>1372.8</v>
      </c>
      <c r="DC228" t="s">
        <v>3</v>
      </c>
      <c r="DD228" t="s">
        <v>164</v>
      </c>
      <c r="DE228" t="s">
        <v>164</v>
      </c>
      <c r="DF228" t="s">
        <v>164</v>
      </c>
      <c r="DG228" t="s">
        <v>164</v>
      </c>
      <c r="DH228" t="s">
        <v>3</v>
      </c>
      <c r="DI228" t="s">
        <v>164</v>
      </c>
      <c r="DJ228" t="s">
        <v>164</v>
      </c>
      <c r="DK228" t="s">
        <v>3</v>
      </c>
      <c r="DL228" t="s">
        <v>3</v>
      </c>
      <c r="DM228" t="s">
        <v>3</v>
      </c>
      <c r="DN228">
        <v>0</v>
      </c>
      <c r="DO228">
        <v>0</v>
      </c>
      <c r="DP228">
        <v>1</v>
      </c>
      <c r="DQ228">
        <v>1</v>
      </c>
      <c r="DU228">
        <v>16987630</v>
      </c>
      <c r="DV228" t="s">
        <v>32</v>
      </c>
      <c r="DW228" t="s">
        <v>32</v>
      </c>
      <c r="DX228">
        <v>1</v>
      </c>
      <c r="DZ228" t="s">
        <v>3</v>
      </c>
      <c r="EA228" t="s">
        <v>3</v>
      </c>
      <c r="EB228" t="s">
        <v>3</v>
      </c>
      <c r="EC228" t="s">
        <v>3</v>
      </c>
      <c r="EE228">
        <v>1441815344</v>
      </c>
      <c r="EF228">
        <v>1</v>
      </c>
      <c r="EG228" t="s">
        <v>23</v>
      </c>
      <c r="EH228">
        <v>0</v>
      </c>
      <c r="EI228" t="s">
        <v>3</v>
      </c>
      <c r="EJ228">
        <v>4</v>
      </c>
      <c r="EK228">
        <v>0</v>
      </c>
      <c r="EL228" t="s">
        <v>24</v>
      </c>
      <c r="EM228" t="s">
        <v>25</v>
      </c>
      <c r="EO228" t="s">
        <v>3</v>
      </c>
      <c r="EQ228">
        <v>0</v>
      </c>
      <c r="ER228">
        <v>286.18</v>
      </c>
      <c r="ES228">
        <v>0</v>
      </c>
      <c r="ET228">
        <v>78.180000000000007</v>
      </c>
      <c r="EU228">
        <v>49.57</v>
      </c>
      <c r="EV228">
        <v>208</v>
      </c>
      <c r="EW228">
        <v>0.37</v>
      </c>
      <c r="EX228">
        <v>0</v>
      </c>
      <c r="EY228">
        <v>0</v>
      </c>
      <c r="FQ228">
        <v>0</v>
      </c>
      <c r="FR228">
        <f t="shared" si="170"/>
        <v>0</v>
      </c>
      <c r="FS228">
        <v>0</v>
      </c>
      <c r="FX228">
        <v>70</v>
      </c>
      <c r="FY228">
        <v>10</v>
      </c>
      <c r="GA228" t="s">
        <v>3</v>
      </c>
      <c r="GD228">
        <v>0</v>
      </c>
      <c r="GF228">
        <v>490114802</v>
      </c>
      <c r="GG228">
        <v>2</v>
      </c>
      <c r="GH228">
        <v>1</v>
      </c>
      <c r="GI228">
        <v>-2</v>
      </c>
      <c r="GJ228">
        <v>0</v>
      </c>
      <c r="GK228">
        <f>ROUND(R228*(R12)/100,2)</f>
        <v>3533.35</v>
      </c>
      <c r="GL228">
        <f t="shared" si="171"/>
        <v>0</v>
      </c>
      <c r="GM228">
        <f t="shared" si="172"/>
        <v>33403.629999999997</v>
      </c>
      <c r="GN228">
        <f t="shared" si="173"/>
        <v>0</v>
      </c>
      <c r="GO228">
        <f t="shared" si="174"/>
        <v>0</v>
      </c>
      <c r="GP228">
        <f t="shared" si="175"/>
        <v>33403.629999999997</v>
      </c>
      <c r="GR228">
        <v>0</v>
      </c>
      <c r="GS228">
        <v>3</v>
      </c>
      <c r="GT228">
        <v>0</v>
      </c>
      <c r="GU228" t="s">
        <v>3</v>
      </c>
      <c r="GV228">
        <f t="shared" si="176"/>
        <v>0</v>
      </c>
      <c r="GW228">
        <v>1</v>
      </c>
      <c r="GX228">
        <f t="shared" si="177"/>
        <v>0</v>
      </c>
      <c r="HA228">
        <v>0</v>
      </c>
      <c r="HB228">
        <v>0</v>
      </c>
      <c r="HC228">
        <f t="shared" si="178"/>
        <v>0</v>
      </c>
      <c r="HE228" t="s">
        <v>3</v>
      </c>
      <c r="HF228" t="s">
        <v>3</v>
      </c>
      <c r="HM228" t="s">
        <v>3</v>
      </c>
      <c r="HN228" t="s">
        <v>3</v>
      </c>
      <c r="HO228" t="s">
        <v>3</v>
      </c>
      <c r="HP228" t="s">
        <v>3</v>
      </c>
      <c r="HQ228" t="s">
        <v>3</v>
      </c>
      <c r="IK228">
        <v>0</v>
      </c>
    </row>
    <row r="229" spans="1:245" x14ac:dyDescent="0.2">
      <c r="A229">
        <v>17</v>
      </c>
      <c r="B229">
        <v>1</v>
      </c>
      <c r="D229">
        <f>ROW(EtalonRes!A100)</f>
        <v>100</v>
      </c>
      <c r="E229" t="s">
        <v>212</v>
      </c>
      <c r="F229" t="s">
        <v>30</v>
      </c>
      <c r="G229" t="s">
        <v>213</v>
      </c>
      <c r="H229" t="s">
        <v>32</v>
      </c>
      <c r="I229">
        <f>ROUND(ROUND((1+1+1)*4,9),9)</f>
        <v>12</v>
      </c>
      <c r="J229">
        <v>0</v>
      </c>
      <c r="K229">
        <f>ROUND(ROUND((1+1+1)*4,9),9)</f>
        <v>12</v>
      </c>
      <c r="O229">
        <f t="shared" si="146"/>
        <v>6868.32</v>
      </c>
      <c r="P229">
        <f t="shared" si="147"/>
        <v>0</v>
      </c>
      <c r="Q229">
        <f t="shared" si="148"/>
        <v>1876.32</v>
      </c>
      <c r="R229">
        <f t="shared" si="149"/>
        <v>1189.68</v>
      </c>
      <c r="S229">
        <f t="shared" si="150"/>
        <v>4992</v>
      </c>
      <c r="T229">
        <f t="shared" si="151"/>
        <v>0</v>
      </c>
      <c r="U229">
        <f t="shared" si="152"/>
        <v>8.879999999999999</v>
      </c>
      <c r="V229">
        <f t="shared" si="153"/>
        <v>0</v>
      </c>
      <c r="W229">
        <f t="shared" si="154"/>
        <v>0</v>
      </c>
      <c r="X229">
        <f t="shared" si="155"/>
        <v>3494.4</v>
      </c>
      <c r="Y229">
        <f t="shared" si="156"/>
        <v>499.2</v>
      </c>
      <c r="AA229">
        <v>1472224561</v>
      </c>
      <c r="AB229">
        <f t="shared" si="157"/>
        <v>572.36</v>
      </c>
      <c r="AC229">
        <f>ROUND(((ES229*2)),6)</f>
        <v>0</v>
      </c>
      <c r="AD229">
        <f>ROUND(((((ET229*2))-((EU229*2)))+AE229),6)</f>
        <v>156.36000000000001</v>
      </c>
      <c r="AE229">
        <f>ROUND(((EU229*2)),6)</f>
        <v>99.14</v>
      </c>
      <c r="AF229">
        <f>ROUND(((EV229*2)),6)</f>
        <v>416</v>
      </c>
      <c r="AG229">
        <f t="shared" si="158"/>
        <v>0</v>
      </c>
      <c r="AH229">
        <f>((EW229*2))</f>
        <v>0.74</v>
      </c>
      <c r="AI229">
        <f>((EX229*2))</f>
        <v>0</v>
      </c>
      <c r="AJ229">
        <f t="shared" si="159"/>
        <v>0</v>
      </c>
      <c r="AK229">
        <v>286.18</v>
      </c>
      <c r="AL229">
        <v>0</v>
      </c>
      <c r="AM229">
        <v>78.180000000000007</v>
      </c>
      <c r="AN229">
        <v>49.57</v>
      </c>
      <c r="AO229">
        <v>208</v>
      </c>
      <c r="AP229">
        <v>0</v>
      </c>
      <c r="AQ229">
        <v>0.37</v>
      </c>
      <c r="AR229">
        <v>0</v>
      </c>
      <c r="AS229">
        <v>0</v>
      </c>
      <c r="AT229">
        <v>70</v>
      </c>
      <c r="AU229">
        <v>10</v>
      </c>
      <c r="AV229">
        <v>1</v>
      </c>
      <c r="AW229">
        <v>1</v>
      </c>
      <c r="AZ229">
        <v>1</v>
      </c>
      <c r="BA229">
        <v>1</v>
      </c>
      <c r="BB229">
        <v>1</v>
      </c>
      <c r="BC229">
        <v>1</v>
      </c>
      <c r="BD229" t="s">
        <v>3</v>
      </c>
      <c r="BE229" t="s">
        <v>3</v>
      </c>
      <c r="BF229" t="s">
        <v>3</v>
      </c>
      <c r="BG229" t="s">
        <v>3</v>
      </c>
      <c r="BH229">
        <v>0</v>
      </c>
      <c r="BI229">
        <v>4</v>
      </c>
      <c r="BJ229" t="s">
        <v>33</v>
      </c>
      <c r="BM229">
        <v>0</v>
      </c>
      <c r="BN229">
        <v>0</v>
      </c>
      <c r="BO229" t="s">
        <v>3</v>
      </c>
      <c r="BP229">
        <v>0</v>
      </c>
      <c r="BQ229">
        <v>1</v>
      </c>
      <c r="BR229">
        <v>0</v>
      </c>
      <c r="BS229">
        <v>1</v>
      </c>
      <c r="BT229">
        <v>1</v>
      </c>
      <c r="BU229">
        <v>1</v>
      </c>
      <c r="BV229">
        <v>1</v>
      </c>
      <c r="BW229">
        <v>1</v>
      </c>
      <c r="BX229">
        <v>1</v>
      </c>
      <c r="BY229" t="s">
        <v>3</v>
      </c>
      <c r="BZ229">
        <v>70</v>
      </c>
      <c r="CA229">
        <v>10</v>
      </c>
      <c r="CB229" t="s">
        <v>3</v>
      </c>
      <c r="CE229">
        <v>0</v>
      </c>
      <c r="CF229">
        <v>0</v>
      </c>
      <c r="CG229">
        <v>0</v>
      </c>
      <c r="CM229">
        <v>0</v>
      </c>
      <c r="CN229" t="s">
        <v>3</v>
      </c>
      <c r="CO229">
        <v>0</v>
      </c>
      <c r="CP229">
        <f t="shared" si="160"/>
        <v>6868.32</v>
      </c>
      <c r="CQ229">
        <f t="shared" si="161"/>
        <v>0</v>
      </c>
      <c r="CR229">
        <f>(((((ET229*2))*BB229-((EU229*2))*BS229)+AE229*BS229)*AV229)</f>
        <v>156.36000000000001</v>
      </c>
      <c r="CS229">
        <f t="shared" si="162"/>
        <v>99.14</v>
      </c>
      <c r="CT229">
        <f t="shared" si="163"/>
        <v>416</v>
      </c>
      <c r="CU229">
        <f t="shared" si="164"/>
        <v>0</v>
      </c>
      <c r="CV229">
        <f t="shared" si="165"/>
        <v>0.74</v>
      </c>
      <c r="CW229">
        <f t="shared" si="166"/>
        <v>0</v>
      </c>
      <c r="CX229">
        <f t="shared" si="167"/>
        <v>0</v>
      </c>
      <c r="CY229">
        <f t="shared" si="168"/>
        <v>3494.4</v>
      </c>
      <c r="CZ229">
        <f t="shared" si="169"/>
        <v>499.2</v>
      </c>
      <c r="DC229" t="s">
        <v>3</v>
      </c>
      <c r="DD229" t="s">
        <v>164</v>
      </c>
      <c r="DE229" t="s">
        <v>164</v>
      </c>
      <c r="DF229" t="s">
        <v>164</v>
      </c>
      <c r="DG229" t="s">
        <v>164</v>
      </c>
      <c r="DH229" t="s">
        <v>3</v>
      </c>
      <c r="DI229" t="s">
        <v>164</v>
      </c>
      <c r="DJ229" t="s">
        <v>164</v>
      </c>
      <c r="DK229" t="s">
        <v>3</v>
      </c>
      <c r="DL229" t="s">
        <v>3</v>
      </c>
      <c r="DM229" t="s">
        <v>3</v>
      </c>
      <c r="DN229">
        <v>0</v>
      </c>
      <c r="DO229">
        <v>0</v>
      </c>
      <c r="DP229">
        <v>1</v>
      </c>
      <c r="DQ229">
        <v>1</v>
      </c>
      <c r="DU229">
        <v>16987630</v>
      </c>
      <c r="DV229" t="s">
        <v>32</v>
      </c>
      <c r="DW229" t="s">
        <v>32</v>
      </c>
      <c r="DX229">
        <v>1</v>
      </c>
      <c r="DZ229" t="s">
        <v>3</v>
      </c>
      <c r="EA229" t="s">
        <v>3</v>
      </c>
      <c r="EB229" t="s">
        <v>3</v>
      </c>
      <c r="EC229" t="s">
        <v>3</v>
      </c>
      <c r="EE229">
        <v>1441815344</v>
      </c>
      <c r="EF229">
        <v>1</v>
      </c>
      <c r="EG229" t="s">
        <v>23</v>
      </c>
      <c r="EH229">
        <v>0</v>
      </c>
      <c r="EI229" t="s">
        <v>3</v>
      </c>
      <c r="EJ229">
        <v>4</v>
      </c>
      <c r="EK229">
        <v>0</v>
      </c>
      <c r="EL229" t="s">
        <v>24</v>
      </c>
      <c r="EM229" t="s">
        <v>25</v>
      </c>
      <c r="EO229" t="s">
        <v>3</v>
      </c>
      <c r="EQ229">
        <v>0</v>
      </c>
      <c r="ER229">
        <v>286.18</v>
      </c>
      <c r="ES229">
        <v>0</v>
      </c>
      <c r="ET229">
        <v>78.180000000000007</v>
      </c>
      <c r="EU229">
        <v>49.57</v>
      </c>
      <c r="EV229">
        <v>208</v>
      </c>
      <c r="EW229">
        <v>0.37</v>
      </c>
      <c r="EX229">
        <v>0</v>
      </c>
      <c r="EY229">
        <v>0</v>
      </c>
      <c r="FQ229">
        <v>0</v>
      </c>
      <c r="FR229">
        <f t="shared" si="170"/>
        <v>0</v>
      </c>
      <c r="FS229">
        <v>0</v>
      </c>
      <c r="FX229">
        <v>70</v>
      </c>
      <c r="FY229">
        <v>10</v>
      </c>
      <c r="GA229" t="s">
        <v>3</v>
      </c>
      <c r="GD229">
        <v>0</v>
      </c>
      <c r="GF229">
        <v>-1648492859</v>
      </c>
      <c r="GG229">
        <v>2</v>
      </c>
      <c r="GH229">
        <v>1</v>
      </c>
      <c r="GI229">
        <v>-2</v>
      </c>
      <c r="GJ229">
        <v>0</v>
      </c>
      <c r="GK229">
        <f>ROUND(R229*(R12)/100,2)</f>
        <v>1284.8499999999999</v>
      </c>
      <c r="GL229">
        <f t="shared" si="171"/>
        <v>0</v>
      </c>
      <c r="GM229">
        <f t="shared" si="172"/>
        <v>12146.77</v>
      </c>
      <c r="GN229">
        <f t="shared" si="173"/>
        <v>0</v>
      </c>
      <c r="GO229">
        <f t="shared" si="174"/>
        <v>0</v>
      </c>
      <c r="GP229">
        <f t="shared" si="175"/>
        <v>12146.77</v>
      </c>
      <c r="GR229">
        <v>0</v>
      </c>
      <c r="GS229">
        <v>3</v>
      </c>
      <c r="GT229">
        <v>0</v>
      </c>
      <c r="GU229" t="s">
        <v>3</v>
      </c>
      <c r="GV229">
        <f t="shared" si="176"/>
        <v>0</v>
      </c>
      <c r="GW229">
        <v>1</v>
      </c>
      <c r="GX229">
        <f t="shared" si="177"/>
        <v>0</v>
      </c>
      <c r="HA229">
        <v>0</v>
      </c>
      <c r="HB229">
        <v>0</v>
      </c>
      <c r="HC229">
        <f t="shared" si="178"/>
        <v>0</v>
      </c>
      <c r="HE229" t="s">
        <v>3</v>
      </c>
      <c r="HF229" t="s">
        <v>3</v>
      </c>
      <c r="HM229" t="s">
        <v>3</v>
      </c>
      <c r="HN229" t="s">
        <v>3</v>
      </c>
      <c r="HO229" t="s">
        <v>3</v>
      </c>
      <c r="HP229" t="s">
        <v>3</v>
      </c>
      <c r="HQ229" t="s">
        <v>3</v>
      </c>
      <c r="IK229">
        <v>0</v>
      </c>
    </row>
    <row r="230" spans="1:245" x14ac:dyDescent="0.2">
      <c r="A230">
        <v>17</v>
      </c>
      <c r="B230">
        <v>1</v>
      </c>
      <c r="D230">
        <f>ROW(EtalonRes!A101)</f>
        <v>101</v>
      </c>
      <c r="E230" t="s">
        <v>3</v>
      </c>
      <c r="F230" t="s">
        <v>214</v>
      </c>
      <c r="G230" t="s">
        <v>215</v>
      </c>
      <c r="H230" t="s">
        <v>32</v>
      </c>
      <c r="I230">
        <f>ROUND(ROUND(32*2,9),9)</f>
        <v>64</v>
      </c>
      <c r="J230">
        <v>0</v>
      </c>
      <c r="K230">
        <f>ROUND(ROUND(32*2,9),9)</f>
        <v>64</v>
      </c>
      <c r="O230">
        <f t="shared" si="146"/>
        <v>46237.440000000002</v>
      </c>
      <c r="P230">
        <f t="shared" si="147"/>
        <v>0</v>
      </c>
      <c r="Q230">
        <f t="shared" si="148"/>
        <v>0</v>
      </c>
      <c r="R230">
        <f t="shared" si="149"/>
        <v>0</v>
      </c>
      <c r="S230">
        <f t="shared" si="150"/>
        <v>46237.440000000002</v>
      </c>
      <c r="T230">
        <f t="shared" si="151"/>
        <v>0</v>
      </c>
      <c r="U230">
        <f t="shared" si="152"/>
        <v>74.88</v>
      </c>
      <c r="V230">
        <f t="shared" si="153"/>
        <v>0</v>
      </c>
      <c r="W230">
        <f t="shared" si="154"/>
        <v>0</v>
      </c>
      <c r="X230">
        <f t="shared" si="155"/>
        <v>32366.21</v>
      </c>
      <c r="Y230">
        <f t="shared" si="156"/>
        <v>4623.74</v>
      </c>
      <c r="AA230">
        <v>-1</v>
      </c>
      <c r="AB230">
        <f t="shared" si="157"/>
        <v>722.46</v>
      </c>
      <c r="AC230">
        <f>ROUND((ES230),6)</f>
        <v>0</v>
      </c>
      <c r="AD230">
        <f>ROUND((((ET230)-(EU230))+AE230),6)</f>
        <v>0</v>
      </c>
      <c r="AE230">
        <f>ROUND((EU230),6)</f>
        <v>0</v>
      </c>
      <c r="AF230">
        <f>ROUND((EV230),6)</f>
        <v>722.46</v>
      </c>
      <c r="AG230">
        <f t="shared" si="158"/>
        <v>0</v>
      </c>
      <c r="AH230">
        <f>(EW230)</f>
        <v>1.17</v>
      </c>
      <c r="AI230">
        <f>(EX230)</f>
        <v>0</v>
      </c>
      <c r="AJ230">
        <f t="shared" si="159"/>
        <v>0</v>
      </c>
      <c r="AK230">
        <v>722.46</v>
      </c>
      <c r="AL230">
        <v>0</v>
      </c>
      <c r="AM230">
        <v>0</v>
      </c>
      <c r="AN230">
        <v>0</v>
      </c>
      <c r="AO230">
        <v>722.46</v>
      </c>
      <c r="AP230">
        <v>0</v>
      </c>
      <c r="AQ230">
        <v>1.17</v>
      </c>
      <c r="AR230">
        <v>0</v>
      </c>
      <c r="AS230">
        <v>0</v>
      </c>
      <c r="AT230">
        <v>70</v>
      </c>
      <c r="AU230">
        <v>10</v>
      </c>
      <c r="AV230">
        <v>1</v>
      </c>
      <c r="AW230">
        <v>1</v>
      </c>
      <c r="AZ230">
        <v>1</v>
      </c>
      <c r="BA230">
        <v>1</v>
      </c>
      <c r="BB230">
        <v>1</v>
      </c>
      <c r="BC230">
        <v>1</v>
      </c>
      <c r="BD230" t="s">
        <v>3</v>
      </c>
      <c r="BE230" t="s">
        <v>3</v>
      </c>
      <c r="BF230" t="s">
        <v>3</v>
      </c>
      <c r="BG230" t="s">
        <v>3</v>
      </c>
      <c r="BH230">
        <v>0</v>
      </c>
      <c r="BI230">
        <v>4</v>
      </c>
      <c r="BJ230" t="s">
        <v>216</v>
      </c>
      <c r="BM230">
        <v>0</v>
      </c>
      <c r="BN230">
        <v>0</v>
      </c>
      <c r="BO230" t="s">
        <v>3</v>
      </c>
      <c r="BP230">
        <v>0</v>
      </c>
      <c r="BQ230">
        <v>1</v>
      </c>
      <c r="BR230">
        <v>0</v>
      </c>
      <c r="BS230">
        <v>1</v>
      </c>
      <c r="BT230">
        <v>1</v>
      </c>
      <c r="BU230">
        <v>1</v>
      </c>
      <c r="BV230">
        <v>1</v>
      </c>
      <c r="BW230">
        <v>1</v>
      </c>
      <c r="BX230">
        <v>1</v>
      </c>
      <c r="BY230" t="s">
        <v>3</v>
      </c>
      <c r="BZ230">
        <v>70</v>
      </c>
      <c r="CA230">
        <v>10</v>
      </c>
      <c r="CB230" t="s">
        <v>3</v>
      </c>
      <c r="CE230">
        <v>0</v>
      </c>
      <c r="CF230">
        <v>0</v>
      </c>
      <c r="CG230">
        <v>0</v>
      </c>
      <c r="CM230">
        <v>0</v>
      </c>
      <c r="CN230" t="s">
        <v>3</v>
      </c>
      <c r="CO230">
        <v>0</v>
      </c>
      <c r="CP230">
        <f t="shared" si="160"/>
        <v>46237.440000000002</v>
      </c>
      <c r="CQ230">
        <f t="shared" si="161"/>
        <v>0</v>
      </c>
      <c r="CR230">
        <f>((((ET230)*BB230-(EU230)*BS230)+AE230*BS230)*AV230)</f>
        <v>0</v>
      </c>
      <c r="CS230">
        <f t="shared" si="162"/>
        <v>0</v>
      </c>
      <c r="CT230">
        <f t="shared" si="163"/>
        <v>722.46</v>
      </c>
      <c r="CU230">
        <f t="shared" si="164"/>
        <v>0</v>
      </c>
      <c r="CV230">
        <f t="shared" si="165"/>
        <v>1.17</v>
      </c>
      <c r="CW230">
        <f t="shared" si="166"/>
        <v>0</v>
      </c>
      <c r="CX230">
        <f t="shared" si="167"/>
        <v>0</v>
      </c>
      <c r="CY230">
        <f t="shared" si="168"/>
        <v>32366.208000000002</v>
      </c>
      <c r="CZ230">
        <f t="shared" si="169"/>
        <v>4623.7440000000006</v>
      </c>
      <c r="DC230" t="s">
        <v>3</v>
      </c>
      <c r="DD230" t="s">
        <v>3</v>
      </c>
      <c r="DE230" t="s">
        <v>3</v>
      </c>
      <c r="DF230" t="s">
        <v>3</v>
      </c>
      <c r="DG230" t="s">
        <v>3</v>
      </c>
      <c r="DH230" t="s">
        <v>3</v>
      </c>
      <c r="DI230" t="s">
        <v>3</v>
      </c>
      <c r="DJ230" t="s">
        <v>3</v>
      </c>
      <c r="DK230" t="s">
        <v>3</v>
      </c>
      <c r="DL230" t="s">
        <v>3</v>
      </c>
      <c r="DM230" t="s">
        <v>3</v>
      </c>
      <c r="DN230">
        <v>0</v>
      </c>
      <c r="DO230">
        <v>0</v>
      </c>
      <c r="DP230">
        <v>1</v>
      </c>
      <c r="DQ230">
        <v>1</v>
      </c>
      <c r="DU230">
        <v>16987630</v>
      </c>
      <c r="DV230" t="s">
        <v>32</v>
      </c>
      <c r="DW230" t="s">
        <v>32</v>
      </c>
      <c r="DX230">
        <v>1</v>
      </c>
      <c r="DZ230" t="s">
        <v>3</v>
      </c>
      <c r="EA230" t="s">
        <v>3</v>
      </c>
      <c r="EB230" t="s">
        <v>3</v>
      </c>
      <c r="EC230" t="s">
        <v>3</v>
      </c>
      <c r="EE230">
        <v>1441815344</v>
      </c>
      <c r="EF230">
        <v>1</v>
      </c>
      <c r="EG230" t="s">
        <v>23</v>
      </c>
      <c r="EH230">
        <v>0</v>
      </c>
      <c r="EI230" t="s">
        <v>3</v>
      </c>
      <c r="EJ230">
        <v>4</v>
      </c>
      <c r="EK230">
        <v>0</v>
      </c>
      <c r="EL230" t="s">
        <v>24</v>
      </c>
      <c r="EM230" t="s">
        <v>25</v>
      </c>
      <c r="EO230" t="s">
        <v>3</v>
      </c>
      <c r="EQ230">
        <v>1024</v>
      </c>
      <c r="ER230">
        <v>722.46</v>
      </c>
      <c r="ES230">
        <v>0</v>
      </c>
      <c r="ET230">
        <v>0</v>
      </c>
      <c r="EU230">
        <v>0</v>
      </c>
      <c r="EV230">
        <v>722.46</v>
      </c>
      <c r="EW230">
        <v>1.17</v>
      </c>
      <c r="EX230">
        <v>0</v>
      </c>
      <c r="EY230">
        <v>0</v>
      </c>
      <c r="FQ230">
        <v>0</v>
      </c>
      <c r="FR230">
        <f t="shared" si="170"/>
        <v>0</v>
      </c>
      <c r="FS230">
        <v>0</v>
      </c>
      <c r="FX230">
        <v>70</v>
      </c>
      <c r="FY230">
        <v>10</v>
      </c>
      <c r="GA230" t="s">
        <v>3</v>
      </c>
      <c r="GD230">
        <v>0</v>
      </c>
      <c r="GF230">
        <v>-754466095</v>
      </c>
      <c r="GG230">
        <v>2</v>
      </c>
      <c r="GH230">
        <v>1</v>
      </c>
      <c r="GI230">
        <v>-2</v>
      </c>
      <c r="GJ230">
        <v>0</v>
      </c>
      <c r="GK230">
        <f>ROUND(R230*(R12)/100,2)</f>
        <v>0</v>
      </c>
      <c r="GL230">
        <f t="shared" si="171"/>
        <v>0</v>
      </c>
      <c r="GM230">
        <f t="shared" si="172"/>
        <v>83227.39</v>
      </c>
      <c r="GN230">
        <f t="shared" si="173"/>
        <v>0</v>
      </c>
      <c r="GO230">
        <f t="shared" si="174"/>
        <v>0</v>
      </c>
      <c r="GP230">
        <f t="shared" si="175"/>
        <v>83227.39</v>
      </c>
      <c r="GR230">
        <v>0</v>
      </c>
      <c r="GS230">
        <v>3</v>
      </c>
      <c r="GT230">
        <v>0</v>
      </c>
      <c r="GU230" t="s">
        <v>3</v>
      </c>
      <c r="GV230">
        <f t="shared" si="176"/>
        <v>0</v>
      </c>
      <c r="GW230">
        <v>1</v>
      </c>
      <c r="GX230">
        <f t="shared" si="177"/>
        <v>0</v>
      </c>
      <c r="HA230">
        <v>0</v>
      </c>
      <c r="HB230">
        <v>0</v>
      </c>
      <c r="HC230">
        <f t="shared" si="178"/>
        <v>0</v>
      </c>
      <c r="HE230" t="s">
        <v>3</v>
      </c>
      <c r="HF230" t="s">
        <v>3</v>
      </c>
      <c r="HM230" t="s">
        <v>3</v>
      </c>
      <c r="HN230" t="s">
        <v>3</v>
      </c>
      <c r="HO230" t="s">
        <v>3</v>
      </c>
      <c r="HP230" t="s">
        <v>3</v>
      </c>
      <c r="HQ230" t="s">
        <v>3</v>
      </c>
      <c r="IK230">
        <v>0</v>
      </c>
    </row>
    <row r="231" spans="1:245" x14ac:dyDescent="0.2">
      <c r="A231">
        <v>17</v>
      </c>
      <c r="B231">
        <v>1</v>
      </c>
      <c r="E231" t="s">
        <v>3</v>
      </c>
      <c r="F231" t="s">
        <v>217</v>
      </c>
      <c r="G231" t="s">
        <v>218</v>
      </c>
      <c r="H231" t="s">
        <v>219</v>
      </c>
      <c r="I231">
        <f>ROUND(32*2,9)</f>
        <v>64</v>
      </c>
      <c r="J231">
        <v>0</v>
      </c>
      <c r="K231">
        <f>ROUND(32*2,9)</f>
        <v>64</v>
      </c>
      <c r="O231">
        <f t="shared" si="146"/>
        <v>11520</v>
      </c>
      <c r="P231">
        <f t="shared" si="147"/>
        <v>11520</v>
      </c>
      <c r="Q231">
        <f t="shared" si="148"/>
        <v>0</v>
      </c>
      <c r="R231">
        <f t="shared" si="149"/>
        <v>0</v>
      </c>
      <c r="S231">
        <f t="shared" si="150"/>
        <v>0</v>
      </c>
      <c r="T231">
        <f t="shared" si="151"/>
        <v>0</v>
      </c>
      <c r="U231">
        <f t="shared" si="152"/>
        <v>0</v>
      </c>
      <c r="V231">
        <f t="shared" si="153"/>
        <v>0</v>
      </c>
      <c r="W231">
        <f t="shared" si="154"/>
        <v>0</v>
      </c>
      <c r="X231">
        <f t="shared" si="155"/>
        <v>0</v>
      </c>
      <c r="Y231">
        <f t="shared" si="156"/>
        <v>0</v>
      </c>
      <c r="AA231">
        <v>-1</v>
      </c>
      <c r="AB231">
        <f t="shared" si="157"/>
        <v>180</v>
      </c>
      <c r="AC231">
        <f>ROUND((ES231),6)</f>
        <v>180</v>
      </c>
      <c r="AD231">
        <f>ROUND((ET231),6)</f>
        <v>0</v>
      </c>
      <c r="AE231">
        <f>ROUND((EU231),6)</f>
        <v>0</v>
      </c>
      <c r="AF231">
        <f>ROUND(((EV231*4)),6)</f>
        <v>0</v>
      </c>
      <c r="AG231">
        <f t="shared" si="158"/>
        <v>0</v>
      </c>
      <c r="AH231">
        <f>((EW231*4))</f>
        <v>0</v>
      </c>
      <c r="AI231">
        <f>(EX231)</f>
        <v>0</v>
      </c>
      <c r="AJ231">
        <f t="shared" si="159"/>
        <v>0</v>
      </c>
      <c r="AK231">
        <v>180</v>
      </c>
      <c r="AL231">
        <v>180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1</v>
      </c>
      <c r="AW231">
        <v>1</v>
      </c>
      <c r="AZ231">
        <v>1</v>
      </c>
      <c r="BA231">
        <v>1</v>
      </c>
      <c r="BB231">
        <v>1</v>
      </c>
      <c r="BC231">
        <v>1</v>
      </c>
      <c r="BD231" t="s">
        <v>3</v>
      </c>
      <c r="BE231" t="s">
        <v>3</v>
      </c>
      <c r="BF231" t="s">
        <v>3</v>
      </c>
      <c r="BG231" t="s">
        <v>3</v>
      </c>
      <c r="BH231">
        <v>3</v>
      </c>
      <c r="BI231">
        <v>0</v>
      </c>
      <c r="BJ231" t="s">
        <v>3</v>
      </c>
      <c r="BM231">
        <v>356</v>
      </c>
      <c r="BN231">
        <v>0</v>
      </c>
      <c r="BO231" t="s">
        <v>3</v>
      </c>
      <c r="BP231">
        <v>0</v>
      </c>
      <c r="BQ231">
        <v>0</v>
      </c>
      <c r="BR231">
        <v>0</v>
      </c>
      <c r="BS231">
        <v>1</v>
      </c>
      <c r="BT231">
        <v>1</v>
      </c>
      <c r="BU231">
        <v>1</v>
      </c>
      <c r="BV231">
        <v>1</v>
      </c>
      <c r="BW231">
        <v>1</v>
      </c>
      <c r="BX231">
        <v>1</v>
      </c>
      <c r="BY231" t="s">
        <v>3</v>
      </c>
      <c r="BZ231">
        <v>0</v>
      </c>
      <c r="CA231">
        <v>0</v>
      </c>
      <c r="CB231" t="s">
        <v>3</v>
      </c>
      <c r="CE231">
        <v>0</v>
      </c>
      <c r="CF231">
        <v>0</v>
      </c>
      <c r="CG231">
        <v>0</v>
      </c>
      <c r="CM231">
        <v>0</v>
      </c>
      <c r="CN231" t="s">
        <v>3</v>
      </c>
      <c r="CO231">
        <v>0</v>
      </c>
      <c r="CP231">
        <f t="shared" si="160"/>
        <v>11520</v>
      </c>
      <c r="CQ231">
        <f>AC231*BC231</f>
        <v>180</v>
      </c>
      <c r="CR231">
        <f>AD231*BB231</f>
        <v>0</v>
      </c>
      <c r="CS231">
        <f>AE231*BS231</f>
        <v>0</v>
      </c>
      <c r="CT231">
        <f>AF231*BA231</f>
        <v>0</v>
      </c>
      <c r="CU231">
        <f t="shared" si="164"/>
        <v>0</v>
      </c>
      <c r="CV231">
        <f>AH231</f>
        <v>0</v>
      </c>
      <c r="CW231">
        <f t="shared" si="166"/>
        <v>0</v>
      </c>
      <c r="CX231">
        <f t="shared" si="167"/>
        <v>0</v>
      </c>
      <c r="CY231">
        <f>0</f>
        <v>0</v>
      </c>
      <c r="CZ231">
        <f>0</f>
        <v>0</v>
      </c>
      <c r="DC231" t="s">
        <v>3</v>
      </c>
      <c r="DD231" t="s">
        <v>3</v>
      </c>
      <c r="DE231" t="s">
        <v>3</v>
      </c>
      <c r="DF231" t="s">
        <v>3</v>
      </c>
      <c r="DG231" t="s">
        <v>22</v>
      </c>
      <c r="DH231" t="s">
        <v>3</v>
      </c>
      <c r="DI231" t="s">
        <v>22</v>
      </c>
      <c r="DJ231" t="s">
        <v>3</v>
      </c>
      <c r="DK231" t="s">
        <v>3</v>
      </c>
      <c r="DL231" t="s">
        <v>3</v>
      </c>
      <c r="DM231" t="s">
        <v>3</v>
      </c>
      <c r="DN231">
        <v>0</v>
      </c>
      <c r="DO231">
        <v>0</v>
      </c>
      <c r="DP231">
        <v>1</v>
      </c>
      <c r="DQ231">
        <v>1</v>
      </c>
      <c r="DU231">
        <v>1013</v>
      </c>
      <c r="DV231" t="s">
        <v>219</v>
      </c>
      <c r="DW231" t="s">
        <v>219</v>
      </c>
      <c r="DX231">
        <v>7.0999999999999994E-2</v>
      </c>
      <c r="DZ231" t="s">
        <v>3</v>
      </c>
      <c r="EA231" t="s">
        <v>3</v>
      </c>
      <c r="EB231" t="s">
        <v>3</v>
      </c>
      <c r="EC231" t="s">
        <v>3</v>
      </c>
      <c r="EE231">
        <v>0</v>
      </c>
      <c r="EF231">
        <v>0</v>
      </c>
      <c r="EG231" t="s">
        <v>3</v>
      </c>
      <c r="EH231">
        <v>0</v>
      </c>
      <c r="EI231" t="s">
        <v>3</v>
      </c>
      <c r="EJ231">
        <v>0</v>
      </c>
      <c r="EK231">
        <v>356</v>
      </c>
      <c r="EL231" t="s">
        <v>3</v>
      </c>
      <c r="EM231" t="s">
        <v>3</v>
      </c>
      <c r="EO231" t="s">
        <v>3</v>
      </c>
      <c r="EQ231">
        <v>1024</v>
      </c>
      <c r="ER231">
        <v>180</v>
      </c>
      <c r="ES231">
        <v>180</v>
      </c>
      <c r="ET231">
        <v>0</v>
      </c>
      <c r="EU231">
        <v>0</v>
      </c>
      <c r="EV231">
        <v>0</v>
      </c>
      <c r="EW231">
        <v>0</v>
      </c>
      <c r="EX231">
        <v>0</v>
      </c>
      <c r="EY231">
        <v>0</v>
      </c>
      <c r="FQ231">
        <v>11520</v>
      </c>
      <c r="FR231">
        <f t="shared" si="170"/>
        <v>0</v>
      </c>
      <c r="FS231">
        <v>1</v>
      </c>
      <c r="FX231">
        <v>0</v>
      </c>
      <c r="FY231">
        <v>0</v>
      </c>
      <c r="GA231" t="s">
        <v>3</v>
      </c>
      <c r="GD231">
        <v>0</v>
      </c>
      <c r="GF231">
        <v>-54322067</v>
      </c>
      <c r="GG231">
        <v>2</v>
      </c>
      <c r="GH231">
        <v>0</v>
      </c>
      <c r="GI231">
        <v>-2</v>
      </c>
      <c r="GJ231">
        <v>0</v>
      </c>
      <c r="GK231">
        <f>ROUND(R231*(R12)/100,2)</f>
        <v>0</v>
      </c>
      <c r="GL231">
        <f t="shared" si="171"/>
        <v>0</v>
      </c>
      <c r="GM231">
        <f t="shared" si="172"/>
        <v>11520</v>
      </c>
      <c r="GN231">
        <f t="shared" si="173"/>
        <v>11520</v>
      </c>
      <c r="GO231">
        <f t="shared" si="174"/>
        <v>0</v>
      </c>
      <c r="GP231">
        <f t="shared" si="175"/>
        <v>0</v>
      </c>
      <c r="GR231">
        <v>0</v>
      </c>
      <c r="GS231">
        <v>0</v>
      </c>
      <c r="GT231">
        <v>0</v>
      </c>
      <c r="GU231" t="s">
        <v>3</v>
      </c>
      <c r="GV231">
        <f t="shared" si="176"/>
        <v>0</v>
      </c>
      <c r="GW231">
        <v>1</v>
      </c>
      <c r="GX231">
        <f t="shared" si="177"/>
        <v>0</v>
      </c>
      <c r="HA231">
        <v>0</v>
      </c>
      <c r="HB231">
        <v>0</v>
      </c>
      <c r="HC231">
        <f t="shared" si="178"/>
        <v>0</v>
      </c>
      <c r="HE231" t="s">
        <v>3</v>
      </c>
      <c r="HF231" t="s">
        <v>3</v>
      </c>
      <c r="HM231" t="s">
        <v>3</v>
      </c>
      <c r="HN231" t="s">
        <v>3</v>
      </c>
      <c r="HO231" t="s">
        <v>3</v>
      </c>
      <c r="HP231" t="s">
        <v>3</v>
      </c>
      <c r="HQ231" t="s">
        <v>3</v>
      </c>
      <c r="IK231">
        <v>0</v>
      </c>
    </row>
    <row r="232" spans="1:245" x14ac:dyDescent="0.2">
      <c r="A232">
        <v>17</v>
      </c>
      <c r="B232">
        <v>1</v>
      </c>
      <c r="D232">
        <f>ROW(EtalonRes!A104)</f>
        <v>104</v>
      </c>
      <c r="E232" t="s">
        <v>220</v>
      </c>
      <c r="F232" t="s">
        <v>221</v>
      </c>
      <c r="G232" t="s">
        <v>222</v>
      </c>
      <c r="H232" t="s">
        <v>32</v>
      </c>
      <c r="I232">
        <f>ROUND(ROUND(11*2,9),9)</f>
        <v>22</v>
      </c>
      <c r="J232">
        <v>0</v>
      </c>
      <c r="K232">
        <f>ROUND(ROUND(11*2,9),9)</f>
        <v>22</v>
      </c>
      <c r="O232">
        <f t="shared" si="146"/>
        <v>10521.72</v>
      </c>
      <c r="P232">
        <f t="shared" si="147"/>
        <v>842.16</v>
      </c>
      <c r="Q232">
        <f t="shared" si="148"/>
        <v>0</v>
      </c>
      <c r="R232">
        <f t="shared" si="149"/>
        <v>0</v>
      </c>
      <c r="S232">
        <f t="shared" si="150"/>
        <v>9679.56</v>
      </c>
      <c r="T232">
        <f t="shared" si="151"/>
        <v>0</v>
      </c>
      <c r="U232">
        <f t="shared" si="152"/>
        <v>13.64</v>
      </c>
      <c r="V232">
        <f t="shared" si="153"/>
        <v>0</v>
      </c>
      <c r="W232">
        <f t="shared" si="154"/>
        <v>0</v>
      </c>
      <c r="X232">
        <f t="shared" si="155"/>
        <v>6775.69</v>
      </c>
      <c r="Y232">
        <f t="shared" si="156"/>
        <v>967.96</v>
      </c>
      <c r="AA232">
        <v>1472224561</v>
      </c>
      <c r="AB232">
        <f t="shared" si="157"/>
        <v>478.26</v>
      </c>
      <c r="AC232">
        <f>ROUND(((ES232*2)),6)</f>
        <v>38.28</v>
      </c>
      <c r="AD232">
        <f>ROUND(((((ET232*2))-((EU232*2)))+AE232),6)</f>
        <v>0</v>
      </c>
      <c r="AE232">
        <f>ROUND(((EU232*2)),6)</f>
        <v>0</v>
      </c>
      <c r="AF232">
        <f>ROUND(((EV232*2)),6)</f>
        <v>439.98</v>
      </c>
      <c r="AG232">
        <f t="shared" si="158"/>
        <v>0</v>
      </c>
      <c r="AH232">
        <f>((EW232*2))</f>
        <v>0.62</v>
      </c>
      <c r="AI232">
        <f>((EX232*2))</f>
        <v>0</v>
      </c>
      <c r="AJ232">
        <f t="shared" si="159"/>
        <v>0</v>
      </c>
      <c r="AK232">
        <v>239.13</v>
      </c>
      <c r="AL232">
        <v>19.14</v>
      </c>
      <c r="AM232">
        <v>0</v>
      </c>
      <c r="AN232">
        <v>0</v>
      </c>
      <c r="AO232">
        <v>219.99</v>
      </c>
      <c r="AP232">
        <v>0</v>
      </c>
      <c r="AQ232">
        <v>0.31</v>
      </c>
      <c r="AR232">
        <v>0</v>
      </c>
      <c r="AS232">
        <v>0</v>
      </c>
      <c r="AT232">
        <v>70</v>
      </c>
      <c r="AU232">
        <v>10</v>
      </c>
      <c r="AV232">
        <v>1</v>
      </c>
      <c r="AW232">
        <v>1</v>
      </c>
      <c r="AZ232">
        <v>1</v>
      </c>
      <c r="BA232">
        <v>1</v>
      </c>
      <c r="BB232">
        <v>1</v>
      </c>
      <c r="BC232">
        <v>1</v>
      </c>
      <c r="BD232" t="s">
        <v>3</v>
      </c>
      <c r="BE232" t="s">
        <v>3</v>
      </c>
      <c r="BF232" t="s">
        <v>3</v>
      </c>
      <c r="BG232" t="s">
        <v>3</v>
      </c>
      <c r="BH232">
        <v>0</v>
      </c>
      <c r="BI232">
        <v>4</v>
      </c>
      <c r="BJ232" t="s">
        <v>223</v>
      </c>
      <c r="BM232">
        <v>0</v>
      </c>
      <c r="BN232">
        <v>0</v>
      </c>
      <c r="BO232" t="s">
        <v>3</v>
      </c>
      <c r="BP232">
        <v>0</v>
      </c>
      <c r="BQ232">
        <v>1</v>
      </c>
      <c r="BR232">
        <v>0</v>
      </c>
      <c r="BS232">
        <v>1</v>
      </c>
      <c r="BT232">
        <v>1</v>
      </c>
      <c r="BU232">
        <v>1</v>
      </c>
      <c r="BV232">
        <v>1</v>
      </c>
      <c r="BW232">
        <v>1</v>
      </c>
      <c r="BX232">
        <v>1</v>
      </c>
      <c r="BY232" t="s">
        <v>3</v>
      </c>
      <c r="BZ232">
        <v>70</v>
      </c>
      <c r="CA232">
        <v>10</v>
      </c>
      <c r="CB232" t="s">
        <v>3</v>
      </c>
      <c r="CE232">
        <v>0</v>
      </c>
      <c r="CF232">
        <v>0</v>
      </c>
      <c r="CG232">
        <v>0</v>
      </c>
      <c r="CM232">
        <v>0</v>
      </c>
      <c r="CN232" t="s">
        <v>3</v>
      </c>
      <c r="CO232">
        <v>0</v>
      </c>
      <c r="CP232">
        <f t="shared" si="160"/>
        <v>10521.72</v>
      </c>
      <c r="CQ232">
        <f>(AC232*BC232*AW232)</f>
        <v>38.28</v>
      </c>
      <c r="CR232">
        <f>(((((ET232*2))*BB232-((EU232*2))*BS232)+AE232*BS232)*AV232)</f>
        <v>0</v>
      </c>
      <c r="CS232">
        <f>(AE232*BS232*AV232)</f>
        <v>0</v>
      </c>
      <c r="CT232">
        <f>(AF232*BA232*AV232)</f>
        <v>439.98</v>
      </c>
      <c r="CU232">
        <f t="shared" si="164"/>
        <v>0</v>
      </c>
      <c r="CV232">
        <f>(AH232*AV232)</f>
        <v>0.62</v>
      </c>
      <c r="CW232">
        <f t="shared" si="166"/>
        <v>0</v>
      </c>
      <c r="CX232">
        <f t="shared" si="167"/>
        <v>0</v>
      </c>
      <c r="CY232">
        <f>((S232*BZ232)/100)</f>
        <v>6775.6919999999991</v>
      </c>
      <c r="CZ232">
        <f>((S232*CA232)/100)</f>
        <v>967.9559999999999</v>
      </c>
      <c r="DC232" t="s">
        <v>3</v>
      </c>
      <c r="DD232" t="s">
        <v>164</v>
      </c>
      <c r="DE232" t="s">
        <v>164</v>
      </c>
      <c r="DF232" t="s">
        <v>164</v>
      </c>
      <c r="DG232" t="s">
        <v>164</v>
      </c>
      <c r="DH232" t="s">
        <v>3</v>
      </c>
      <c r="DI232" t="s">
        <v>164</v>
      </c>
      <c r="DJ232" t="s">
        <v>164</v>
      </c>
      <c r="DK232" t="s">
        <v>3</v>
      </c>
      <c r="DL232" t="s">
        <v>3</v>
      </c>
      <c r="DM232" t="s">
        <v>3</v>
      </c>
      <c r="DN232">
        <v>0</v>
      </c>
      <c r="DO232">
        <v>0</v>
      </c>
      <c r="DP232">
        <v>1</v>
      </c>
      <c r="DQ232">
        <v>1</v>
      </c>
      <c r="DU232">
        <v>16987630</v>
      </c>
      <c r="DV232" t="s">
        <v>32</v>
      </c>
      <c r="DW232" t="s">
        <v>32</v>
      </c>
      <c r="DX232">
        <v>1</v>
      </c>
      <c r="DZ232" t="s">
        <v>3</v>
      </c>
      <c r="EA232" t="s">
        <v>3</v>
      </c>
      <c r="EB232" t="s">
        <v>3</v>
      </c>
      <c r="EC232" t="s">
        <v>3</v>
      </c>
      <c r="EE232">
        <v>1441815344</v>
      </c>
      <c r="EF232">
        <v>1</v>
      </c>
      <c r="EG232" t="s">
        <v>23</v>
      </c>
      <c r="EH232">
        <v>0</v>
      </c>
      <c r="EI232" t="s">
        <v>3</v>
      </c>
      <c r="EJ232">
        <v>4</v>
      </c>
      <c r="EK232">
        <v>0</v>
      </c>
      <c r="EL232" t="s">
        <v>24</v>
      </c>
      <c r="EM232" t="s">
        <v>25</v>
      </c>
      <c r="EO232" t="s">
        <v>3</v>
      </c>
      <c r="EQ232">
        <v>0</v>
      </c>
      <c r="ER232">
        <v>239.13</v>
      </c>
      <c r="ES232">
        <v>19.14</v>
      </c>
      <c r="ET232">
        <v>0</v>
      </c>
      <c r="EU232">
        <v>0</v>
      </c>
      <c r="EV232">
        <v>219.99</v>
      </c>
      <c r="EW232">
        <v>0.31</v>
      </c>
      <c r="EX232">
        <v>0</v>
      </c>
      <c r="EY232">
        <v>0</v>
      </c>
      <c r="FQ232">
        <v>0</v>
      </c>
      <c r="FR232">
        <f t="shared" si="170"/>
        <v>0</v>
      </c>
      <c r="FS232">
        <v>0</v>
      </c>
      <c r="FX232">
        <v>70</v>
      </c>
      <c r="FY232">
        <v>10</v>
      </c>
      <c r="GA232" t="s">
        <v>3</v>
      </c>
      <c r="GD232">
        <v>0</v>
      </c>
      <c r="GF232">
        <v>-1042054303</v>
      </c>
      <c r="GG232">
        <v>2</v>
      </c>
      <c r="GH232">
        <v>1</v>
      </c>
      <c r="GI232">
        <v>-2</v>
      </c>
      <c r="GJ232">
        <v>0</v>
      </c>
      <c r="GK232">
        <f>ROUND(R232*(R12)/100,2)</f>
        <v>0</v>
      </c>
      <c r="GL232">
        <f t="shared" si="171"/>
        <v>0</v>
      </c>
      <c r="GM232">
        <f t="shared" si="172"/>
        <v>18265.37</v>
      </c>
      <c r="GN232">
        <f t="shared" si="173"/>
        <v>0</v>
      </c>
      <c r="GO232">
        <f t="shared" si="174"/>
        <v>0</v>
      </c>
      <c r="GP232">
        <f t="shared" si="175"/>
        <v>18265.37</v>
      </c>
      <c r="GR232">
        <v>0</v>
      </c>
      <c r="GS232">
        <v>3</v>
      </c>
      <c r="GT232">
        <v>0</v>
      </c>
      <c r="GU232" t="s">
        <v>3</v>
      </c>
      <c r="GV232">
        <f t="shared" si="176"/>
        <v>0</v>
      </c>
      <c r="GW232">
        <v>1</v>
      </c>
      <c r="GX232">
        <f t="shared" si="177"/>
        <v>0</v>
      </c>
      <c r="HA232">
        <v>0</v>
      </c>
      <c r="HB232">
        <v>0</v>
      </c>
      <c r="HC232">
        <f t="shared" si="178"/>
        <v>0</v>
      </c>
      <c r="HE232" t="s">
        <v>3</v>
      </c>
      <c r="HF232" t="s">
        <v>3</v>
      </c>
      <c r="HM232" t="s">
        <v>3</v>
      </c>
      <c r="HN232" t="s">
        <v>3</v>
      </c>
      <c r="HO232" t="s">
        <v>3</v>
      </c>
      <c r="HP232" t="s">
        <v>3</v>
      </c>
      <c r="HQ232" t="s">
        <v>3</v>
      </c>
      <c r="IK232">
        <v>0</v>
      </c>
    </row>
    <row r="233" spans="1:245" x14ac:dyDescent="0.2">
      <c r="A233">
        <v>19</v>
      </c>
      <c r="B233">
        <v>1</v>
      </c>
      <c r="F233" t="s">
        <v>3</v>
      </c>
      <c r="G233" t="s">
        <v>224</v>
      </c>
      <c r="H233" t="s">
        <v>3</v>
      </c>
      <c r="AA233">
        <v>1</v>
      </c>
      <c r="IK233">
        <v>0</v>
      </c>
    </row>
    <row r="234" spans="1:245" x14ac:dyDescent="0.2">
      <c r="A234">
        <v>17</v>
      </c>
      <c r="B234">
        <v>1</v>
      </c>
      <c r="D234">
        <f>ROW(EtalonRes!A105)</f>
        <v>105</v>
      </c>
      <c r="E234" t="s">
        <v>3</v>
      </c>
      <c r="F234" t="s">
        <v>18</v>
      </c>
      <c r="G234" t="s">
        <v>19</v>
      </c>
      <c r="H234" t="s">
        <v>20</v>
      </c>
      <c r="I234">
        <f>ROUND(ROUND((5.1+14.9+8.5+33.6+10.5+5.4+3.2+0.7+5.9+1.5+2.3+14.6+6.1+0.3+6.7+18.6+25)*0.25*0.1/100,9),9)</f>
        <v>4.0724999999999997E-2</v>
      </c>
      <c r="J234">
        <v>0</v>
      </c>
      <c r="K234">
        <f>ROUND(ROUND((5.1+14.9+8.5+33.6+10.5+5.4+3.2+0.7+5.9+1.5+2.3+14.6+6.1+0.3+6.7+18.6+25)*0.25*0.1/100,9),9)</f>
        <v>4.0724999999999997E-2</v>
      </c>
      <c r="O234">
        <f>ROUND(CP234,2)</f>
        <v>82.42</v>
      </c>
      <c r="P234">
        <f>ROUND(CQ234*I234,2)</f>
        <v>0</v>
      </c>
      <c r="Q234">
        <f>ROUND(CR234*I234,2)</f>
        <v>0</v>
      </c>
      <c r="R234">
        <f>ROUND(CS234*I234,2)</f>
        <v>0</v>
      </c>
      <c r="S234">
        <f>ROUND(CT234*I234,2)</f>
        <v>82.42</v>
      </c>
      <c r="T234">
        <f>ROUND(CU234*I234,2)</f>
        <v>0</v>
      </c>
      <c r="U234">
        <f>CV234*I234</f>
        <v>0.14660999999999999</v>
      </c>
      <c r="V234">
        <f>CW234*I234</f>
        <v>0</v>
      </c>
      <c r="W234">
        <f>ROUND(CX234*I234,2)</f>
        <v>0</v>
      </c>
      <c r="X234">
        <f t="shared" ref="X234:Y237" si="184">ROUND(CY234,2)</f>
        <v>57.69</v>
      </c>
      <c r="Y234">
        <f t="shared" si="184"/>
        <v>8.24</v>
      </c>
      <c r="AA234">
        <v>-1</v>
      </c>
      <c r="AB234">
        <f>ROUND((AC234+AD234+AF234),6)</f>
        <v>2023.8</v>
      </c>
      <c r="AC234">
        <f>ROUND(((ES234*4)),6)</f>
        <v>0</v>
      </c>
      <c r="AD234">
        <f>ROUND(((((ET234*4))-((EU234*4)))+AE234),6)</f>
        <v>0</v>
      </c>
      <c r="AE234">
        <f>ROUND(((EU234*4)),6)</f>
        <v>0</v>
      </c>
      <c r="AF234">
        <f>ROUND(((EV234*4)),6)</f>
        <v>2023.8</v>
      </c>
      <c r="AG234">
        <f>ROUND((AP234),6)</f>
        <v>0</v>
      </c>
      <c r="AH234">
        <f>((EW234*4))</f>
        <v>3.6</v>
      </c>
      <c r="AI234">
        <f>((EX234*4))</f>
        <v>0</v>
      </c>
      <c r="AJ234">
        <f>(AS234)</f>
        <v>0</v>
      </c>
      <c r="AK234">
        <v>505.95</v>
      </c>
      <c r="AL234">
        <v>0</v>
      </c>
      <c r="AM234">
        <v>0</v>
      </c>
      <c r="AN234">
        <v>0</v>
      </c>
      <c r="AO234">
        <v>505.95</v>
      </c>
      <c r="AP234">
        <v>0</v>
      </c>
      <c r="AQ234">
        <v>0.9</v>
      </c>
      <c r="AR234">
        <v>0</v>
      </c>
      <c r="AS234">
        <v>0</v>
      </c>
      <c r="AT234">
        <v>70</v>
      </c>
      <c r="AU234">
        <v>10</v>
      </c>
      <c r="AV234">
        <v>1</v>
      </c>
      <c r="AW234">
        <v>1</v>
      </c>
      <c r="AZ234">
        <v>1</v>
      </c>
      <c r="BA234">
        <v>1</v>
      </c>
      <c r="BB234">
        <v>1</v>
      </c>
      <c r="BC234">
        <v>1</v>
      </c>
      <c r="BD234" t="s">
        <v>3</v>
      </c>
      <c r="BE234" t="s">
        <v>3</v>
      </c>
      <c r="BF234" t="s">
        <v>3</v>
      </c>
      <c r="BG234" t="s">
        <v>3</v>
      </c>
      <c r="BH234">
        <v>0</v>
      </c>
      <c r="BI234">
        <v>4</v>
      </c>
      <c r="BJ234" t="s">
        <v>21</v>
      </c>
      <c r="BM234">
        <v>0</v>
      </c>
      <c r="BN234">
        <v>0</v>
      </c>
      <c r="BO234" t="s">
        <v>3</v>
      </c>
      <c r="BP234">
        <v>0</v>
      </c>
      <c r="BQ234">
        <v>1</v>
      </c>
      <c r="BR234">
        <v>0</v>
      </c>
      <c r="BS234">
        <v>1</v>
      </c>
      <c r="BT234">
        <v>1</v>
      </c>
      <c r="BU234">
        <v>1</v>
      </c>
      <c r="BV234">
        <v>1</v>
      </c>
      <c r="BW234">
        <v>1</v>
      </c>
      <c r="BX234">
        <v>1</v>
      </c>
      <c r="BY234" t="s">
        <v>3</v>
      </c>
      <c r="BZ234">
        <v>70</v>
      </c>
      <c r="CA234">
        <v>10</v>
      </c>
      <c r="CB234" t="s">
        <v>3</v>
      </c>
      <c r="CE234">
        <v>0</v>
      </c>
      <c r="CF234">
        <v>0</v>
      </c>
      <c r="CG234">
        <v>0</v>
      </c>
      <c r="CM234">
        <v>0</v>
      </c>
      <c r="CN234" t="s">
        <v>3</v>
      </c>
      <c r="CO234">
        <v>0</v>
      </c>
      <c r="CP234">
        <f>(P234+Q234+S234)</f>
        <v>82.42</v>
      </c>
      <c r="CQ234">
        <f>(AC234*BC234*AW234)</f>
        <v>0</v>
      </c>
      <c r="CR234">
        <f>(((((ET234*4))*BB234-((EU234*4))*BS234)+AE234*BS234)*AV234)</f>
        <v>0</v>
      </c>
      <c r="CS234">
        <f>(AE234*BS234*AV234)</f>
        <v>0</v>
      </c>
      <c r="CT234">
        <f>(AF234*BA234*AV234)</f>
        <v>2023.8</v>
      </c>
      <c r="CU234">
        <f>AG234</f>
        <v>0</v>
      </c>
      <c r="CV234">
        <f>(AH234*AV234)</f>
        <v>3.6</v>
      </c>
      <c r="CW234">
        <f t="shared" ref="CW234:CX237" si="185">AI234</f>
        <v>0</v>
      </c>
      <c r="CX234">
        <f t="shared" si="185"/>
        <v>0</v>
      </c>
      <c r="CY234">
        <f>((S234*BZ234)/100)</f>
        <v>57.694000000000003</v>
      </c>
      <c r="CZ234">
        <f>((S234*CA234)/100)</f>
        <v>8.2420000000000009</v>
      </c>
      <c r="DC234" t="s">
        <v>3</v>
      </c>
      <c r="DD234" t="s">
        <v>22</v>
      </c>
      <c r="DE234" t="s">
        <v>22</v>
      </c>
      <c r="DF234" t="s">
        <v>22</v>
      </c>
      <c r="DG234" t="s">
        <v>22</v>
      </c>
      <c r="DH234" t="s">
        <v>3</v>
      </c>
      <c r="DI234" t="s">
        <v>22</v>
      </c>
      <c r="DJ234" t="s">
        <v>22</v>
      </c>
      <c r="DK234" t="s">
        <v>3</v>
      </c>
      <c r="DL234" t="s">
        <v>3</v>
      </c>
      <c r="DM234" t="s">
        <v>3</v>
      </c>
      <c r="DN234">
        <v>0</v>
      </c>
      <c r="DO234">
        <v>0</v>
      </c>
      <c r="DP234">
        <v>1</v>
      </c>
      <c r="DQ234">
        <v>1</v>
      </c>
      <c r="DU234">
        <v>1003</v>
      </c>
      <c r="DV234" t="s">
        <v>20</v>
      </c>
      <c r="DW234" t="s">
        <v>20</v>
      </c>
      <c r="DX234">
        <v>100</v>
      </c>
      <c r="DZ234" t="s">
        <v>3</v>
      </c>
      <c r="EA234" t="s">
        <v>3</v>
      </c>
      <c r="EB234" t="s">
        <v>3</v>
      </c>
      <c r="EC234" t="s">
        <v>3</v>
      </c>
      <c r="EE234">
        <v>1441815344</v>
      </c>
      <c r="EF234">
        <v>1</v>
      </c>
      <c r="EG234" t="s">
        <v>23</v>
      </c>
      <c r="EH234">
        <v>0</v>
      </c>
      <c r="EI234" t="s">
        <v>3</v>
      </c>
      <c r="EJ234">
        <v>4</v>
      </c>
      <c r="EK234">
        <v>0</v>
      </c>
      <c r="EL234" t="s">
        <v>24</v>
      </c>
      <c r="EM234" t="s">
        <v>25</v>
      </c>
      <c r="EO234" t="s">
        <v>3</v>
      </c>
      <c r="EQ234">
        <v>1024</v>
      </c>
      <c r="ER234">
        <v>505.95</v>
      </c>
      <c r="ES234">
        <v>0</v>
      </c>
      <c r="ET234">
        <v>0</v>
      </c>
      <c r="EU234">
        <v>0</v>
      </c>
      <c r="EV234">
        <v>505.95</v>
      </c>
      <c r="EW234">
        <v>0.9</v>
      </c>
      <c r="EX234">
        <v>0</v>
      </c>
      <c r="EY234">
        <v>0</v>
      </c>
      <c r="FQ234">
        <v>0</v>
      </c>
      <c r="FR234">
        <f>ROUND(IF(BI234=3,GM234,0),2)</f>
        <v>0</v>
      </c>
      <c r="FS234">
        <v>0</v>
      </c>
      <c r="FX234">
        <v>70</v>
      </c>
      <c r="FY234">
        <v>10</v>
      </c>
      <c r="GA234" t="s">
        <v>3</v>
      </c>
      <c r="GD234">
        <v>0</v>
      </c>
      <c r="GF234">
        <v>-341239612</v>
      </c>
      <c r="GG234">
        <v>2</v>
      </c>
      <c r="GH234">
        <v>1</v>
      </c>
      <c r="GI234">
        <v>-2</v>
      </c>
      <c r="GJ234">
        <v>0</v>
      </c>
      <c r="GK234">
        <f>ROUND(R234*(R12)/100,2)</f>
        <v>0</v>
      </c>
      <c r="GL234">
        <f>ROUND(IF(AND(BH234=3,BI234=3,FS234&lt;&gt;0),P234,0),2)</f>
        <v>0</v>
      </c>
      <c r="GM234">
        <f>ROUND(O234+X234+Y234+GK234,2)+GX234</f>
        <v>148.35</v>
      </c>
      <c r="GN234">
        <f>IF(OR(BI234=0,BI234=1),GM234-GX234,0)</f>
        <v>0</v>
      </c>
      <c r="GO234">
        <f>IF(BI234=2,GM234-GX234,0)</f>
        <v>0</v>
      </c>
      <c r="GP234">
        <f>IF(BI234=4,GM234-GX234,0)</f>
        <v>148.35</v>
      </c>
      <c r="GR234">
        <v>0</v>
      </c>
      <c r="GS234">
        <v>3</v>
      </c>
      <c r="GT234">
        <v>0</v>
      </c>
      <c r="GU234" t="s">
        <v>3</v>
      </c>
      <c r="GV234">
        <f>ROUND((GT234),6)</f>
        <v>0</v>
      </c>
      <c r="GW234">
        <v>1</v>
      </c>
      <c r="GX234">
        <f>ROUND(HC234*I234,2)</f>
        <v>0</v>
      </c>
      <c r="HA234">
        <v>0</v>
      </c>
      <c r="HB234">
        <v>0</v>
      </c>
      <c r="HC234">
        <f>GV234*GW234</f>
        <v>0</v>
      </c>
      <c r="HE234" t="s">
        <v>3</v>
      </c>
      <c r="HF234" t="s">
        <v>3</v>
      </c>
      <c r="HM234" t="s">
        <v>3</v>
      </c>
      <c r="HN234" t="s">
        <v>3</v>
      </c>
      <c r="HO234" t="s">
        <v>3</v>
      </c>
      <c r="HP234" t="s">
        <v>3</v>
      </c>
      <c r="HQ234" t="s">
        <v>3</v>
      </c>
      <c r="IK234">
        <v>0</v>
      </c>
    </row>
    <row r="235" spans="1:245" x14ac:dyDescent="0.2">
      <c r="A235">
        <v>17</v>
      </c>
      <c r="B235">
        <v>1</v>
      </c>
      <c r="D235">
        <f>ROW(EtalonRes!A106)</f>
        <v>106</v>
      </c>
      <c r="E235" t="s">
        <v>3</v>
      </c>
      <c r="F235" t="s">
        <v>225</v>
      </c>
      <c r="G235" t="s">
        <v>226</v>
      </c>
      <c r="H235" t="s">
        <v>20</v>
      </c>
      <c r="I235">
        <f>ROUND(ROUND((5.1+14.9+8.5+10.5+5.4+3.2+0.7+5.9+1.5+2.3+14.6+6.1+0.3+6.7+18.6+25)*0.75*0.1/100,9),9)</f>
        <v>9.6975000000000006E-2</v>
      </c>
      <c r="J235">
        <v>0</v>
      </c>
      <c r="K235">
        <f>ROUND(ROUND((5.1+14.9+8.5+10.5+5.4+3.2+0.7+5.9+1.5+2.3+14.6+6.1+0.3+6.7+18.6+25)*0.75*0.1/100,9),9)</f>
        <v>9.6975000000000006E-2</v>
      </c>
      <c r="O235">
        <f>ROUND(CP235,2)</f>
        <v>575.69000000000005</v>
      </c>
      <c r="P235">
        <f>ROUND(CQ235*I235,2)</f>
        <v>0</v>
      </c>
      <c r="Q235">
        <f>ROUND(CR235*I235,2)</f>
        <v>0</v>
      </c>
      <c r="R235">
        <f>ROUND(CS235*I235,2)</f>
        <v>0</v>
      </c>
      <c r="S235">
        <f>ROUND(CT235*I235,2)</f>
        <v>575.69000000000005</v>
      </c>
      <c r="T235">
        <f>ROUND(CU235*I235,2)</f>
        <v>0</v>
      </c>
      <c r="U235">
        <f>CV235*I235</f>
        <v>1.0240560000000001</v>
      </c>
      <c r="V235">
        <f>CW235*I235</f>
        <v>0</v>
      </c>
      <c r="W235">
        <f>ROUND(CX235*I235,2)</f>
        <v>0</v>
      </c>
      <c r="X235">
        <f t="shared" si="184"/>
        <v>402.98</v>
      </c>
      <c r="Y235">
        <f t="shared" si="184"/>
        <v>57.57</v>
      </c>
      <c r="AA235">
        <v>-1</v>
      </c>
      <c r="AB235">
        <f>ROUND((AC235+AD235+AF235),6)</f>
        <v>5936.52</v>
      </c>
      <c r="AC235">
        <f>ROUND(((ES235*4)),6)</f>
        <v>0</v>
      </c>
      <c r="AD235">
        <f>ROUND(((((ET235*4))-((EU235*4)))+AE235),6)</f>
        <v>0</v>
      </c>
      <c r="AE235">
        <f>ROUND(((EU235*4)),6)</f>
        <v>0</v>
      </c>
      <c r="AF235">
        <f>ROUND(((EV235*4)),6)</f>
        <v>5936.52</v>
      </c>
      <c r="AG235">
        <f>ROUND((AP235),6)</f>
        <v>0</v>
      </c>
      <c r="AH235">
        <f>((EW235*4))</f>
        <v>10.56</v>
      </c>
      <c r="AI235">
        <f>((EX235*4))</f>
        <v>0</v>
      </c>
      <c r="AJ235">
        <f>(AS235)</f>
        <v>0</v>
      </c>
      <c r="AK235">
        <v>1484.13</v>
      </c>
      <c r="AL235">
        <v>0</v>
      </c>
      <c r="AM235">
        <v>0</v>
      </c>
      <c r="AN235">
        <v>0</v>
      </c>
      <c r="AO235">
        <v>1484.13</v>
      </c>
      <c r="AP235">
        <v>0</v>
      </c>
      <c r="AQ235">
        <v>2.64</v>
      </c>
      <c r="AR235">
        <v>0</v>
      </c>
      <c r="AS235">
        <v>0</v>
      </c>
      <c r="AT235">
        <v>70</v>
      </c>
      <c r="AU235">
        <v>10</v>
      </c>
      <c r="AV235">
        <v>1</v>
      </c>
      <c r="AW235">
        <v>1</v>
      </c>
      <c r="AZ235">
        <v>1</v>
      </c>
      <c r="BA235">
        <v>1</v>
      </c>
      <c r="BB235">
        <v>1</v>
      </c>
      <c r="BC235">
        <v>1</v>
      </c>
      <c r="BD235" t="s">
        <v>3</v>
      </c>
      <c r="BE235" t="s">
        <v>3</v>
      </c>
      <c r="BF235" t="s">
        <v>3</v>
      </c>
      <c r="BG235" t="s">
        <v>3</v>
      </c>
      <c r="BH235">
        <v>0</v>
      </c>
      <c r="BI235">
        <v>4</v>
      </c>
      <c r="BJ235" t="s">
        <v>227</v>
      </c>
      <c r="BM235">
        <v>0</v>
      </c>
      <c r="BN235">
        <v>0</v>
      </c>
      <c r="BO235" t="s">
        <v>3</v>
      </c>
      <c r="BP235">
        <v>0</v>
      </c>
      <c r="BQ235">
        <v>1</v>
      </c>
      <c r="BR235">
        <v>0</v>
      </c>
      <c r="BS235">
        <v>1</v>
      </c>
      <c r="BT235">
        <v>1</v>
      </c>
      <c r="BU235">
        <v>1</v>
      </c>
      <c r="BV235">
        <v>1</v>
      </c>
      <c r="BW235">
        <v>1</v>
      </c>
      <c r="BX235">
        <v>1</v>
      </c>
      <c r="BY235" t="s">
        <v>3</v>
      </c>
      <c r="BZ235">
        <v>70</v>
      </c>
      <c r="CA235">
        <v>10</v>
      </c>
      <c r="CB235" t="s">
        <v>3</v>
      </c>
      <c r="CE235">
        <v>0</v>
      </c>
      <c r="CF235">
        <v>0</v>
      </c>
      <c r="CG235">
        <v>0</v>
      </c>
      <c r="CM235">
        <v>0</v>
      </c>
      <c r="CN235" t="s">
        <v>3</v>
      </c>
      <c r="CO235">
        <v>0</v>
      </c>
      <c r="CP235">
        <f>(P235+Q235+S235)</f>
        <v>575.69000000000005</v>
      </c>
      <c r="CQ235">
        <f>(AC235*BC235*AW235)</f>
        <v>0</v>
      </c>
      <c r="CR235">
        <f>(((((ET235*4))*BB235-((EU235*4))*BS235)+AE235*BS235)*AV235)</f>
        <v>0</v>
      </c>
      <c r="CS235">
        <f>(AE235*BS235*AV235)</f>
        <v>0</v>
      </c>
      <c r="CT235">
        <f>(AF235*BA235*AV235)</f>
        <v>5936.52</v>
      </c>
      <c r="CU235">
        <f>AG235</f>
        <v>0</v>
      </c>
      <c r="CV235">
        <f>(AH235*AV235)</f>
        <v>10.56</v>
      </c>
      <c r="CW235">
        <f t="shared" si="185"/>
        <v>0</v>
      </c>
      <c r="CX235">
        <f t="shared" si="185"/>
        <v>0</v>
      </c>
      <c r="CY235">
        <f>((S235*BZ235)/100)</f>
        <v>402.983</v>
      </c>
      <c r="CZ235">
        <f>((S235*CA235)/100)</f>
        <v>57.569000000000003</v>
      </c>
      <c r="DC235" t="s">
        <v>3</v>
      </c>
      <c r="DD235" t="s">
        <v>22</v>
      </c>
      <c r="DE235" t="s">
        <v>22</v>
      </c>
      <c r="DF235" t="s">
        <v>22</v>
      </c>
      <c r="DG235" t="s">
        <v>22</v>
      </c>
      <c r="DH235" t="s">
        <v>3</v>
      </c>
      <c r="DI235" t="s">
        <v>22</v>
      </c>
      <c r="DJ235" t="s">
        <v>22</v>
      </c>
      <c r="DK235" t="s">
        <v>3</v>
      </c>
      <c r="DL235" t="s">
        <v>3</v>
      </c>
      <c r="DM235" t="s">
        <v>3</v>
      </c>
      <c r="DN235">
        <v>0</v>
      </c>
      <c r="DO235">
        <v>0</v>
      </c>
      <c r="DP235">
        <v>1</v>
      </c>
      <c r="DQ235">
        <v>1</v>
      </c>
      <c r="DU235">
        <v>1003</v>
      </c>
      <c r="DV235" t="s">
        <v>20</v>
      </c>
      <c r="DW235" t="s">
        <v>20</v>
      </c>
      <c r="DX235">
        <v>100</v>
      </c>
      <c r="DZ235" t="s">
        <v>3</v>
      </c>
      <c r="EA235" t="s">
        <v>3</v>
      </c>
      <c r="EB235" t="s">
        <v>3</v>
      </c>
      <c r="EC235" t="s">
        <v>3</v>
      </c>
      <c r="EE235">
        <v>1441815344</v>
      </c>
      <c r="EF235">
        <v>1</v>
      </c>
      <c r="EG235" t="s">
        <v>23</v>
      </c>
      <c r="EH235">
        <v>0</v>
      </c>
      <c r="EI235" t="s">
        <v>3</v>
      </c>
      <c r="EJ235">
        <v>4</v>
      </c>
      <c r="EK235">
        <v>0</v>
      </c>
      <c r="EL235" t="s">
        <v>24</v>
      </c>
      <c r="EM235" t="s">
        <v>25</v>
      </c>
      <c r="EO235" t="s">
        <v>3</v>
      </c>
      <c r="EQ235">
        <v>1024</v>
      </c>
      <c r="ER235">
        <v>1484.13</v>
      </c>
      <c r="ES235">
        <v>0</v>
      </c>
      <c r="ET235">
        <v>0</v>
      </c>
      <c r="EU235">
        <v>0</v>
      </c>
      <c r="EV235">
        <v>1484.13</v>
      </c>
      <c r="EW235">
        <v>2.64</v>
      </c>
      <c r="EX235">
        <v>0</v>
      </c>
      <c r="EY235">
        <v>0</v>
      </c>
      <c r="FQ235">
        <v>0</v>
      </c>
      <c r="FR235">
        <f>ROUND(IF(BI235=3,GM235,0),2)</f>
        <v>0</v>
      </c>
      <c r="FS235">
        <v>0</v>
      </c>
      <c r="FX235">
        <v>70</v>
      </c>
      <c r="FY235">
        <v>10</v>
      </c>
      <c r="GA235" t="s">
        <v>3</v>
      </c>
      <c r="GD235">
        <v>0</v>
      </c>
      <c r="GF235">
        <v>1802126441</v>
      </c>
      <c r="GG235">
        <v>2</v>
      </c>
      <c r="GH235">
        <v>1</v>
      </c>
      <c r="GI235">
        <v>-2</v>
      </c>
      <c r="GJ235">
        <v>0</v>
      </c>
      <c r="GK235">
        <f>ROUND(R235*(R12)/100,2)</f>
        <v>0</v>
      </c>
      <c r="GL235">
        <f>ROUND(IF(AND(BH235=3,BI235=3,FS235&lt;&gt;0),P235,0),2)</f>
        <v>0</v>
      </c>
      <c r="GM235">
        <f>ROUND(O235+X235+Y235+GK235,2)+GX235</f>
        <v>1036.24</v>
      </c>
      <c r="GN235">
        <f>IF(OR(BI235=0,BI235=1),GM235-GX235,0)</f>
        <v>0</v>
      </c>
      <c r="GO235">
        <f>IF(BI235=2,GM235-GX235,0)</f>
        <v>0</v>
      </c>
      <c r="GP235">
        <f>IF(BI235=4,GM235-GX235,0)</f>
        <v>1036.24</v>
      </c>
      <c r="GR235">
        <v>0</v>
      </c>
      <c r="GS235">
        <v>3</v>
      </c>
      <c r="GT235">
        <v>0</v>
      </c>
      <c r="GU235" t="s">
        <v>3</v>
      </c>
      <c r="GV235">
        <f>ROUND((GT235),6)</f>
        <v>0</v>
      </c>
      <c r="GW235">
        <v>1</v>
      </c>
      <c r="GX235">
        <f>ROUND(HC235*I235,2)</f>
        <v>0</v>
      </c>
      <c r="HA235">
        <v>0</v>
      </c>
      <c r="HB235">
        <v>0</v>
      </c>
      <c r="HC235">
        <f>GV235*GW235</f>
        <v>0</v>
      </c>
      <c r="HE235" t="s">
        <v>3</v>
      </c>
      <c r="HF235" t="s">
        <v>3</v>
      </c>
      <c r="HM235" t="s">
        <v>3</v>
      </c>
      <c r="HN235" t="s">
        <v>3</v>
      </c>
      <c r="HO235" t="s">
        <v>3</v>
      </c>
      <c r="HP235" t="s">
        <v>3</v>
      </c>
      <c r="HQ235" t="s">
        <v>3</v>
      </c>
      <c r="IK235">
        <v>0</v>
      </c>
    </row>
    <row r="236" spans="1:245" x14ac:dyDescent="0.2">
      <c r="A236">
        <v>17</v>
      </c>
      <c r="B236">
        <v>1</v>
      </c>
      <c r="D236">
        <f>ROW(EtalonRes!A112)</f>
        <v>112</v>
      </c>
      <c r="E236" t="s">
        <v>3</v>
      </c>
      <c r="F236" t="s">
        <v>228</v>
      </c>
      <c r="G236" t="s">
        <v>229</v>
      </c>
      <c r="H236" t="s">
        <v>20</v>
      </c>
      <c r="I236">
        <f>ROUND((5.1+14.9+8.5+10.5+5.4+3.2+0.7+5.9+1.5+2.3+14.6+6.1+0.3+6.7+18.6+25)/100,9)</f>
        <v>1.2929999999999999</v>
      </c>
      <c r="J236">
        <v>0</v>
      </c>
      <c r="K236">
        <f>ROUND((5.1+14.9+8.5+10.5+5.4+3.2+0.7+5.9+1.5+2.3+14.6+6.1+0.3+6.7+18.6+25)/100,9)</f>
        <v>1.2929999999999999</v>
      </c>
      <c r="O236">
        <f>ROUND(CP236,2)</f>
        <v>10447.59</v>
      </c>
      <c r="P236">
        <f>ROUND(CQ236*I236,2)</f>
        <v>289.23</v>
      </c>
      <c r="Q236">
        <f>ROUND(CR236*I236,2)</f>
        <v>65.56</v>
      </c>
      <c r="R236">
        <f>ROUND(CS236*I236,2)</f>
        <v>1.05</v>
      </c>
      <c r="S236">
        <f>ROUND(CT236*I236,2)</f>
        <v>10092.799999999999</v>
      </c>
      <c r="T236">
        <f>ROUND(CU236*I236,2)</f>
        <v>0</v>
      </c>
      <c r="U236">
        <f>CV236*I236</f>
        <v>13.75752</v>
      </c>
      <c r="V236">
        <f>CW236*I236</f>
        <v>0</v>
      </c>
      <c r="W236">
        <f>ROUND(CX236*I236,2)</f>
        <v>0</v>
      </c>
      <c r="X236">
        <f t="shared" si="184"/>
        <v>7064.96</v>
      </c>
      <c r="Y236">
        <f t="shared" si="184"/>
        <v>1009.28</v>
      </c>
      <c r="AA236">
        <v>-1</v>
      </c>
      <c r="AB236">
        <f>ROUND((AC236+AD236+AF236),6)</f>
        <v>8080.11</v>
      </c>
      <c r="AC236">
        <f>ROUND((ES236),6)</f>
        <v>223.69</v>
      </c>
      <c r="AD236">
        <f>ROUND((((ET236)-(EU236))+AE236),6)</f>
        <v>50.7</v>
      </c>
      <c r="AE236">
        <f>ROUND((EU236),6)</f>
        <v>0.81</v>
      </c>
      <c r="AF236">
        <f>ROUND((EV236),6)</f>
        <v>7805.72</v>
      </c>
      <c r="AG236">
        <f>ROUND((AP236),6)</f>
        <v>0</v>
      </c>
      <c r="AH236">
        <f>(EW236)</f>
        <v>10.64</v>
      </c>
      <c r="AI236">
        <f>(EX236)</f>
        <v>0</v>
      </c>
      <c r="AJ236">
        <f>(AS236)</f>
        <v>0</v>
      </c>
      <c r="AK236">
        <v>8080.11</v>
      </c>
      <c r="AL236">
        <v>223.69</v>
      </c>
      <c r="AM236">
        <v>50.7</v>
      </c>
      <c r="AN236">
        <v>0.81</v>
      </c>
      <c r="AO236">
        <v>7805.72</v>
      </c>
      <c r="AP236">
        <v>0</v>
      </c>
      <c r="AQ236">
        <v>10.64</v>
      </c>
      <c r="AR236">
        <v>0</v>
      </c>
      <c r="AS236">
        <v>0</v>
      </c>
      <c r="AT236">
        <v>70</v>
      </c>
      <c r="AU236">
        <v>10</v>
      </c>
      <c r="AV236">
        <v>1</v>
      </c>
      <c r="AW236">
        <v>1</v>
      </c>
      <c r="AZ236">
        <v>1</v>
      </c>
      <c r="BA236">
        <v>1</v>
      </c>
      <c r="BB236">
        <v>1</v>
      </c>
      <c r="BC236">
        <v>1</v>
      </c>
      <c r="BD236" t="s">
        <v>3</v>
      </c>
      <c r="BE236" t="s">
        <v>3</v>
      </c>
      <c r="BF236" t="s">
        <v>3</v>
      </c>
      <c r="BG236" t="s">
        <v>3</v>
      </c>
      <c r="BH236">
        <v>0</v>
      </c>
      <c r="BI236">
        <v>4</v>
      </c>
      <c r="BJ236" t="s">
        <v>230</v>
      </c>
      <c r="BM236">
        <v>0</v>
      </c>
      <c r="BN236">
        <v>0</v>
      </c>
      <c r="BO236" t="s">
        <v>3</v>
      </c>
      <c r="BP236">
        <v>0</v>
      </c>
      <c r="BQ236">
        <v>1</v>
      </c>
      <c r="BR236">
        <v>0</v>
      </c>
      <c r="BS236">
        <v>1</v>
      </c>
      <c r="BT236">
        <v>1</v>
      </c>
      <c r="BU236">
        <v>1</v>
      </c>
      <c r="BV236">
        <v>1</v>
      </c>
      <c r="BW236">
        <v>1</v>
      </c>
      <c r="BX236">
        <v>1</v>
      </c>
      <c r="BY236" t="s">
        <v>3</v>
      </c>
      <c r="BZ236">
        <v>70</v>
      </c>
      <c r="CA236">
        <v>10</v>
      </c>
      <c r="CB236" t="s">
        <v>3</v>
      </c>
      <c r="CE236">
        <v>0</v>
      </c>
      <c r="CF236">
        <v>0</v>
      </c>
      <c r="CG236">
        <v>0</v>
      </c>
      <c r="CM236">
        <v>0</v>
      </c>
      <c r="CN236" t="s">
        <v>3</v>
      </c>
      <c r="CO236">
        <v>0</v>
      </c>
      <c r="CP236">
        <f>(P236+Q236+S236)</f>
        <v>10447.59</v>
      </c>
      <c r="CQ236">
        <f>(AC236*BC236*AW236)</f>
        <v>223.69</v>
      </c>
      <c r="CR236">
        <f>((((ET236)*BB236-(EU236)*BS236)+AE236*BS236)*AV236)</f>
        <v>50.7</v>
      </c>
      <c r="CS236">
        <f>(AE236*BS236*AV236)</f>
        <v>0.81</v>
      </c>
      <c r="CT236">
        <f>(AF236*BA236*AV236)</f>
        <v>7805.72</v>
      </c>
      <c r="CU236">
        <f>AG236</f>
        <v>0</v>
      </c>
      <c r="CV236">
        <f>(AH236*AV236)</f>
        <v>10.64</v>
      </c>
      <c r="CW236">
        <f t="shared" si="185"/>
        <v>0</v>
      </c>
      <c r="CX236">
        <f t="shared" si="185"/>
        <v>0</v>
      </c>
      <c r="CY236">
        <f>((S236*BZ236)/100)</f>
        <v>7064.96</v>
      </c>
      <c r="CZ236">
        <f>((S236*CA236)/100)</f>
        <v>1009.28</v>
      </c>
      <c r="DC236" t="s">
        <v>3</v>
      </c>
      <c r="DD236" t="s">
        <v>3</v>
      </c>
      <c r="DE236" t="s">
        <v>3</v>
      </c>
      <c r="DF236" t="s">
        <v>3</v>
      </c>
      <c r="DG236" t="s">
        <v>3</v>
      </c>
      <c r="DH236" t="s">
        <v>3</v>
      </c>
      <c r="DI236" t="s">
        <v>3</v>
      </c>
      <c r="DJ236" t="s">
        <v>3</v>
      </c>
      <c r="DK236" t="s">
        <v>3</v>
      </c>
      <c r="DL236" t="s">
        <v>3</v>
      </c>
      <c r="DM236" t="s">
        <v>3</v>
      </c>
      <c r="DN236">
        <v>0</v>
      </c>
      <c r="DO236">
        <v>0</v>
      </c>
      <c r="DP236">
        <v>1</v>
      </c>
      <c r="DQ236">
        <v>1</v>
      </c>
      <c r="DU236">
        <v>1003</v>
      </c>
      <c r="DV236" t="s">
        <v>20</v>
      </c>
      <c r="DW236" t="s">
        <v>20</v>
      </c>
      <c r="DX236">
        <v>100</v>
      </c>
      <c r="DZ236" t="s">
        <v>3</v>
      </c>
      <c r="EA236" t="s">
        <v>3</v>
      </c>
      <c r="EB236" t="s">
        <v>3</v>
      </c>
      <c r="EC236" t="s">
        <v>3</v>
      </c>
      <c r="EE236">
        <v>1441815344</v>
      </c>
      <c r="EF236">
        <v>1</v>
      </c>
      <c r="EG236" t="s">
        <v>23</v>
      </c>
      <c r="EH236">
        <v>0</v>
      </c>
      <c r="EI236" t="s">
        <v>3</v>
      </c>
      <c r="EJ236">
        <v>4</v>
      </c>
      <c r="EK236">
        <v>0</v>
      </c>
      <c r="EL236" t="s">
        <v>24</v>
      </c>
      <c r="EM236" t="s">
        <v>25</v>
      </c>
      <c r="EO236" t="s">
        <v>3</v>
      </c>
      <c r="EQ236">
        <v>1024</v>
      </c>
      <c r="ER236">
        <v>8080.11</v>
      </c>
      <c r="ES236">
        <v>223.69</v>
      </c>
      <c r="ET236">
        <v>50.7</v>
      </c>
      <c r="EU236">
        <v>0.81</v>
      </c>
      <c r="EV236">
        <v>7805.72</v>
      </c>
      <c r="EW236">
        <v>10.64</v>
      </c>
      <c r="EX236">
        <v>0</v>
      </c>
      <c r="EY236">
        <v>0</v>
      </c>
      <c r="FQ236">
        <v>0</v>
      </c>
      <c r="FR236">
        <f>ROUND(IF(BI236=3,GM236,0),2)</f>
        <v>0</v>
      </c>
      <c r="FS236">
        <v>0</v>
      </c>
      <c r="FX236">
        <v>70</v>
      </c>
      <c r="FY236">
        <v>10</v>
      </c>
      <c r="GA236" t="s">
        <v>3</v>
      </c>
      <c r="GD236">
        <v>0</v>
      </c>
      <c r="GF236">
        <v>279930794</v>
      </c>
      <c r="GG236">
        <v>2</v>
      </c>
      <c r="GH236">
        <v>1</v>
      </c>
      <c r="GI236">
        <v>-2</v>
      </c>
      <c r="GJ236">
        <v>0</v>
      </c>
      <c r="GK236">
        <f>ROUND(R236*(R12)/100,2)</f>
        <v>1.1299999999999999</v>
      </c>
      <c r="GL236">
        <f>ROUND(IF(AND(BH236=3,BI236=3,FS236&lt;&gt;0),P236,0),2)</f>
        <v>0</v>
      </c>
      <c r="GM236">
        <f>ROUND(O236+X236+Y236+GK236,2)+GX236</f>
        <v>18522.96</v>
      </c>
      <c r="GN236">
        <f>IF(OR(BI236=0,BI236=1),GM236-GX236,0)</f>
        <v>0</v>
      </c>
      <c r="GO236">
        <f>IF(BI236=2,GM236-GX236,0)</f>
        <v>0</v>
      </c>
      <c r="GP236">
        <f>IF(BI236=4,GM236-GX236,0)</f>
        <v>18522.96</v>
      </c>
      <c r="GR236">
        <v>0</v>
      </c>
      <c r="GS236">
        <v>3</v>
      </c>
      <c r="GT236">
        <v>0</v>
      </c>
      <c r="GU236" t="s">
        <v>3</v>
      </c>
      <c r="GV236">
        <f>ROUND((GT236),6)</f>
        <v>0</v>
      </c>
      <c r="GW236">
        <v>1</v>
      </c>
      <c r="GX236">
        <f>ROUND(HC236*I236,2)</f>
        <v>0</v>
      </c>
      <c r="HA236">
        <v>0</v>
      </c>
      <c r="HB236">
        <v>0</v>
      </c>
      <c r="HC236">
        <f>GV236*GW236</f>
        <v>0</v>
      </c>
      <c r="HE236" t="s">
        <v>3</v>
      </c>
      <c r="HF236" t="s">
        <v>3</v>
      </c>
      <c r="HM236" t="s">
        <v>3</v>
      </c>
      <c r="HN236" t="s">
        <v>3</v>
      </c>
      <c r="HO236" t="s">
        <v>3</v>
      </c>
      <c r="HP236" t="s">
        <v>3</v>
      </c>
      <c r="HQ236" t="s">
        <v>3</v>
      </c>
      <c r="IK236">
        <v>0</v>
      </c>
    </row>
    <row r="237" spans="1:245" x14ac:dyDescent="0.2">
      <c r="A237">
        <v>17</v>
      </c>
      <c r="B237">
        <v>1</v>
      </c>
      <c r="D237">
        <f>ROW(EtalonRes!A115)</f>
        <v>115</v>
      </c>
      <c r="E237" t="s">
        <v>3</v>
      </c>
      <c r="F237" t="s">
        <v>231</v>
      </c>
      <c r="G237" t="s">
        <v>232</v>
      </c>
      <c r="H237" t="s">
        <v>20</v>
      </c>
      <c r="I237">
        <f>ROUND((5.1+14.9+8.5+10.5+5.4+3.2+0.7+5.9+1.5+2.3+14.6+6.1+0.3+6.7+18.6+25)/100,9)</f>
        <v>1.2929999999999999</v>
      </c>
      <c r="J237">
        <v>0</v>
      </c>
      <c r="K237">
        <f>ROUND((5.1+14.9+8.5+10.5+5.4+3.2+0.7+5.9+1.5+2.3+14.6+6.1+0.3+6.7+18.6+25)/100,9)</f>
        <v>1.2929999999999999</v>
      </c>
      <c r="O237">
        <f>ROUND(CP237,2)</f>
        <v>3244.15</v>
      </c>
      <c r="P237">
        <f>ROUND(CQ237*I237,2)</f>
        <v>262.22000000000003</v>
      </c>
      <c r="Q237">
        <f>ROUND(CR237*I237,2)</f>
        <v>30.4</v>
      </c>
      <c r="R237">
        <f>ROUND(CS237*I237,2)</f>
        <v>0.09</v>
      </c>
      <c r="S237">
        <f>ROUND(CT237*I237,2)</f>
        <v>2951.53</v>
      </c>
      <c r="T237">
        <f>ROUND(CU237*I237,2)</f>
        <v>0</v>
      </c>
      <c r="U237">
        <f>CV237*I237</f>
        <v>4.4479199999999999</v>
      </c>
      <c r="V237">
        <f>CW237*I237</f>
        <v>0</v>
      </c>
      <c r="W237">
        <f>ROUND(CX237*I237,2)</f>
        <v>0</v>
      </c>
      <c r="X237">
        <f t="shared" si="184"/>
        <v>2066.0700000000002</v>
      </c>
      <c r="Y237">
        <f t="shared" si="184"/>
        <v>295.14999999999998</v>
      </c>
      <c r="AA237">
        <v>-1</v>
      </c>
      <c r="AB237">
        <f>ROUND((AC237+AD237+AF237),6)</f>
        <v>2509.0100000000002</v>
      </c>
      <c r="AC237">
        <f>ROUND((ES237),6)</f>
        <v>202.8</v>
      </c>
      <c r="AD237">
        <f>ROUND((((ET237)-(EU237))+AE237),6)</f>
        <v>23.51</v>
      </c>
      <c r="AE237">
        <f>ROUND((EU237),6)</f>
        <v>7.0000000000000007E-2</v>
      </c>
      <c r="AF237">
        <f>ROUND((EV237),6)</f>
        <v>2282.6999999999998</v>
      </c>
      <c r="AG237">
        <f>ROUND((AP237),6)</f>
        <v>0</v>
      </c>
      <c r="AH237">
        <f>(EW237)</f>
        <v>3.44</v>
      </c>
      <c r="AI237">
        <f>(EX237)</f>
        <v>0</v>
      </c>
      <c r="AJ237">
        <f>(AS237)</f>
        <v>0</v>
      </c>
      <c r="AK237">
        <v>2509.0100000000002</v>
      </c>
      <c r="AL237">
        <v>202.8</v>
      </c>
      <c r="AM237">
        <v>23.51</v>
      </c>
      <c r="AN237">
        <v>7.0000000000000007E-2</v>
      </c>
      <c r="AO237">
        <v>2282.6999999999998</v>
      </c>
      <c r="AP237">
        <v>0</v>
      </c>
      <c r="AQ237">
        <v>3.44</v>
      </c>
      <c r="AR237">
        <v>0</v>
      </c>
      <c r="AS237">
        <v>0</v>
      </c>
      <c r="AT237">
        <v>70</v>
      </c>
      <c r="AU237">
        <v>10</v>
      </c>
      <c r="AV237">
        <v>1</v>
      </c>
      <c r="AW237">
        <v>1</v>
      </c>
      <c r="AZ237">
        <v>1</v>
      </c>
      <c r="BA237">
        <v>1</v>
      </c>
      <c r="BB237">
        <v>1</v>
      </c>
      <c r="BC237">
        <v>1</v>
      </c>
      <c r="BD237" t="s">
        <v>3</v>
      </c>
      <c r="BE237" t="s">
        <v>3</v>
      </c>
      <c r="BF237" t="s">
        <v>3</v>
      </c>
      <c r="BG237" t="s">
        <v>3</v>
      </c>
      <c r="BH237">
        <v>0</v>
      </c>
      <c r="BI237">
        <v>4</v>
      </c>
      <c r="BJ237" t="s">
        <v>233</v>
      </c>
      <c r="BM237">
        <v>0</v>
      </c>
      <c r="BN237">
        <v>0</v>
      </c>
      <c r="BO237" t="s">
        <v>3</v>
      </c>
      <c r="BP237">
        <v>0</v>
      </c>
      <c r="BQ237">
        <v>1</v>
      </c>
      <c r="BR237">
        <v>0</v>
      </c>
      <c r="BS237">
        <v>1</v>
      </c>
      <c r="BT237">
        <v>1</v>
      </c>
      <c r="BU237">
        <v>1</v>
      </c>
      <c r="BV237">
        <v>1</v>
      </c>
      <c r="BW237">
        <v>1</v>
      </c>
      <c r="BX237">
        <v>1</v>
      </c>
      <c r="BY237" t="s">
        <v>3</v>
      </c>
      <c r="BZ237">
        <v>70</v>
      </c>
      <c r="CA237">
        <v>10</v>
      </c>
      <c r="CB237" t="s">
        <v>3</v>
      </c>
      <c r="CE237">
        <v>0</v>
      </c>
      <c r="CF237">
        <v>0</v>
      </c>
      <c r="CG237">
        <v>0</v>
      </c>
      <c r="CM237">
        <v>0</v>
      </c>
      <c r="CN237" t="s">
        <v>3</v>
      </c>
      <c r="CO237">
        <v>0</v>
      </c>
      <c r="CP237">
        <f>(P237+Q237+S237)</f>
        <v>3244.15</v>
      </c>
      <c r="CQ237">
        <f>(AC237*BC237*AW237)</f>
        <v>202.8</v>
      </c>
      <c r="CR237">
        <f>((((ET237)*BB237-(EU237)*BS237)+AE237*BS237)*AV237)</f>
        <v>23.51</v>
      </c>
      <c r="CS237">
        <f>(AE237*BS237*AV237)</f>
        <v>7.0000000000000007E-2</v>
      </c>
      <c r="CT237">
        <f>(AF237*BA237*AV237)</f>
        <v>2282.6999999999998</v>
      </c>
      <c r="CU237">
        <f>AG237</f>
        <v>0</v>
      </c>
      <c r="CV237">
        <f>(AH237*AV237)</f>
        <v>3.44</v>
      </c>
      <c r="CW237">
        <f t="shared" si="185"/>
        <v>0</v>
      </c>
      <c r="CX237">
        <f t="shared" si="185"/>
        <v>0</v>
      </c>
      <c r="CY237">
        <f>((S237*BZ237)/100)</f>
        <v>2066.0709999999999</v>
      </c>
      <c r="CZ237">
        <f>((S237*CA237)/100)</f>
        <v>295.15300000000002</v>
      </c>
      <c r="DC237" t="s">
        <v>3</v>
      </c>
      <c r="DD237" t="s">
        <v>3</v>
      </c>
      <c r="DE237" t="s">
        <v>3</v>
      </c>
      <c r="DF237" t="s">
        <v>3</v>
      </c>
      <c r="DG237" t="s">
        <v>3</v>
      </c>
      <c r="DH237" t="s">
        <v>3</v>
      </c>
      <c r="DI237" t="s">
        <v>3</v>
      </c>
      <c r="DJ237" t="s">
        <v>3</v>
      </c>
      <c r="DK237" t="s">
        <v>3</v>
      </c>
      <c r="DL237" t="s">
        <v>3</v>
      </c>
      <c r="DM237" t="s">
        <v>3</v>
      </c>
      <c r="DN237">
        <v>0</v>
      </c>
      <c r="DO237">
        <v>0</v>
      </c>
      <c r="DP237">
        <v>1</v>
      </c>
      <c r="DQ237">
        <v>1</v>
      </c>
      <c r="DU237">
        <v>1003</v>
      </c>
      <c r="DV237" t="s">
        <v>20</v>
      </c>
      <c r="DW237" t="s">
        <v>20</v>
      </c>
      <c r="DX237">
        <v>100</v>
      </c>
      <c r="DZ237" t="s">
        <v>3</v>
      </c>
      <c r="EA237" t="s">
        <v>3</v>
      </c>
      <c r="EB237" t="s">
        <v>3</v>
      </c>
      <c r="EC237" t="s">
        <v>3</v>
      </c>
      <c r="EE237">
        <v>1441815344</v>
      </c>
      <c r="EF237">
        <v>1</v>
      </c>
      <c r="EG237" t="s">
        <v>23</v>
      </c>
      <c r="EH237">
        <v>0</v>
      </c>
      <c r="EI237" t="s">
        <v>3</v>
      </c>
      <c r="EJ237">
        <v>4</v>
      </c>
      <c r="EK237">
        <v>0</v>
      </c>
      <c r="EL237" t="s">
        <v>24</v>
      </c>
      <c r="EM237" t="s">
        <v>25</v>
      </c>
      <c r="EO237" t="s">
        <v>3</v>
      </c>
      <c r="EQ237">
        <v>1024</v>
      </c>
      <c r="ER237">
        <v>2509.0100000000002</v>
      </c>
      <c r="ES237">
        <v>202.8</v>
      </c>
      <c r="ET237">
        <v>23.51</v>
      </c>
      <c r="EU237">
        <v>7.0000000000000007E-2</v>
      </c>
      <c r="EV237">
        <v>2282.6999999999998</v>
      </c>
      <c r="EW237">
        <v>3.44</v>
      </c>
      <c r="EX237">
        <v>0</v>
      </c>
      <c r="EY237">
        <v>0</v>
      </c>
      <c r="FQ237">
        <v>0</v>
      </c>
      <c r="FR237">
        <f>ROUND(IF(BI237=3,GM237,0),2)</f>
        <v>0</v>
      </c>
      <c r="FS237">
        <v>0</v>
      </c>
      <c r="FX237">
        <v>70</v>
      </c>
      <c r="FY237">
        <v>10</v>
      </c>
      <c r="GA237" t="s">
        <v>3</v>
      </c>
      <c r="GD237">
        <v>0</v>
      </c>
      <c r="GF237">
        <v>-1929809553</v>
      </c>
      <c r="GG237">
        <v>2</v>
      </c>
      <c r="GH237">
        <v>1</v>
      </c>
      <c r="GI237">
        <v>-2</v>
      </c>
      <c r="GJ237">
        <v>0</v>
      </c>
      <c r="GK237">
        <f>ROUND(R237*(R12)/100,2)</f>
        <v>0.1</v>
      </c>
      <c r="GL237">
        <f>ROUND(IF(AND(BH237=3,BI237=3,FS237&lt;&gt;0),P237,0),2)</f>
        <v>0</v>
      </c>
      <c r="GM237">
        <f>ROUND(O237+X237+Y237+GK237,2)+GX237</f>
        <v>5605.47</v>
      </c>
      <c r="GN237">
        <f>IF(OR(BI237=0,BI237=1),GM237-GX237,0)</f>
        <v>0</v>
      </c>
      <c r="GO237">
        <f>IF(BI237=2,GM237-GX237,0)</f>
        <v>0</v>
      </c>
      <c r="GP237">
        <f>IF(BI237=4,GM237-GX237,0)</f>
        <v>5605.47</v>
      </c>
      <c r="GR237">
        <v>0</v>
      </c>
      <c r="GS237">
        <v>3</v>
      </c>
      <c r="GT237">
        <v>0</v>
      </c>
      <c r="GU237" t="s">
        <v>3</v>
      </c>
      <c r="GV237">
        <f>ROUND((GT237),6)</f>
        <v>0</v>
      </c>
      <c r="GW237">
        <v>1</v>
      </c>
      <c r="GX237">
        <f>ROUND(HC237*I237,2)</f>
        <v>0</v>
      </c>
      <c r="HA237">
        <v>0</v>
      </c>
      <c r="HB237">
        <v>0</v>
      </c>
      <c r="HC237">
        <f>GV237*GW237</f>
        <v>0</v>
      </c>
      <c r="HE237" t="s">
        <v>3</v>
      </c>
      <c r="HF237" t="s">
        <v>3</v>
      </c>
      <c r="HM237" t="s">
        <v>3</v>
      </c>
      <c r="HN237" t="s">
        <v>3</v>
      </c>
      <c r="HO237" t="s">
        <v>3</v>
      </c>
      <c r="HP237" t="s">
        <v>3</v>
      </c>
      <c r="HQ237" t="s">
        <v>3</v>
      </c>
      <c r="IK237">
        <v>0</v>
      </c>
    </row>
    <row r="238" spans="1:245" x14ac:dyDescent="0.2">
      <c r="A238">
        <v>19</v>
      </c>
      <c r="B238">
        <v>1</v>
      </c>
      <c r="F238" t="s">
        <v>3</v>
      </c>
      <c r="G238" t="s">
        <v>234</v>
      </c>
      <c r="H238" t="s">
        <v>3</v>
      </c>
      <c r="AA238">
        <v>1</v>
      </c>
      <c r="IK238">
        <v>0</v>
      </c>
    </row>
    <row r="239" spans="1:245" x14ac:dyDescent="0.2">
      <c r="A239">
        <v>17</v>
      </c>
      <c r="B239">
        <v>1</v>
      </c>
      <c r="D239">
        <f>ROW(EtalonRes!A116)</f>
        <v>116</v>
      </c>
      <c r="E239" t="s">
        <v>3</v>
      </c>
      <c r="F239" t="s">
        <v>18</v>
      </c>
      <c r="G239" t="s">
        <v>19</v>
      </c>
      <c r="H239" t="s">
        <v>20</v>
      </c>
      <c r="I239">
        <f>ROUND(ROUND((5.1+17.5+11.8+30+0.1+11.1+5+3.2+0.7+6.3+1.5+2+14.5+6.1+0.3+7.3+19.6+18.8)*0.25*0.1/100,9),9)</f>
        <v>4.0224999999999997E-2</v>
      </c>
      <c r="J239">
        <v>0</v>
      </c>
      <c r="K239">
        <f>ROUND(ROUND((5.1+17.5+11.8+30+0.1+11.1+5+3.2+0.7+6.3+1.5+2+14.5+6.1+0.3+7.3+19.6+18.8)*0.25*0.1/100,9),9)</f>
        <v>4.0224999999999997E-2</v>
      </c>
      <c r="O239">
        <f>ROUND(CP239,2)</f>
        <v>81.41</v>
      </c>
      <c r="P239">
        <f>ROUND(CQ239*I239,2)</f>
        <v>0</v>
      </c>
      <c r="Q239">
        <f>ROUND(CR239*I239,2)</f>
        <v>0</v>
      </c>
      <c r="R239">
        <f>ROUND(CS239*I239,2)</f>
        <v>0</v>
      </c>
      <c r="S239">
        <f>ROUND(CT239*I239,2)</f>
        <v>81.41</v>
      </c>
      <c r="T239">
        <f>ROUND(CU239*I239,2)</f>
        <v>0</v>
      </c>
      <c r="U239">
        <f>CV239*I239</f>
        <v>0.14480999999999999</v>
      </c>
      <c r="V239">
        <f>CW239*I239</f>
        <v>0</v>
      </c>
      <c r="W239">
        <f>ROUND(CX239*I239,2)</f>
        <v>0</v>
      </c>
      <c r="X239">
        <f t="shared" ref="X239:Y242" si="186">ROUND(CY239,2)</f>
        <v>56.99</v>
      </c>
      <c r="Y239">
        <f t="shared" si="186"/>
        <v>8.14</v>
      </c>
      <c r="AA239">
        <v>-1</v>
      </c>
      <c r="AB239">
        <f>ROUND((AC239+AD239+AF239),6)</f>
        <v>2023.8</v>
      </c>
      <c r="AC239">
        <f>ROUND(((ES239*4)),6)</f>
        <v>0</v>
      </c>
      <c r="AD239">
        <f>ROUND(((((ET239*4))-((EU239*4)))+AE239),6)</f>
        <v>0</v>
      </c>
      <c r="AE239">
        <f>ROUND(((EU239*4)),6)</f>
        <v>0</v>
      </c>
      <c r="AF239">
        <f>ROUND(((EV239*4)),6)</f>
        <v>2023.8</v>
      </c>
      <c r="AG239">
        <f>ROUND((AP239),6)</f>
        <v>0</v>
      </c>
      <c r="AH239">
        <f>((EW239*4))</f>
        <v>3.6</v>
      </c>
      <c r="AI239">
        <f>((EX239*4))</f>
        <v>0</v>
      </c>
      <c r="AJ239">
        <f>(AS239)</f>
        <v>0</v>
      </c>
      <c r="AK239">
        <v>505.95</v>
      </c>
      <c r="AL239">
        <v>0</v>
      </c>
      <c r="AM239">
        <v>0</v>
      </c>
      <c r="AN239">
        <v>0</v>
      </c>
      <c r="AO239">
        <v>505.95</v>
      </c>
      <c r="AP239">
        <v>0</v>
      </c>
      <c r="AQ239">
        <v>0.9</v>
      </c>
      <c r="AR239">
        <v>0</v>
      </c>
      <c r="AS239">
        <v>0</v>
      </c>
      <c r="AT239">
        <v>70</v>
      </c>
      <c r="AU239">
        <v>10</v>
      </c>
      <c r="AV239">
        <v>1</v>
      </c>
      <c r="AW239">
        <v>1</v>
      </c>
      <c r="AZ239">
        <v>1</v>
      </c>
      <c r="BA239">
        <v>1</v>
      </c>
      <c r="BB239">
        <v>1</v>
      </c>
      <c r="BC239">
        <v>1</v>
      </c>
      <c r="BD239" t="s">
        <v>3</v>
      </c>
      <c r="BE239" t="s">
        <v>3</v>
      </c>
      <c r="BF239" t="s">
        <v>3</v>
      </c>
      <c r="BG239" t="s">
        <v>3</v>
      </c>
      <c r="BH239">
        <v>0</v>
      </c>
      <c r="BI239">
        <v>4</v>
      </c>
      <c r="BJ239" t="s">
        <v>21</v>
      </c>
      <c r="BM239">
        <v>0</v>
      </c>
      <c r="BN239">
        <v>0</v>
      </c>
      <c r="BO239" t="s">
        <v>3</v>
      </c>
      <c r="BP239">
        <v>0</v>
      </c>
      <c r="BQ239">
        <v>1</v>
      </c>
      <c r="BR239">
        <v>0</v>
      </c>
      <c r="BS239">
        <v>1</v>
      </c>
      <c r="BT239">
        <v>1</v>
      </c>
      <c r="BU239">
        <v>1</v>
      </c>
      <c r="BV239">
        <v>1</v>
      </c>
      <c r="BW239">
        <v>1</v>
      </c>
      <c r="BX239">
        <v>1</v>
      </c>
      <c r="BY239" t="s">
        <v>3</v>
      </c>
      <c r="BZ239">
        <v>70</v>
      </c>
      <c r="CA239">
        <v>10</v>
      </c>
      <c r="CB239" t="s">
        <v>3</v>
      </c>
      <c r="CE239">
        <v>0</v>
      </c>
      <c r="CF239">
        <v>0</v>
      </c>
      <c r="CG239">
        <v>0</v>
      </c>
      <c r="CM239">
        <v>0</v>
      </c>
      <c r="CN239" t="s">
        <v>3</v>
      </c>
      <c r="CO239">
        <v>0</v>
      </c>
      <c r="CP239">
        <f>(P239+Q239+S239)</f>
        <v>81.41</v>
      </c>
      <c r="CQ239">
        <f>(AC239*BC239*AW239)</f>
        <v>0</v>
      </c>
      <c r="CR239">
        <f>(((((ET239*4))*BB239-((EU239*4))*BS239)+AE239*BS239)*AV239)</f>
        <v>0</v>
      </c>
      <c r="CS239">
        <f>(AE239*BS239*AV239)</f>
        <v>0</v>
      </c>
      <c r="CT239">
        <f>(AF239*BA239*AV239)</f>
        <v>2023.8</v>
      </c>
      <c r="CU239">
        <f>AG239</f>
        <v>0</v>
      </c>
      <c r="CV239">
        <f>(AH239*AV239)</f>
        <v>3.6</v>
      </c>
      <c r="CW239">
        <f t="shared" ref="CW239:CX242" si="187">AI239</f>
        <v>0</v>
      </c>
      <c r="CX239">
        <f t="shared" si="187"/>
        <v>0</v>
      </c>
      <c r="CY239">
        <f>((S239*BZ239)/100)</f>
        <v>56.986999999999995</v>
      </c>
      <c r="CZ239">
        <f>((S239*CA239)/100)</f>
        <v>8.1409999999999982</v>
      </c>
      <c r="DC239" t="s">
        <v>3</v>
      </c>
      <c r="DD239" t="s">
        <v>22</v>
      </c>
      <c r="DE239" t="s">
        <v>22</v>
      </c>
      <c r="DF239" t="s">
        <v>22</v>
      </c>
      <c r="DG239" t="s">
        <v>22</v>
      </c>
      <c r="DH239" t="s">
        <v>3</v>
      </c>
      <c r="DI239" t="s">
        <v>22</v>
      </c>
      <c r="DJ239" t="s">
        <v>22</v>
      </c>
      <c r="DK239" t="s">
        <v>3</v>
      </c>
      <c r="DL239" t="s">
        <v>3</v>
      </c>
      <c r="DM239" t="s">
        <v>3</v>
      </c>
      <c r="DN239">
        <v>0</v>
      </c>
      <c r="DO239">
        <v>0</v>
      </c>
      <c r="DP239">
        <v>1</v>
      </c>
      <c r="DQ239">
        <v>1</v>
      </c>
      <c r="DU239">
        <v>1003</v>
      </c>
      <c r="DV239" t="s">
        <v>20</v>
      </c>
      <c r="DW239" t="s">
        <v>20</v>
      </c>
      <c r="DX239">
        <v>100</v>
      </c>
      <c r="DZ239" t="s">
        <v>3</v>
      </c>
      <c r="EA239" t="s">
        <v>3</v>
      </c>
      <c r="EB239" t="s">
        <v>3</v>
      </c>
      <c r="EC239" t="s">
        <v>3</v>
      </c>
      <c r="EE239">
        <v>1441815344</v>
      </c>
      <c r="EF239">
        <v>1</v>
      </c>
      <c r="EG239" t="s">
        <v>23</v>
      </c>
      <c r="EH239">
        <v>0</v>
      </c>
      <c r="EI239" t="s">
        <v>3</v>
      </c>
      <c r="EJ239">
        <v>4</v>
      </c>
      <c r="EK239">
        <v>0</v>
      </c>
      <c r="EL239" t="s">
        <v>24</v>
      </c>
      <c r="EM239" t="s">
        <v>25</v>
      </c>
      <c r="EO239" t="s">
        <v>3</v>
      </c>
      <c r="EQ239">
        <v>1024</v>
      </c>
      <c r="ER239">
        <v>505.95</v>
      </c>
      <c r="ES239">
        <v>0</v>
      </c>
      <c r="ET239">
        <v>0</v>
      </c>
      <c r="EU239">
        <v>0</v>
      </c>
      <c r="EV239">
        <v>505.95</v>
      </c>
      <c r="EW239">
        <v>0.9</v>
      </c>
      <c r="EX239">
        <v>0</v>
      </c>
      <c r="EY239">
        <v>0</v>
      </c>
      <c r="FQ239">
        <v>0</v>
      </c>
      <c r="FR239">
        <f>ROUND(IF(BI239=3,GM239,0),2)</f>
        <v>0</v>
      </c>
      <c r="FS239">
        <v>0</v>
      </c>
      <c r="FX239">
        <v>70</v>
      </c>
      <c r="FY239">
        <v>10</v>
      </c>
      <c r="GA239" t="s">
        <v>3</v>
      </c>
      <c r="GD239">
        <v>0</v>
      </c>
      <c r="GF239">
        <v>-341239612</v>
      </c>
      <c r="GG239">
        <v>2</v>
      </c>
      <c r="GH239">
        <v>1</v>
      </c>
      <c r="GI239">
        <v>-2</v>
      </c>
      <c r="GJ239">
        <v>0</v>
      </c>
      <c r="GK239">
        <f>ROUND(R239*(R12)/100,2)</f>
        <v>0</v>
      </c>
      <c r="GL239">
        <f>ROUND(IF(AND(BH239=3,BI239=3,FS239&lt;&gt;0),P239,0),2)</f>
        <v>0</v>
      </c>
      <c r="GM239">
        <f>ROUND(O239+X239+Y239+GK239,2)+GX239</f>
        <v>146.54</v>
      </c>
      <c r="GN239">
        <f>IF(OR(BI239=0,BI239=1),GM239-GX239,0)</f>
        <v>0</v>
      </c>
      <c r="GO239">
        <f>IF(BI239=2,GM239-GX239,0)</f>
        <v>0</v>
      </c>
      <c r="GP239">
        <f>IF(BI239=4,GM239-GX239,0)</f>
        <v>146.54</v>
      </c>
      <c r="GR239">
        <v>0</v>
      </c>
      <c r="GS239">
        <v>3</v>
      </c>
      <c r="GT239">
        <v>0</v>
      </c>
      <c r="GU239" t="s">
        <v>3</v>
      </c>
      <c r="GV239">
        <f>ROUND((GT239),6)</f>
        <v>0</v>
      </c>
      <c r="GW239">
        <v>1</v>
      </c>
      <c r="GX239">
        <f>ROUND(HC239*I239,2)</f>
        <v>0</v>
      </c>
      <c r="HA239">
        <v>0</v>
      </c>
      <c r="HB239">
        <v>0</v>
      </c>
      <c r="HC239">
        <f>GV239*GW239</f>
        <v>0</v>
      </c>
      <c r="HE239" t="s">
        <v>3</v>
      </c>
      <c r="HF239" t="s">
        <v>3</v>
      </c>
      <c r="HM239" t="s">
        <v>3</v>
      </c>
      <c r="HN239" t="s">
        <v>3</v>
      </c>
      <c r="HO239" t="s">
        <v>3</v>
      </c>
      <c r="HP239" t="s">
        <v>3</v>
      </c>
      <c r="HQ239" t="s">
        <v>3</v>
      </c>
      <c r="IK239">
        <v>0</v>
      </c>
    </row>
    <row r="240" spans="1:245" x14ac:dyDescent="0.2">
      <c r="A240">
        <v>17</v>
      </c>
      <c r="B240">
        <v>1</v>
      </c>
      <c r="D240">
        <f>ROW(EtalonRes!A117)</f>
        <v>117</v>
      </c>
      <c r="E240" t="s">
        <v>3</v>
      </c>
      <c r="F240" t="s">
        <v>225</v>
      </c>
      <c r="G240" t="s">
        <v>226</v>
      </c>
      <c r="H240" t="s">
        <v>20</v>
      </c>
      <c r="I240">
        <f>ROUND(ROUND((5.1+17.5+11.8+30+0.1+11.1+5+3.2+0.7+6.3+1.5+2+14.5+6.1+0.3+7.3+19.6+18.8)*0.75*0.1/100,9),9)</f>
        <v>0.120675</v>
      </c>
      <c r="J240">
        <v>0</v>
      </c>
      <c r="K240">
        <f>ROUND(ROUND((5.1+17.5+11.8+30+0.1+11.1+5+3.2+0.7+6.3+1.5+2+14.5+6.1+0.3+7.3+19.6+18.8)*0.75*0.1/100,9),9)</f>
        <v>0.120675</v>
      </c>
      <c r="O240">
        <f>ROUND(CP240,2)</f>
        <v>716.39</v>
      </c>
      <c r="P240">
        <f>ROUND(CQ240*I240,2)</f>
        <v>0</v>
      </c>
      <c r="Q240">
        <f>ROUND(CR240*I240,2)</f>
        <v>0</v>
      </c>
      <c r="R240">
        <f>ROUND(CS240*I240,2)</f>
        <v>0</v>
      </c>
      <c r="S240">
        <f>ROUND(CT240*I240,2)</f>
        <v>716.39</v>
      </c>
      <c r="T240">
        <f>ROUND(CU240*I240,2)</f>
        <v>0</v>
      </c>
      <c r="U240">
        <f>CV240*I240</f>
        <v>1.2743280000000001</v>
      </c>
      <c r="V240">
        <f>CW240*I240</f>
        <v>0</v>
      </c>
      <c r="W240">
        <f>ROUND(CX240*I240,2)</f>
        <v>0</v>
      </c>
      <c r="X240">
        <f t="shared" si="186"/>
        <v>501.47</v>
      </c>
      <c r="Y240">
        <f t="shared" si="186"/>
        <v>71.64</v>
      </c>
      <c r="AA240">
        <v>-1</v>
      </c>
      <c r="AB240">
        <f>ROUND((AC240+AD240+AF240),6)</f>
        <v>5936.52</v>
      </c>
      <c r="AC240">
        <f>ROUND(((ES240*4)),6)</f>
        <v>0</v>
      </c>
      <c r="AD240">
        <f>ROUND(((((ET240*4))-((EU240*4)))+AE240),6)</f>
        <v>0</v>
      </c>
      <c r="AE240">
        <f>ROUND(((EU240*4)),6)</f>
        <v>0</v>
      </c>
      <c r="AF240">
        <f>ROUND(((EV240*4)),6)</f>
        <v>5936.52</v>
      </c>
      <c r="AG240">
        <f>ROUND((AP240),6)</f>
        <v>0</v>
      </c>
      <c r="AH240">
        <f>((EW240*4))</f>
        <v>10.56</v>
      </c>
      <c r="AI240">
        <f>((EX240*4))</f>
        <v>0</v>
      </c>
      <c r="AJ240">
        <f>(AS240)</f>
        <v>0</v>
      </c>
      <c r="AK240">
        <v>1484.13</v>
      </c>
      <c r="AL240">
        <v>0</v>
      </c>
      <c r="AM240">
        <v>0</v>
      </c>
      <c r="AN240">
        <v>0</v>
      </c>
      <c r="AO240">
        <v>1484.13</v>
      </c>
      <c r="AP240">
        <v>0</v>
      </c>
      <c r="AQ240">
        <v>2.64</v>
      </c>
      <c r="AR240">
        <v>0</v>
      </c>
      <c r="AS240">
        <v>0</v>
      </c>
      <c r="AT240">
        <v>70</v>
      </c>
      <c r="AU240">
        <v>10</v>
      </c>
      <c r="AV240">
        <v>1</v>
      </c>
      <c r="AW240">
        <v>1</v>
      </c>
      <c r="AZ240">
        <v>1</v>
      </c>
      <c r="BA240">
        <v>1</v>
      </c>
      <c r="BB240">
        <v>1</v>
      </c>
      <c r="BC240">
        <v>1</v>
      </c>
      <c r="BD240" t="s">
        <v>3</v>
      </c>
      <c r="BE240" t="s">
        <v>3</v>
      </c>
      <c r="BF240" t="s">
        <v>3</v>
      </c>
      <c r="BG240" t="s">
        <v>3</v>
      </c>
      <c r="BH240">
        <v>0</v>
      </c>
      <c r="BI240">
        <v>4</v>
      </c>
      <c r="BJ240" t="s">
        <v>227</v>
      </c>
      <c r="BM240">
        <v>0</v>
      </c>
      <c r="BN240">
        <v>0</v>
      </c>
      <c r="BO240" t="s">
        <v>3</v>
      </c>
      <c r="BP240">
        <v>0</v>
      </c>
      <c r="BQ240">
        <v>1</v>
      </c>
      <c r="BR240">
        <v>0</v>
      </c>
      <c r="BS240">
        <v>1</v>
      </c>
      <c r="BT240">
        <v>1</v>
      </c>
      <c r="BU240">
        <v>1</v>
      </c>
      <c r="BV240">
        <v>1</v>
      </c>
      <c r="BW240">
        <v>1</v>
      </c>
      <c r="BX240">
        <v>1</v>
      </c>
      <c r="BY240" t="s">
        <v>3</v>
      </c>
      <c r="BZ240">
        <v>70</v>
      </c>
      <c r="CA240">
        <v>10</v>
      </c>
      <c r="CB240" t="s">
        <v>3</v>
      </c>
      <c r="CE240">
        <v>0</v>
      </c>
      <c r="CF240">
        <v>0</v>
      </c>
      <c r="CG240">
        <v>0</v>
      </c>
      <c r="CM240">
        <v>0</v>
      </c>
      <c r="CN240" t="s">
        <v>3</v>
      </c>
      <c r="CO240">
        <v>0</v>
      </c>
      <c r="CP240">
        <f>(P240+Q240+S240)</f>
        <v>716.39</v>
      </c>
      <c r="CQ240">
        <f>(AC240*BC240*AW240)</f>
        <v>0</v>
      </c>
      <c r="CR240">
        <f>(((((ET240*4))*BB240-((EU240*4))*BS240)+AE240*BS240)*AV240)</f>
        <v>0</v>
      </c>
      <c r="CS240">
        <f>(AE240*BS240*AV240)</f>
        <v>0</v>
      </c>
      <c r="CT240">
        <f>(AF240*BA240*AV240)</f>
        <v>5936.52</v>
      </c>
      <c r="CU240">
        <f>AG240</f>
        <v>0</v>
      </c>
      <c r="CV240">
        <f>(AH240*AV240)</f>
        <v>10.56</v>
      </c>
      <c r="CW240">
        <f t="shared" si="187"/>
        <v>0</v>
      </c>
      <c r="CX240">
        <f t="shared" si="187"/>
        <v>0</v>
      </c>
      <c r="CY240">
        <f>((S240*BZ240)/100)</f>
        <v>501.47299999999996</v>
      </c>
      <c r="CZ240">
        <f>((S240*CA240)/100)</f>
        <v>71.638999999999996</v>
      </c>
      <c r="DC240" t="s">
        <v>3</v>
      </c>
      <c r="DD240" t="s">
        <v>22</v>
      </c>
      <c r="DE240" t="s">
        <v>22</v>
      </c>
      <c r="DF240" t="s">
        <v>22</v>
      </c>
      <c r="DG240" t="s">
        <v>22</v>
      </c>
      <c r="DH240" t="s">
        <v>3</v>
      </c>
      <c r="DI240" t="s">
        <v>22</v>
      </c>
      <c r="DJ240" t="s">
        <v>22</v>
      </c>
      <c r="DK240" t="s">
        <v>3</v>
      </c>
      <c r="DL240" t="s">
        <v>3</v>
      </c>
      <c r="DM240" t="s">
        <v>3</v>
      </c>
      <c r="DN240">
        <v>0</v>
      </c>
      <c r="DO240">
        <v>0</v>
      </c>
      <c r="DP240">
        <v>1</v>
      </c>
      <c r="DQ240">
        <v>1</v>
      </c>
      <c r="DU240">
        <v>1003</v>
      </c>
      <c r="DV240" t="s">
        <v>20</v>
      </c>
      <c r="DW240" t="s">
        <v>20</v>
      </c>
      <c r="DX240">
        <v>100</v>
      </c>
      <c r="DZ240" t="s">
        <v>3</v>
      </c>
      <c r="EA240" t="s">
        <v>3</v>
      </c>
      <c r="EB240" t="s">
        <v>3</v>
      </c>
      <c r="EC240" t="s">
        <v>3</v>
      </c>
      <c r="EE240">
        <v>1441815344</v>
      </c>
      <c r="EF240">
        <v>1</v>
      </c>
      <c r="EG240" t="s">
        <v>23</v>
      </c>
      <c r="EH240">
        <v>0</v>
      </c>
      <c r="EI240" t="s">
        <v>3</v>
      </c>
      <c r="EJ240">
        <v>4</v>
      </c>
      <c r="EK240">
        <v>0</v>
      </c>
      <c r="EL240" t="s">
        <v>24</v>
      </c>
      <c r="EM240" t="s">
        <v>25</v>
      </c>
      <c r="EO240" t="s">
        <v>3</v>
      </c>
      <c r="EQ240">
        <v>1024</v>
      </c>
      <c r="ER240">
        <v>1484.13</v>
      </c>
      <c r="ES240">
        <v>0</v>
      </c>
      <c r="ET240">
        <v>0</v>
      </c>
      <c r="EU240">
        <v>0</v>
      </c>
      <c r="EV240">
        <v>1484.13</v>
      </c>
      <c r="EW240">
        <v>2.64</v>
      </c>
      <c r="EX240">
        <v>0</v>
      </c>
      <c r="EY240">
        <v>0</v>
      </c>
      <c r="FQ240">
        <v>0</v>
      </c>
      <c r="FR240">
        <f>ROUND(IF(BI240=3,GM240,0),2)</f>
        <v>0</v>
      </c>
      <c r="FS240">
        <v>0</v>
      </c>
      <c r="FX240">
        <v>70</v>
      </c>
      <c r="FY240">
        <v>10</v>
      </c>
      <c r="GA240" t="s">
        <v>3</v>
      </c>
      <c r="GD240">
        <v>0</v>
      </c>
      <c r="GF240">
        <v>1802126441</v>
      </c>
      <c r="GG240">
        <v>2</v>
      </c>
      <c r="GH240">
        <v>1</v>
      </c>
      <c r="GI240">
        <v>-2</v>
      </c>
      <c r="GJ240">
        <v>0</v>
      </c>
      <c r="GK240">
        <f>ROUND(R240*(R12)/100,2)</f>
        <v>0</v>
      </c>
      <c r="GL240">
        <f>ROUND(IF(AND(BH240=3,BI240=3,FS240&lt;&gt;0),P240,0),2)</f>
        <v>0</v>
      </c>
      <c r="GM240">
        <f>ROUND(O240+X240+Y240+GK240,2)+GX240</f>
        <v>1289.5</v>
      </c>
      <c r="GN240">
        <f>IF(OR(BI240=0,BI240=1),GM240-GX240,0)</f>
        <v>0</v>
      </c>
      <c r="GO240">
        <f>IF(BI240=2,GM240-GX240,0)</f>
        <v>0</v>
      </c>
      <c r="GP240">
        <f>IF(BI240=4,GM240-GX240,0)</f>
        <v>1289.5</v>
      </c>
      <c r="GR240">
        <v>0</v>
      </c>
      <c r="GS240">
        <v>3</v>
      </c>
      <c r="GT240">
        <v>0</v>
      </c>
      <c r="GU240" t="s">
        <v>3</v>
      </c>
      <c r="GV240">
        <f>ROUND((GT240),6)</f>
        <v>0</v>
      </c>
      <c r="GW240">
        <v>1</v>
      </c>
      <c r="GX240">
        <f>ROUND(HC240*I240,2)</f>
        <v>0</v>
      </c>
      <c r="HA240">
        <v>0</v>
      </c>
      <c r="HB240">
        <v>0</v>
      </c>
      <c r="HC240">
        <f>GV240*GW240</f>
        <v>0</v>
      </c>
      <c r="HE240" t="s">
        <v>3</v>
      </c>
      <c r="HF240" t="s">
        <v>3</v>
      </c>
      <c r="HM240" t="s">
        <v>3</v>
      </c>
      <c r="HN240" t="s">
        <v>3</v>
      </c>
      <c r="HO240" t="s">
        <v>3</v>
      </c>
      <c r="HP240" t="s">
        <v>3</v>
      </c>
      <c r="HQ240" t="s">
        <v>3</v>
      </c>
      <c r="IK240">
        <v>0</v>
      </c>
    </row>
    <row r="241" spans="1:245" x14ac:dyDescent="0.2">
      <c r="A241">
        <v>17</v>
      </c>
      <c r="B241">
        <v>1</v>
      </c>
      <c r="D241">
        <f>ROW(EtalonRes!A123)</f>
        <v>123</v>
      </c>
      <c r="E241" t="s">
        <v>3</v>
      </c>
      <c r="F241" t="s">
        <v>228</v>
      </c>
      <c r="G241" t="s">
        <v>229</v>
      </c>
      <c r="H241" t="s">
        <v>20</v>
      </c>
      <c r="I241">
        <f>ROUND((5.1+17.5+11.8+30+0.1+11.1+5+3.2+0.7+6.3+1.5+2+14.5+6.1+0.3+7.3+19.6+18.8)/100,9)</f>
        <v>1.609</v>
      </c>
      <c r="J241">
        <v>0</v>
      </c>
      <c r="K241">
        <f>ROUND((5.1+17.5+11.8+30+0.1+11.1+5+3.2+0.7+6.3+1.5+2+14.5+6.1+0.3+7.3+19.6+18.8)/100,9)</f>
        <v>1.609</v>
      </c>
      <c r="O241">
        <f>ROUND(CP241,2)</f>
        <v>13000.9</v>
      </c>
      <c r="P241">
        <f>ROUND(CQ241*I241,2)</f>
        <v>359.92</v>
      </c>
      <c r="Q241">
        <f>ROUND(CR241*I241,2)</f>
        <v>81.58</v>
      </c>
      <c r="R241">
        <f>ROUND(CS241*I241,2)</f>
        <v>1.3</v>
      </c>
      <c r="S241">
        <f>ROUND(CT241*I241,2)</f>
        <v>12559.4</v>
      </c>
      <c r="T241">
        <f>ROUND(CU241*I241,2)</f>
        <v>0</v>
      </c>
      <c r="U241">
        <f>CV241*I241</f>
        <v>17.119759999999999</v>
      </c>
      <c r="V241">
        <f>CW241*I241</f>
        <v>0</v>
      </c>
      <c r="W241">
        <f>ROUND(CX241*I241,2)</f>
        <v>0</v>
      </c>
      <c r="X241">
        <f t="shared" si="186"/>
        <v>8791.58</v>
      </c>
      <c r="Y241">
        <f t="shared" si="186"/>
        <v>1255.94</v>
      </c>
      <c r="AA241">
        <v>-1</v>
      </c>
      <c r="AB241">
        <f>ROUND((AC241+AD241+AF241),6)</f>
        <v>8080.11</v>
      </c>
      <c r="AC241">
        <f>ROUND((ES241),6)</f>
        <v>223.69</v>
      </c>
      <c r="AD241">
        <f>ROUND((((ET241)-(EU241))+AE241),6)</f>
        <v>50.7</v>
      </c>
      <c r="AE241">
        <f>ROUND((EU241),6)</f>
        <v>0.81</v>
      </c>
      <c r="AF241">
        <f>ROUND((EV241),6)</f>
        <v>7805.72</v>
      </c>
      <c r="AG241">
        <f>ROUND((AP241),6)</f>
        <v>0</v>
      </c>
      <c r="AH241">
        <f>(EW241)</f>
        <v>10.64</v>
      </c>
      <c r="AI241">
        <f>(EX241)</f>
        <v>0</v>
      </c>
      <c r="AJ241">
        <f>(AS241)</f>
        <v>0</v>
      </c>
      <c r="AK241">
        <v>8080.11</v>
      </c>
      <c r="AL241">
        <v>223.69</v>
      </c>
      <c r="AM241">
        <v>50.7</v>
      </c>
      <c r="AN241">
        <v>0.81</v>
      </c>
      <c r="AO241">
        <v>7805.72</v>
      </c>
      <c r="AP241">
        <v>0</v>
      </c>
      <c r="AQ241">
        <v>10.64</v>
      </c>
      <c r="AR241">
        <v>0</v>
      </c>
      <c r="AS241">
        <v>0</v>
      </c>
      <c r="AT241">
        <v>70</v>
      </c>
      <c r="AU241">
        <v>10</v>
      </c>
      <c r="AV241">
        <v>1</v>
      </c>
      <c r="AW241">
        <v>1</v>
      </c>
      <c r="AZ241">
        <v>1</v>
      </c>
      <c r="BA241">
        <v>1</v>
      </c>
      <c r="BB241">
        <v>1</v>
      </c>
      <c r="BC241">
        <v>1</v>
      </c>
      <c r="BD241" t="s">
        <v>3</v>
      </c>
      <c r="BE241" t="s">
        <v>3</v>
      </c>
      <c r="BF241" t="s">
        <v>3</v>
      </c>
      <c r="BG241" t="s">
        <v>3</v>
      </c>
      <c r="BH241">
        <v>0</v>
      </c>
      <c r="BI241">
        <v>4</v>
      </c>
      <c r="BJ241" t="s">
        <v>230</v>
      </c>
      <c r="BM241">
        <v>0</v>
      </c>
      <c r="BN241">
        <v>0</v>
      </c>
      <c r="BO241" t="s">
        <v>3</v>
      </c>
      <c r="BP241">
        <v>0</v>
      </c>
      <c r="BQ241">
        <v>1</v>
      </c>
      <c r="BR241">
        <v>0</v>
      </c>
      <c r="BS241">
        <v>1</v>
      </c>
      <c r="BT241">
        <v>1</v>
      </c>
      <c r="BU241">
        <v>1</v>
      </c>
      <c r="BV241">
        <v>1</v>
      </c>
      <c r="BW241">
        <v>1</v>
      </c>
      <c r="BX241">
        <v>1</v>
      </c>
      <c r="BY241" t="s">
        <v>3</v>
      </c>
      <c r="BZ241">
        <v>70</v>
      </c>
      <c r="CA241">
        <v>10</v>
      </c>
      <c r="CB241" t="s">
        <v>3</v>
      </c>
      <c r="CE241">
        <v>0</v>
      </c>
      <c r="CF241">
        <v>0</v>
      </c>
      <c r="CG241">
        <v>0</v>
      </c>
      <c r="CM241">
        <v>0</v>
      </c>
      <c r="CN241" t="s">
        <v>3</v>
      </c>
      <c r="CO241">
        <v>0</v>
      </c>
      <c r="CP241">
        <f>(P241+Q241+S241)</f>
        <v>13000.9</v>
      </c>
      <c r="CQ241">
        <f>(AC241*BC241*AW241)</f>
        <v>223.69</v>
      </c>
      <c r="CR241">
        <f>((((ET241)*BB241-(EU241)*BS241)+AE241*BS241)*AV241)</f>
        <v>50.7</v>
      </c>
      <c r="CS241">
        <f>(AE241*BS241*AV241)</f>
        <v>0.81</v>
      </c>
      <c r="CT241">
        <f>(AF241*BA241*AV241)</f>
        <v>7805.72</v>
      </c>
      <c r="CU241">
        <f>AG241</f>
        <v>0</v>
      </c>
      <c r="CV241">
        <f>(AH241*AV241)</f>
        <v>10.64</v>
      </c>
      <c r="CW241">
        <f t="shared" si="187"/>
        <v>0</v>
      </c>
      <c r="CX241">
        <f t="shared" si="187"/>
        <v>0</v>
      </c>
      <c r="CY241">
        <f>((S241*BZ241)/100)</f>
        <v>8791.58</v>
      </c>
      <c r="CZ241">
        <f>((S241*CA241)/100)</f>
        <v>1255.94</v>
      </c>
      <c r="DC241" t="s">
        <v>3</v>
      </c>
      <c r="DD241" t="s">
        <v>3</v>
      </c>
      <c r="DE241" t="s">
        <v>3</v>
      </c>
      <c r="DF241" t="s">
        <v>3</v>
      </c>
      <c r="DG241" t="s">
        <v>3</v>
      </c>
      <c r="DH241" t="s">
        <v>3</v>
      </c>
      <c r="DI241" t="s">
        <v>3</v>
      </c>
      <c r="DJ241" t="s">
        <v>3</v>
      </c>
      <c r="DK241" t="s">
        <v>3</v>
      </c>
      <c r="DL241" t="s">
        <v>3</v>
      </c>
      <c r="DM241" t="s">
        <v>3</v>
      </c>
      <c r="DN241">
        <v>0</v>
      </c>
      <c r="DO241">
        <v>0</v>
      </c>
      <c r="DP241">
        <v>1</v>
      </c>
      <c r="DQ241">
        <v>1</v>
      </c>
      <c r="DU241">
        <v>1003</v>
      </c>
      <c r="DV241" t="s">
        <v>20</v>
      </c>
      <c r="DW241" t="s">
        <v>20</v>
      </c>
      <c r="DX241">
        <v>100</v>
      </c>
      <c r="DZ241" t="s">
        <v>3</v>
      </c>
      <c r="EA241" t="s">
        <v>3</v>
      </c>
      <c r="EB241" t="s">
        <v>3</v>
      </c>
      <c r="EC241" t="s">
        <v>3</v>
      </c>
      <c r="EE241">
        <v>1441815344</v>
      </c>
      <c r="EF241">
        <v>1</v>
      </c>
      <c r="EG241" t="s">
        <v>23</v>
      </c>
      <c r="EH241">
        <v>0</v>
      </c>
      <c r="EI241" t="s">
        <v>3</v>
      </c>
      <c r="EJ241">
        <v>4</v>
      </c>
      <c r="EK241">
        <v>0</v>
      </c>
      <c r="EL241" t="s">
        <v>24</v>
      </c>
      <c r="EM241" t="s">
        <v>25</v>
      </c>
      <c r="EO241" t="s">
        <v>3</v>
      </c>
      <c r="EQ241">
        <v>1024</v>
      </c>
      <c r="ER241">
        <v>8080.11</v>
      </c>
      <c r="ES241">
        <v>223.69</v>
      </c>
      <c r="ET241">
        <v>50.7</v>
      </c>
      <c r="EU241">
        <v>0.81</v>
      </c>
      <c r="EV241">
        <v>7805.72</v>
      </c>
      <c r="EW241">
        <v>10.64</v>
      </c>
      <c r="EX241">
        <v>0</v>
      </c>
      <c r="EY241">
        <v>0</v>
      </c>
      <c r="FQ241">
        <v>0</v>
      </c>
      <c r="FR241">
        <f>ROUND(IF(BI241=3,GM241,0),2)</f>
        <v>0</v>
      </c>
      <c r="FS241">
        <v>0</v>
      </c>
      <c r="FX241">
        <v>70</v>
      </c>
      <c r="FY241">
        <v>10</v>
      </c>
      <c r="GA241" t="s">
        <v>3</v>
      </c>
      <c r="GD241">
        <v>0</v>
      </c>
      <c r="GF241">
        <v>279930794</v>
      </c>
      <c r="GG241">
        <v>2</v>
      </c>
      <c r="GH241">
        <v>1</v>
      </c>
      <c r="GI241">
        <v>-2</v>
      </c>
      <c r="GJ241">
        <v>0</v>
      </c>
      <c r="GK241">
        <f>ROUND(R241*(R12)/100,2)</f>
        <v>1.4</v>
      </c>
      <c r="GL241">
        <f>ROUND(IF(AND(BH241=3,BI241=3,FS241&lt;&gt;0),P241,0),2)</f>
        <v>0</v>
      </c>
      <c r="GM241">
        <f>ROUND(O241+X241+Y241+GK241,2)+GX241</f>
        <v>23049.82</v>
      </c>
      <c r="GN241">
        <f>IF(OR(BI241=0,BI241=1),GM241-GX241,0)</f>
        <v>0</v>
      </c>
      <c r="GO241">
        <f>IF(BI241=2,GM241-GX241,0)</f>
        <v>0</v>
      </c>
      <c r="GP241">
        <f>IF(BI241=4,GM241-GX241,0)</f>
        <v>23049.82</v>
      </c>
      <c r="GR241">
        <v>0</v>
      </c>
      <c r="GS241">
        <v>3</v>
      </c>
      <c r="GT241">
        <v>0</v>
      </c>
      <c r="GU241" t="s">
        <v>3</v>
      </c>
      <c r="GV241">
        <f>ROUND((GT241),6)</f>
        <v>0</v>
      </c>
      <c r="GW241">
        <v>1</v>
      </c>
      <c r="GX241">
        <f>ROUND(HC241*I241,2)</f>
        <v>0</v>
      </c>
      <c r="HA241">
        <v>0</v>
      </c>
      <c r="HB241">
        <v>0</v>
      </c>
      <c r="HC241">
        <f>GV241*GW241</f>
        <v>0</v>
      </c>
      <c r="HE241" t="s">
        <v>3</v>
      </c>
      <c r="HF241" t="s">
        <v>3</v>
      </c>
      <c r="HM241" t="s">
        <v>3</v>
      </c>
      <c r="HN241" t="s">
        <v>3</v>
      </c>
      <c r="HO241" t="s">
        <v>3</v>
      </c>
      <c r="HP241" t="s">
        <v>3</v>
      </c>
      <c r="HQ241" t="s">
        <v>3</v>
      </c>
      <c r="IK241">
        <v>0</v>
      </c>
    </row>
    <row r="242" spans="1:245" x14ac:dyDescent="0.2">
      <c r="A242">
        <v>17</v>
      </c>
      <c r="B242">
        <v>1</v>
      </c>
      <c r="D242">
        <f>ROW(EtalonRes!A126)</f>
        <v>126</v>
      </c>
      <c r="E242" t="s">
        <v>3</v>
      </c>
      <c r="F242" t="s">
        <v>231</v>
      </c>
      <c r="G242" t="s">
        <v>232</v>
      </c>
      <c r="H242" t="s">
        <v>20</v>
      </c>
      <c r="I242">
        <f>ROUND((5.1+17.5+11.8+30+0.1+11.1+5+3.2+0.7+6.3+1.5+2+14.5+6.1+0.3+7.3+19.6+18.8)/100,9)</f>
        <v>1.609</v>
      </c>
      <c r="J242">
        <v>0</v>
      </c>
      <c r="K242">
        <f>ROUND((5.1+17.5+11.8+30+0.1+11.1+5+3.2+0.7+6.3+1.5+2+14.5+6.1+0.3+7.3+19.6+18.8)/100,9)</f>
        <v>1.609</v>
      </c>
      <c r="O242">
        <f>ROUND(CP242,2)</f>
        <v>4037</v>
      </c>
      <c r="P242">
        <f>ROUND(CQ242*I242,2)</f>
        <v>326.31</v>
      </c>
      <c r="Q242">
        <f>ROUND(CR242*I242,2)</f>
        <v>37.83</v>
      </c>
      <c r="R242">
        <f>ROUND(CS242*I242,2)</f>
        <v>0.11</v>
      </c>
      <c r="S242">
        <f>ROUND(CT242*I242,2)</f>
        <v>3672.86</v>
      </c>
      <c r="T242">
        <f>ROUND(CU242*I242,2)</f>
        <v>0</v>
      </c>
      <c r="U242">
        <f>CV242*I242</f>
        <v>5.5349599999999999</v>
      </c>
      <c r="V242">
        <f>CW242*I242</f>
        <v>0</v>
      </c>
      <c r="W242">
        <f>ROUND(CX242*I242,2)</f>
        <v>0</v>
      </c>
      <c r="X242">
        <f t="shared" si="186"/>
        <v>2571</v>
      </c>
      <c r="Y242">
        <f t="shared" si="186"/>
        <v>367.29</v>
      </c>
      <c r="AA242">
        <v>-1</v>
      </c>
      <c r="AB242">
        <f>ROUND((AC242+AD242+AF242),6)</f>
        <v>2509.0100000000002</v>
      </c>
      <c r="AC242">
        <f>ROUND((ES242),6)</f>
        <v>202.8</v>
      </c>
      <c r="AD242">
        <f>ROUND((((ET242)-(EU242))+AE242),6)</f>
        <v>23.51</v>
      </c>
      <c r="AE242">
        <f>ROUND((EU242),6)</f>
        <v>7.0000000000000007E-2</v>
      </c>
      <c r="AF242">
        <f>ROUND((EV242),6)</f>
        <v>2282.6999999999998</v>
      </c>
      <c r="AG242">
        <f>ROUND((AP242),6)</f>
        <v>0</v>
      </c>
      <c r="AH242">
        <f>(EW242)</f>
        <v>3.44</v>
      </c>
      <c r="AI242">
        <f>(EX242)</f>
        <v>0</v>
      </c>
      <c r="AJ242">
        <f>(AS242)</f>
        <v>0</v>
      </c>
      <c r="AK242">
        <v>2509.0100000000002</v>
      </c>
      <c r="AL242">
        <v>202.8</v>
      </c>
      <c r="AM242">
        <v>23.51</v>
      </c>
      <c r="AN242">
        <v>7.0000000000000007E-2</v>
      </c>
      <c r="AO242">
        <v>2282.6999999999998</v>
      </c>
      <c r="AP242">
        <v>0</v>
      </c>
      <c r="AQ242">
        <v>3.44</v>
      </c>
      <c r="AR242">
        <v>0</v>
      </c>
      <c r="AS242">
        <v>0</v>
      </c>
      <c r="AT242">
        <v>70</v>
      </c>
      <c r="AU242">
        <v>10</v>
      </c>
      <c r="AV242">
        <v>1</v>
      </c>
      <c r="AW242">
        <v>1</v>
      </c>
      <c r="AZ242">
        <v>1</v>
      </c>
      <c r="BA242">
        <v>1</v>
      </c>
      <c r="BB242">
        <v>1</v>
      </c>
      <c r="BC242">
        <v>1</v>
      </c>
      <c r="BD242" t="s">
        <v>3</v>
      </c>
      <c r="BE242" t="s">
        <v>3</v>
      </c>
      <c r="BF242" t="s">
        <v>3</v>
      </c>
      <c r="BG242" t="s">
        <v>3</v>
      </c>
      <c r="BH242">
        <v>0</v>
      </c>
      <c r="BI242">
        <v>4</v>
      </c>
      <c r="BJ242" t="s">
        <v>233</v>
      </c>
      <c r="BM242">
        <v>0</v>
      </c>
      <c r="BN242">
        <v>0</v>
      </c>
      <c r="BO242" t="s">
        <v>3</v>
      </c>
      <c r="BP242">
        <v>0</v>
      </c>
      <c r="BQ242">
        <v>1</v>
      </c>
      <c r="BR242">
        <v>0</v>
      </c>
      <c r="BS242">
        <v>1</v>
      </c>
      <c r="BT242">
        <v>1</v>
      </c>
      <c r="BU242">
        <v>1</v>
      </c>
      <c r="BV242">
        <v>1</v>
      </c>
      <c r="BW242">
        <v>1</v>
      </c>
      <c r="BX242">
        <v>1</v>
      </c>
      <c r="BY242" t="s">
        <v>3</v>
      </c>
      <c r="BZ242">
        <v>70</v>
      </c>
      <c r="CA242">
        <v>10</v>
      </c>
      <c r="CB242" t="s">
        <v>3</v>
      </c>
      <c r="CE242">
        <v>0</v>
      </c>
      <c r="CF242">
        <v>0</v>
      </c>
      <c r="CG242">
        <v>0</v>
      </c>
      <c r="CM242">
        <v>0</v>
      </c>
      <c r="CN242" t="s">
        <v>3</v>
      </c>
      <c r="CO242">
        <v>0</v>
      </c>
      <c r="CP242">
        <f>(P242+Q242+S242)</f>
        <v>4037</v>
      </c>
      <c r="CQ242">
        <f>(AC242*BC242*AW242)</f>
        <v>202.8</v>
      </c>
      <c r="CR242">
        <f>((((ET242)*BB242-(EU242)*BS242)+AE242*BS242)*AV242)</f>
        <v>23.51</v>
      </c>
      <c r="CS242">
        <f>(AE242*BS242*AV242)</f>
        <v>7.0000000000000007E-2</v>
      </c>
      <c r="CT242">
        <f>(AF242*BA242*AV242)</f>
        <v>2282.6999999999998</v>
      </c>
      <c r="CU242">
        <f>AG242</f>
        <v>0</v>
      </c>
      <c r="CV242">
        <f>(AH242*AV242)</f>
        <v>3.44</v>
      </c>
      <c r="CW242">
        <f t="shared" si="187"/>
        <v>0</v>
      </c>
      <c r="CX242">
        <f t="shared" si="187"/>
        <v>0</v>
      </c>
      <c r="CY242">
        <f>((S242*BZ242)/100)</f>
        <v>2571.002</v>
      </c>
      <c r="CZ242">
        <f>((S242*CA242)/100)</f>
        <v>367.286</v>
      </c>
      <c r="DC242" t="s">
        <v>3</v>
      </c>
      <c r="DD242" t="s">
        <v>3</v>
      </c>
      <c r="DE242" t="s">
        <v>3</v>
      </c>
      <c r="DF242" t="s">
        <v>3</v>
      </c>
      <c r="DG242" t="s">
        <v>3</v>
      </c>
      <c r="DH242" t="s">
        <v>3</v>
      </c>
      <c r="DI242" t="s">
        <v>3</v>
      </c>
      <c r="DJ242" t="s">
        <v>3</v>
      </c>
      <c r="DK242" t="s">
        <v>3</v>
      </c>
      <c r="DL242" t="s">
        <v>3</v>
      </c>
      <c r="DM242" t="s">
        <v>3</v>
      </c>
      <c r="DN242">
        <v>0</v>
      </c>
      <c r="DO242">
        <v>0</v>
      </c>
      <c r="DP242">
        <v>1</v>
      </c>
      <c r="DQ242">
        <v>1</v>
      </c>
      <c r="DU242">
        <v>1003</v>
      </c>
      <c r="DV242" t="s">
        <v>20</v>
      </c>
      <c r="DW242" t="s">
        <v>20</v>
      </c>
      <c r="DX242">
        <v>100</v>
      </c>
      <c r="DZ242" t="s">
        <v>3</v>
      </c>
      <c r="EA242" t="s">
        <v>3</v>
      </c>
      <c r="EB242" t="s">
        <v>3</v>
      </c>
      <c r="EC242" t="s">
        <v>3</v>
      </c>
      <c r="EE242">
        <v>1441815344</v>
      </c>
      <c r="EF242">
        <v>1</v>
      </c>
      <c r="EG242" t="s">
        <v>23</v>
      </c>
      <c r="EH242">
        <v>0</v>
      </c>
      <c r="EI242" t="s">
        <v>3</v>
      </c>
      <c r="EJ242">
        <v>4</v>
      </c>
      <c r="EK242">
        <v>0</v>
      </c>
      <c r="EL242" t="s">
        <v>24</v>
      </c>
      <c r="EM242" t="s">
        <v>25</v>
      </c>
      <c r="EO242" t="s">
        <v>3</v>
      </c>
      <c r="EQ242">
        <v>1024</v>
      </c>
      <c r="ER242">
        <v>2509.0100000000002</v>
      </c>
      <c r="ES242">
        <v>202.8</v>
      </c>
      <c r="ET242">
        <v>23.51</v>
      </c>
      <c r="EU242">
        <v>7.0000000000000007E-2</v>
      </c>
      <c r="EV242">
        <v>2282.6999999999998</v>
      </c>
      <c r="EW242">
        <v>3.44</v>
      </c>
      <c r="EX242">
        <v>0</v>
      </c>
      <c r="EY242">
        <v>0</v>
      </c>
      <c r="FQ242">
        <v>0</v>
      </c>
      <c r="FR242">
        <f>ROUND(IF(BI242=3,GM242,0),2)</f>
        <v>0</v>
      </c>
      <c r="FS242">
        <v>0</v>
      </c>
      <c r="FX242">
        <v>70</v>
      </c>
      <c r="FY242">
        <v>10</v>
      </c>
      <c r="GA242" t="s">
        <v>3</v>
      </c>
      <c r="GD242">
        <v>0</v>
      </c>
      <c r="GF242">
        <v>-1929809553</v>
      </c>
      <c r="GG242">
        <v>2</v>
      </c>
      <c r="GH242">
        <v>1</v>
      </c>
      <c r="GI242">
        <v>-2</v>
      </c>
      <c r="GJ242">
        <v>0</v>
      </c>
      <c r="GK242">
        <f>ROUND(R242*(R12)/100,2)</f>
        <v>0.12</v>
      </c>
      <c r="GL242">
        <f>ROUND(IF(AND(BH242=3,BI242=3,FS242&lt;&gt;0),P242,0),2)</f>
        <v>0</v>
      </c>
      <c r="GM242">
        <f>ROUND(O242+X242+Y242+GK242,2)+GX242</f>
        <v>6975.41</v>
      </c>
      <c r="GN242">
        <f>IF(OR(BI242=0,BI242=1),GM242-GX242,0)</f>
        <v>0</v>
      </c>
      <c r="GO242">
        <f>IF(BI242=2,GM242-GX242,0)</f>
        <v>0</v>
      </c>
      <c r="GP242">
        <f>IF(BI242=4,GM242-GX242,0)</f>
        <v>6975.41</v>
      </c>
      <c r="GR242">
        <v>0</v>
      </c>
      <c r="GS242">
        <v>3</v>
      </c>
      <c r="GT242">
        <v>0</v>
      </c>
      <c r="GU242" t="s">
        <v>3</v>
      </c>
      <c r="GV242">
        <f>ROUND((GT242),6)</f>
        <v>0</v>
      </c>
      <c r="GW242">
        <v>1</v>
      </c>
      <c r="GX242">
        <f>ROUND(HC242*I242,2)</f>
        <v>0</v>
      </c>
      <c r="HA242">
        <v>0</v>
      </c>
      <c r="HB242">
        <v>0</v>
      </c>
      <c r="HC242">
        <f>GV242*GW242</f>
        <v>0</v>
      </c>
      <c r="HE242" t="s">
        <v>3</v>
      </c>
      <c r="HF242" t="s">
        <v>3</v>
      </c>
      <c r="HM242" t="s">
        <v>3</v>
      </c>
      <c r="HN242" t="s">
        <v>3</v>
      </c>
      <c r="HO242" t="s">
        <v>3</v>
      </c>
      <c r="HP242" t="s">
        <v>3</v>
      </c>
      <c r="HQ242" t="s">
        <v>3</v>
      </c>
      <c r="IK242">
        <v>0</v>
      </c>
    </row>
    <row r="243" spans="1:245" x14ac:dyDescent="0.2">
      <c r="A243">
        <v>19</v>
      </c>
      <c r="B243">
        <v>1</v>
      </c>
      <c r="F243" t="s">
        <v>3</v>
      </c>
      <c r="G243" t="s">
        <v>235</v>
      </c>
      <c r="H243" t="s">
        <v>3</v>
      </c>
      <c r="AA243">
        <v>1</v>
      </c>
      <c r="IK243">
        <v>0</v>
      </c>
    </row>
    <row r="244" spans="1:245" x14ac:dyDescent="0.2">
      <c r="A244">
        <v>17</v>
      </c>
      <c r="B244">
        <v>1</v>
      </c>
      <c r="D244">
        <f>ROW(EtalonRes!A127)</f>
        <v>127</v>
      </c>
      <c r="E244" t="s">
        <v>3</v>
      </c>
      <c r="F244" t="s">
        <v>18</v>
      </c>
      <c r="G244" t="s">
        <v>19</v>
      </c>
      <c r="H244" t="s">
        <v>20</v>
      </c>
      <c r="I244">
        <f>ROUND(ROUND((5.1+17.5+11.8+30+0.1+11.1+5+3.2+0.7+6.3+1.5+2+14.5+6.1+0.3+7.3+19.6+18.8)*0.25*0.1/100,9),9)</f>
        <v>4.0224999999999997E-2</v>
      </c>
      <c r="J244">
        <v>0</v>
      </c>
      <c r="K244">
        <f>ROUND(ROUND((5.1+17.5+11.8+30+0.1+11.1+5+3.2+0.7+6.3+1.5+2+14.5+6.1+0.3+7.3+19.6+18.8)*0.25*0.1/100,9),9)</f>
        <v>4.0224999999999997E-2</v>
      </c>
      <c r="O244">
        <f>ROUND(CP244,2)</f>
        <v>81.41</v>
      </c>
      <c r="P244">
        <f>ROUND(CQ244*I244,2)</f>
        <v>0</v>
      </c>
      <c r="Q244">
        <f>ROUND(CR244*I244,2)</f>
        <v>0</v>
      </c>
      <c r="R244">
        <f>ROUND(CS244*I244,2)</f>
        <v>0</v>
      </c>
      <c r="S244">
        <f>ROUND(CT244*I244,2)</f>
        <v>81.41</v>
      </c>
      <c r="T244">
        <f>ROUND(CU244*I244,2)</f>
        <v>0</v>
      </c>
      <c r="U244">
        <f>CV244*I244</f>
        <v>0.14480999999999999</v>
      </c>
      <c r="V244">
        <f>CW244*I244</f>
        <v>0</v>
      </c>
      <c r="W244">
        <f>ROUND(CX244*I244,2)</f>
        <v>0</v>
      </c>
      <c r="X244">
        <f t="shared" ref="X244:Y247" si="188">ROUND(CY244,2)</f>
        <v>56.99</v>
      </c>
      <c r="Y244">
        <f t="shared" si="188"/>
        <v>8.14</v>
      </c>
      <c r="AA244">
        <v>-1</v>
      </c>
      <c r="AB244">
        <f>ROUND((AC244+AD244+AF244),6)</f>
        <v>2023.8</v>
      </c>
      <c r="AC244">
        <f>ROUND(((ES244*4)),6)</f>
        <v>0</v>
      </c>
      <c r="AD244">
        <f>ROUND(((((ET244*4))-((EU244*4)))+AE244),6)</f>
        <v>0</v>
      </c>
      <c r="AE244">
        <f>ROUND(((EU244*4)),6)</f>
        <v>0</v>
      </c>
      <c r="AF244">
        <f>ROUND(((EV244*4)),6)</f>
        <v>2023.8</v>
      </c>
      <c r="AG244">
        <f>ROUND((AP244),6)</f>
        <v>0</v>
      </c>
      <c r="AH244">
        <f>((EW244*4))</f>
        <v>3.6</v>
      </c>
      <c r="AI244">
        <f>((EX244*4))</f>
        <v>0</v>
      </c>
      <c r="AJ244">
        <f>(AS244)</f>
        <v>0</v>
      </c>
      <c r="AK244">
        <v>505.95</v>
      </c>
      <c r="AL244">
        <v>0</v>
      </c>
      <c r="AM244">
        <v>0</v>
      </c>
      <c r="AN244">
        <v>0</v>
      </c>
      <c r="AO244">
        <v>505.95</v>
      </c>
      <c r="AP244">
        <v>0</v>
      </c>
      <c r="AQ244">
        <v>0.9</v>
      </c>
      <c r="AR244">
        <v>0</v>
      </c>
      <c r="AS244">
        <v>0</v>
      </c>
      <c r="AT244">
        <v>70</v>
      </c>
      <c r="AU244">
        <v>10</v>
      </c>
      <c r="AV244">
        <v>1</v>
      </c>
      <c r="AW244">
        <v>1</v>
      </c>
      <c r="AZ244">
        <v>1</v>
      </c>
      <c r="BA244">
        <v>1</v>
      </c>
      <c r="BB244">
        <v>1</v>
      </c>
      <c r="BC244">
        <v>1</v>
      </c>
      <c r="BD244" t="s">
        <v>3</v>
      </c>
      <c r="BE244" t="s">
        <v>3</v>
      </c>
      <c r="BF244" t="s">
        <v>3</v>
      </c>
      <c r="BG244" t="s">
        <v>3</v>
      </c>
      <c r="BH244">
        <v>0</v>
      </c>
      <c r="BI244">
        <v>4</v>
      </c>
      <c r="BJ244" t="s">
        <v>21</v>
      </c>
      <c r="BM244">
        <v>0</v>
      </c>
      <c r="BN244">
        <v>0</v>
      </c>
      <c r="BO244" t="s">
        <v>3</v>
      </c>
      <c r="BP244">
        <v>0</v>
      </c>
      <c r="BQ244">
        <v>1</v>
      </c>
      <c r="BR244">
        <v>0</v>
      </c>
      <c r="BS244">
        <v>1</v>
      </c>
      <c r="BT244">
        <v>1</v>
      </c>
      <c r="BU244">
        <v>1</v>
      </c>
      <c r="BV244">
        <v>1</v>
      </c>
      <c r="BW244">
        <v>1</v>
      </c>
      <c r="BX244">
        <v>1</v>
      </c>
      <c r="BY244" t="s">
        <v>3</v>
      </c>
      <c r="BZ244">
        <v>70</v>
      </c>
      <c r="CA244">
        <v>10</v>
      </c>
      <c r="CB244" t="s">
        <v>3</v>
      </c>
      <c r="CE244">
        <v>0</v>
      </c>
      <c r="CF244">
        <v>0</v>
      </c>
      <c r="CG244">
        <v>0</v>
      </c>
      <c r="CM244">
        <v>0</v>
      </c>
      <c r="CN244" t="s">
        <v>3</v>
      </c>
      <c r="CO244">
        <v>0</v>
      </c>
      <c r="CP244">
        <f>(P244+Q244+S244)</f>
        <v>81.41</v>
      </c>
      <c r="CQ244">
        <f>(AC244*BC244*AW244)</f>
        <v>0</v>
      </c>
      <c r="CR244">
        <f>(((((ET244*4))*BB244-((EU244*4))*BS244)+AE244*BS244)*AV244)</f>
        <v>0</v>
      </c>
      <c r="CS244">
        <f>(AE244*BS244*AV244)</f>
        <v>0</v>
      </c>
      <c r="CT244">
        <f>(AF244*BA244*AV244)</f>
        <v>2023.8</v>
      </c>
      <c r="CU244">
        <f>AG244</f>
        <v>0</v>
      </c>
      <c r="CV244">
        <f>(AH244*AV244)</f>
        <v>3.6</v>
      </c>
      <c r="CW244">
        <f t="shared" ref="CW244:CX247" si="189">AI244</f>
        <v>0</v>
      </c>
      <c r="CX244">
        <f t="shared" si="189"/>
        <v>0</v>
      </c>
      <c r="CY244">
        <f>((S244*BZ244)/100)</f>
        <v>56.986999999999995</v>
      </c>
      <c r="CZ244">
        <f>((S244*CA244)/100)</f>
        <v>8.1409999999999982</v>
      </c>
      <c r="DC244" t="s">
        <v>3</v>
      </c>
      <c r="DD244" t="s">
        <v>22</v>
      </c>
      <c r="DE244" t="s">
        <v>22</v>
      </c>
      <c r="DF244" t="s">
        <v>22</v>
      </c>
      <c r="DG244" t="s">
        <v>22</v>
      </c>
      <c r="DH244" t="s">
        <v>3</v>
      </c>
      <c r="DI244" t="s">
        <v>22</v>
      </c>
      <c r="DJ244" t="s">
        <v>22</v>
      </c>
      <c r="DK244" t="s">
        <v>3</v>
      </c>
      <c r="DL244" t="s">
        <v>3</v>
      </c>
      <c r="DM244" t="s">
        <v>3</v>
      </c>
      <c r="DN244">
        <v>0</v>
      </c>
      <c r="DO244">
        <v>0</v>
      </c>
      <c r="DP244">
        <v>1</v>
      </c>
      <c r="DQ244">
        <v>1</v>
      </c>
      <c r="DU244">
        <v>1003</v>
      </c>
      <c r="DV244" t="s">
        <v>20</v>
      </c>
      <c r="DW244" t="s">
        <v>20</v>
      </c>
      <c r="DX244">
        <v>100</v>
      </c>
      <c r="DZ244" t="s">
        <v>3</v>
      </c>
      <c r="EA244" t="s">
        <v>3</v>
      </c>
      <c r="EB244" t="s">
        <v>3</v>
      </c>
      <c r="EC244" t="s">
        <v>3</v>
      </c>
      <c r="EE244">
        <v>1441815344</v>
      </c>
      <c r="EF244">
        <v>1</v>
      </c>
      <c r="EG244" t="s">
        <v>23</v>
      </c>
      <c r="EH244">
        <v>0</v>
      </c>
      <c r="EI244" t="s">
        <v>3</v>
      </c>
      <c r="EJ244">
        <v>4</v>
      </c>
      <c r="EK244">
        <v>0</v>
      </c>
      <c r="EL244" t="s">
        <v>24</v>
      </c>
      <c r="EM244" t="s">
        <v>25</v>
      </c>
      <c r="EO244" t="s">
        <v>3</v>
      </c>
      <c r="EQ244">
        <v>1024</v>
      </c>
      <c r="ER244">
        <v>505.95</v>
      </c>
      <c r="ES244">
        <v>0</v>
      </c>
      <c r="ET244">
        <v>0</v>
      </c>
      <c r="EU244">
        <v>0</v>
      </c>
      <c r="EV244">
        <v>505.95</v>
      </c>
      <c r="EW244">
        <v>0.9</v>
      </c>
      <c r="EX244">
        <v>0</v>
      </c>
      <c r="EY244">
        <v>0</v>
      </c>
      <c r="FQ244">
        <v>0</v>
      </c>
      <c r="FR244">
        <f>ROUND(IF(BI244=3,GM244,0),2)</f>
        <v>0</v>
      </c>
      <c r="FS244">
        <v>0</v>
      </c>
      <c r="FX244">
        <v>70</v>
      </c>
      <c r="FY244">
        <v>10</v>
      </c>
      <c r="GA244" t="s">
        <v>3</v>
      </c>
      <c r="GD244">
        <v>0</v>
      </c>
      <c r="GF244">
        <v>-341239612</v>
      </c>
      <c r="GG244">
        <v>2</v>
      </c>
      <c r="GH244">
        <v>1</v>
      </c>
      <c r="GI244">
        <v>-2</v>
      </c>
      <c r="GJ244">
        <v>0</v>
      </c>
      <c r="GK244">
        <f>ROUND(R244*(R12)/100,2)</f>
        <v>0</v>
      </c>
      <c r="GL244">
        <f>ROUND(IF(AND(BH244=3,BI244=3,FS244&lt;&gt;0),P244,0),2)</f>
        <v>0</v>
      </c>
      <c r="GM244">
        <f>ROUND(O244+X244+Y244+GK244,2)+GX244</f>
        <v>146.54</v>
      </c>
      <c r="GN244">
        <f>IF(OR(BI244=0,BI244=1),GM244-GX244,0)</f>
        <v>0</v>
      </c>
      <c r="GO244">
        <f>IF(BI244=2,GM244-GX244,0)</f>
        <v>0</v>
      </c>
      <c r="GP244">
        <f>IF(BI244=4,GM244-GX244,0)</f>
        <v>146.54</v>
      </c>
      <c r="GR244">
        <v>0</v>
      </c>
      <c r="GS244">
        <v>3</v>
      </c>
      <c r="GT244">
        <v>0</v>
      </c>
      <c r="GU244" t="s">
        <v>3</v>
      </c>
      <c r="GV244">
        <f>ROUND((GT244),6)</f>
        <v>0</v>
      </c>
      <c r="GW244">
        <v>1</v>
      </c>
      <c r="GX244">
        <f>ROUND(HC244*I244,2)</f>
        <v>0</v>
      </c>
      <c r="HA244">
        <v>0</v>
      </c>
      <c r="HB244">
        <v>0</v>
      </c>
      <c r="HC244">
        <f>GV244*GW244</f>
        <v>0</v>
      </c>
      <c r="HE244" t="s">
        <v>3</v>
      </c>
      <c r="HF244" t="s">
        <v>3</v>
      </c>
      <c r="HM244" t="s">
        <v>3</v>
      </c>
      <c r="HN244" t="s">
        <v>3</v>
      </c>
      <c r="HO244" t="s">
        <v>3</v>
      </c>
      <c r="HP244" t="s">
        <v>3</v>
      </c>
      <c r="HQ244" t="s">
        <v>3</v>
      </c>
      <c r="IK244">
        <v>0</v>
      </c>
    </row>
    <row r="245" spans="1:245" x14ac:dyDescent="0.2">
      <c r="A245">
        <v>17</v>
      </c>
      <c r="B245">
        <v>1</v>
      </c>
      <c r="D245">
        <f>ROW(EtalonRes!A128)</f>
        <v>128</v>
      </c>
      <c r="E245" t="s">
        <v>3</v>
      </c>
      <c r="F245" t="s">
        <v>225</v>
      </c>
      <c r="G245" t="s">
        <v>226</v>
      </c>
      <c r="H245" t="s">
        <v>20</v>
      </c>
      <c r="I245">
        <f>ROUND(ROUND((5.1+17.5+11.8+30+0.1+11.1+5+3.2+0.7+6.3+1.5+2+14.5+6.1+0.3+7.3+19.6+18.8)*0.75*0.1/100,9),9)</f>
        <v>0.120675</v>
      </c>
      <c r="J245">
        <v>0</v>
      </c>
      <c r="K245">
        <f>ROUND(ROUND((5.1+17.5+11.8+30+0.1+11.1+5+3.2+0.7+6.3+1.5+2+14.5+6.1+0.3+7.3+19.6+18.8)*0.75*0.1/100,9),9)</f>
        <v>0.120675</v>
      </c>
      <c r="O245">
        <f>ROUND(CP245,2)</f>
        <v>716.39</v>
      </c>
      <c r="P245">
        <f>ROUND(CQ245*I245,2)</f>
        <v>0</v>
      </c>
      <c r="Q245">
        <f>ROUND(CR245*I245,2)</f>
        <v>0</v>
      </c>
      <c r="R245">
        <f>ROUND(CS245*I245,2)</f>
        <v>0</v>
      </c>
      <c r="S245">
        <f>ROUND(CT245*I245,2)</f>
        <v>716.39</v>
      </c>
      <c r="T245">
        <f>ROUND(CU245*I245,2)</f>
        <v>0</v>
      </c>
      <c r="U245">
        <f>CV245*I245</f>
        <v>1.2743280000000001</v>
      </c>
      <c r="V245">
        <f>CW245*I245</f>
        <v>0</v>
      </c>
      <c r="W245">
        <f>ROUND(CX245*I245,2)</f>
        <v>0</v>
      </c>
      <c r="X245">
        <f t="shared" si="188"/>
        <v>501.47</v>
      </c>
      <c r="Y245">
        <f t="shared" si="188"/>
        <v>71.64</v>
      </c>
      <c r="AA245">
        <v>-1</v>
      </c>
      <c r="AB245">
        <f>ROUND((AC245+AD245+AF245),6)</f>
        <v>5936.52</v>
      </c>
      <c r="AC245">
        <f>ROUND(((ES245*4)),6)</f>
        <v>0</v>
      </c>
      <c r="AD245">
        <f>ROUND(((((ET245*4))-((EU245*4)))+AE245),6)</f>
        <v>0</v>
      </c>
      <c r="AE245">
        <f>ROUND(((EU245*4)),6)</f>
        <v>0</v>
      </c>
      <c r="AF245">
        <f>ROUND(((EV245*4)),6)</f>
        <v>5936.52</v>
      </c>
      <c r="AG245">
        <f>ROUND((AP245),6)</f>
        <v>0</v>
      </c>
      <c r="AH245">
        <f>((EW245*4))</f>
        <v>10.56</v>
      </c>
      <c r="AI245">
        <f>((EX245*4))</f>
        <v>0</v>
      </c>
      <c r="AJ245">
        <f>(AS245)</f>
        <v>0</v>
      </c>
      <c r="AK245">
        <v>1484.13</v>
      </c>
      <c r="AL245">
        <v>0</v>
      </c>
      <c r="AM245">
        <v>0</v>
      </c>
      <c r="AN245">
        <v>0</v>
      </c>
      <c r="AO245">
        <v>1484.13</v>
      </c>
      <c r="AP245">
        <v>0</v>
      </c>
      <c r="AQ245">
        <v>2.64</v>
      </c>
      <c r="AR245">
        <v>0</v>
      </c>
      <c r="AS245">
        <v>0</v>
      </c>
      <c r="AT245">
        <v>70</v>
      </c>
      <c r="AU245">
        <v>10</v>
      </c>
      <c r="AV245">
        <v>1</v>
      </c>
      <c r="AW245">
        <v>1</v>
      </c>
      <c r="AZ245">
        <v>1</v>
      </c>
      <c r="BA245">
        <v>1</v>
      </c>
      <c r="BB245">
        <v>1</v>
      </c>
      <c r="BC245">
        <v>1</v>
      </c>
      <c r="BD245" t="s">
        <v>3</v>
      </c>
      <c r="BE245" t="s">
        <v>3</v>
      </c>
      <c r="BF245" t="s">
        <v>3</v>
      </c>
      <c r="BG245" t="s">
        <v>3</v>
      </c>
      <c r="BH245">
        <v>0</v>
      </c>
      <c r="BI245">
        <v>4</v>
      </c>
      <c r="BJ245" t="s">
        <v>227</v>
      </c>
      <c r="BM245">
        <v>0</v>
      </c>
      <c r="BN245">
        <v>0</v>
      </c>
      <c r="BO245" t="s">
        <v>3</v>
      </c>
      <c r="BP245">
        <v>0</v>
      </c>
      <c r="BQ245">
        <v>1</v>
      </c>
      <c r="BR245">
        <v>0</v>
      </c>
      <c r="BS245">
        <v>1</v>
      </c>
      <c r="BT245">
        <v>1</v>
      </c>
      <c r="BU245">
        <v>1</v>
      </c>
      <c r="BV245">
        <v>1</v>
      </c>
      <c r="BW245">
        <v>1</v>
      </c>
      <c r="BX245">
        <v>1</v>
      </c>
      <c r="BY245" t="s">
        <v>3</v>
      </c>
      <c r="BZ245">
        <v>70</v>
      </c>
      <c r="CA245">
        <v>10</v>
      </c>
      <c r="CB245" t="s">
        <v>3</v>
      </c>
      <c r="CE245">
        <v>0</v>
      </c>
      <c r="CF245">
        <v>0</v>
      </c>
      <c r="CG245">
        <v>0</v>
      </c>
      <c r="CM245">
        <v>0</v>
      </c>
      <c r="CN245" t="s">
        <v>3</v>
      </c>
      <c r="CO245">
        <v>0</v>
      </c>
      <c r="CP245">
        <f>(P245+Q245+S245)</f>
        <v>716.39</v>
      </c>
      <c r="CQ245">
        <f>(AC245*BC245*AW245)</f>
        <v>0</v>
      </c>
      <c r="CR245">
        <f>(((((ET245*4))*BB245-((EU245*4))*BS245)+AE245*BS245)*AV245)</f>
        <v>0</v>
      </c>
      <c r="CS245">
        <f>(AE245*BS245*AV245)</f>
        <v>0</v>
      </c>
      <c r="CT245">
        <f>(AF245*BA245*AV245)</f>
        <v>5936.52</v>
      </c>
      <c r="CU245">
        <f>AG245</f>
        <v>0</v>
      </c>
      <c r="CV245">
        <f>(AH245*AV245)</f>
        <v>10.56</v>
      </c>
      <c r="CW245">
        <f t="shared" si="189"/>
        <v>0</v>
      </c>
      <c r="CX245">
        <f t="shared" si="189"/>
        <v>0</v>
      </c>
      <c r="CY245">
        <f>((S245*BZ245)/100)</f>
        <v>501.47299999999996</v>
      </c>
      <c r="CZ245">
        <f>((S245*CA245)/100)</f>
        <v>71.638999999999996</v>
      </c>
      <c r="DC245" t="s">
        <v>3</v>
      </c>
      <c r="DD245" t="s">
        <v>22</v>
      </c>
      <c r="DE245" t="s">
        <v>22</v>
      </c>
      <c r="DF245" t="s">
        <v>22</v>
      </c>
      <c r="DG245" t="s">
        <v>22</v>
      </c>
      <c r="DH245" t="s">
        <v>3</v>
      </c>
      <c r="DI245" t="s">
        <v>22</v>
      </c>
      <c r="DJ245" t="s">
        <v>22</v>
      </c>
      <c r="DK245" t="s">
        <v>3</v>
      </c>
      <c r="DL245" t="s">
        <v>3</v>
      </c>
      <c r="DM245" t="s">
        <v>3</v>
      </c>
      <c r="DN245">
        <v>0</v>
      </c>
      <c r="DO245">
        <v>0</v>
      </c>
      <c r="DP245">
        <v>1</v>
      </c>
      <c r="DQ245">
        <v>1</v>
      </c>
      <c r="DU245">
        <v>1003</v>
      </c>
      <c r="DV245" t="s">
        <v>20</v>
      </c>
      <c r="DW245" t="s">
        <v>20</v>
      </c>
      <c r="DX245">
        <v>100</v>
      </c>
      <c r="DZ245" t="s">
        <v>3</v>
      </c>
      <c r="EA245" t="s">
        <v>3</v>
      </c>
      <c r="EB245" t="s">
        <v>3</v>
      </c>
      <c r="EC245" t="s">
        <v>3</v>
      </c>
      <c r="EE245">
        <v>1441815344</v>
      </c>
      <c r="EF245">
        <v>1</v>
      </c>
      <c r="EG245" t="s">
        <v>23</v>
      </c>
      <c r="EH245">
        <v>0</v>
      </c>
      <c r="EI245" t="s">
        <v>3</v>
      </c>
      <c r="EJ245">
        <v>4</v>
      </c>
      <c r="EK245">
        <v>0</v>
      </c>
      <c r="EL245" t="s">
        <v>24</v>
      </c>
      <c r="EM245" t="s">
        <v>25</v>
      </c>
      <c r="EO245" t="s">
        <v>3</v>
      </c>
      <c r="EQ245">
        <v>1024</v>
      </c>
      <c r="ER245">
        <v>1484.13</v>
      </c>
      <c r="ES245">
        <v>0</v>
      </c>
      <c r="ET245">
        <v>0</v>
      </c>
      <c r="EU245">
        <v>0</v>
      </c>
      <c r="EV245">
        <v>1484.13</v>
      </c>
      <c r="EW245">
        <v>2.64</v>
      </c>
      <c r="EX245">
        <v>0</v>
      </c>
      <c r="EY245">
        <v>0</v>
      </c>
      <c r="FQ245">
        <v>0</v>
      </c>
      <c r="FR245">
        <f>ROUND(IF(BI245=3,GM245,0),2)</f>
        <v>0</v>
      </c>
      <c r="FS245">
        <v>0</v>
      </c>
      <c r="FX245">
        <v>70</v>
      </c>
      <c r="FY245">
        <v>10</v>
      </c>
      <c r="GA245" t="s">
        <v>3</v>
      </c>
      <c r="GD245">
        <v>0</v>
      </c>
      <c r="GF245">
        <v>1802126441</v>
      </c>
      <c r="GG245">
        <v>2</v>
      </c>
      <c r="GH245">
        <v>1</v>
      </c>
      <c r="GI245">
        <v>-2</v>
      </c>
      <c r="GJ245">
        <v>0</v>
      </c>
      <c r="GK245">
        <f>ROUND(R245*(R12)/100,2)</f>
        <v>0</v>
      </c>
      <c r="GL245">
        <f>ROUND(IF(AND(BH245=3,BI245=3,FS245&lt;&gt;0),P245,0),2)</f>
        <v>0</v>
      </c>
      <c r="GM245">
        <f>ROUND(O245+X245+Y245+GK245,2)+GX245</f>
        <v>1289.5</v>
      </c>
      <c r="GN245">
        <f>IF(OR(BI245=0,BI245=1),GM245-GX245,0)</f>
        <v>0</v>
      </c>
      <c r="GO245">
        <f>IF(BI245=2,GM245-GX245,0)</f>
        <v>0</v>
      </c>
      <c r="GP245">
        <f>IF(BI245=4,GM245-GX245,0)</f>
        <v>1289.5</v>
      </c>
      <c r="GR245">
        <v>0</v>
      </c>
      <c r="GS245">
        <v>3</v>
      </c>
      <c r="GT245">
        <v>0</v>
      </c>
      <c r="GU245" t="s">
        <v>3</v>
      </c>
      <c r="GV245">
        <f>ROUND((GT245),6)</f>
        <v>0</v>
      </c>
      <c r="GW245">
        <v>1</v>
      </c>
      <c r="GX245">
        <f>ROUND(HC245*I245,2)</f>
        <v>0</v>
      </c>
      <c r="HA245">
        <v>0</v>
      </c>
      <c r="HB245">
        <v>0</v>
      </c>
      <c r="HC245">
        <f>GV245*GW245</f>
        <v>0</v>
      </c>
      <c r="HE245" t="s">
        <v>3</v>
      </c>
      <c r="HF245" t="s">
        <v>3</v>
      </c>
      <c r="HM245" t="s">
        <v>3</v>
      </c>
      <c r="HN245" t="s">
        <v>3</v>
      </c>
      <c r="HO245" t="s">
        <v>3</v>
      </c>
      <c r="HP245" t="s">
        <v>3</v>
      </c>
      <c r="HQ245" t="s">
        <v>3</v>
      </c>
      <c r="IK245">
        <v>0</v>
      </c>
    </row>
    <row r="246" spans="1:245" x14ac:dyDescent="0.2">
      <c r="A246">
        <v>17</v>
      </c>
      <c r="B246">
        <v>1</v>
      </c>
      <c r="D246">
        <f>ROW(EtalonRes!A134)</f>
        <v>134</v>
      </c>
      <c r="E246" t="s">
        <v>3</v>
      </c>
      <c r="F246" t="s">
        <v>228</v>
      </c>
      <c r="G246" t="s">
        <v>229</v>
      </c>
      <c r="H246" t="s">
        <v>20</v>
      </c>
      <c r="I246">
        <f>ROUND((5.1+17.5+11.8+30+0.1+11.1+5+3.2+0.7+6.3+1.5+2+14.5+6.1+0.3+7.3+19.6+18.8)/100,9)</f>
        <v>1.609</v>
      </c>
      <c r="J246">
        <v>0</v>
      </c>
      <c r="K246">
        <f>ROUND((5.1+17.5+11.8+30+0.1+11.1+5+3.2+0.7+6.3+1.5+2+14.5+6.1+0.3+7.3+19.6+18.8)/100,9)</f>
        <v>1.609</v>
      </c>
      <c r="O246">
        <f>ROUND(CP246,2)</f>
        <v>13000.9</v>
      </c>
      <c r="P246">
        <f>ROUND(CQ246*I246,2)</f>
        <v>359.92</v>
      </c>
      <c r="Q246">
        <f>ROUND(CR246*I246,2)</f>
        <v>81.58</v>
      </c>
      <c r="R246">
        <f>ROUND(CS246*I246,2)</f>
        <v>1.3</v>
      </c>
      <c r="S246">
        <f>ROUND(CT246*I246,2)</f>
        <v>12559.4</v>
      </c>
      <c r="T246">
        <f>ROUND(CU246*I246,2)</f>
        <v>0</v>
      </c>
      <c r="U246">
        <f>CV246*I246</f>
        <v>17.119759999999999</v>
      </c>
      <c r="V246">
        <f>CW246*I246</f>
        <v>0</v>
      </c>
      <c r="W246">
        <f>ROUND(CX246*I246,2)</f>
        <v>0</v>
      </c>
      <c r="X246">
        <f t="shared" si="188"/>
        <v>8791.58</v>
      </c>
      <c r="Y246">
        <f t="shared" si="188"/>
        <v>1255.94</v>
      </c>
      <c r="AA246">
        <v>-1</v>
      </c>
      <c r="AB246">
        <f>ROUND((AC246+AD246+AF246),6)</f>
        <v>8080.11</v>
      </c>
      <c r="AC246">
        <f>ROUND((ES246),6)</f>
        <v>223.69</v>
      </c>
      <c r="AD246">
        <f>ROUND((((ET246)-(EU246))+AE246),6)</f>
        <v>50.7</v>
      </c>
      <c r="AE246">
        <f>ROUND((EU246),6)</f>
        <v>0.81</v>
      </c>
      <c r="AF246">
        <f>ROUND((EV246),6)</f>
        <v>7805.72</v>
      </c>
      <c r="AG246">
        <f>ROUND((AP246),6)</f>
        <v>0</v>
      </c>
      <c r="AH246">
        <f>(EW246)</f>
        <v>10.64</v>
      </c>
      <c r="AI246">
        <f>(EX246)</f>
        <v>0</v>
      </c>
      <c r="AJ246">
        <f>(AS246)</f>
        <v>0</v>
      </c>
      <c r="AK246">
        <v>8080.11</v>
      </c>
      <c r="AL246">
        <v>223.69</v>
      </c>
      <c r="AM246">
        <v>50.7</v>
      </c>
      <c r="AN246">
        <v>0.81</v>
      </c>
      <c r="AO246">
        <v>7805.72</v>
      </c>
      <c r="AP246">
        <v>0</v>
      </c>
      <c r="AQ246">
        <v>10.64</v>
      </c>
      <c r="AR246">
        <v>0</v>
      </c>
      <c r="AS246">
        <v>0</v>
      </c>
      <c r="AT246">
        <v>70</v>
      </c>
      <c r="AU246">
        <v>10</v>
      </c>
      <c r="AV246">
        <v>1</v>
      </c>
      <c r="AW246">
        <v>1</v>
      </c>
      <c r="AZ246">
        <v>1</v>
      </c>
      <c r="BA246">
        <v>1</v>
      </c>
      <c r="BB246">
        <v>1</v>
      </c>
      <c r="BC246">
        <v>1</v>
      </c>
      <c r="BD246" t="s">
        <v>3</v>
      </c>
      <c r="BE246" t="s">
        <v>3</v>
      </c>
      <c r="BF246" t="s">
        <v>3</v>
      </c>
      <c r="BG246" t="s">
        <v>3</v>
      </c>
      <c r="BH246">
        <v>0</v>
      </c>
      <c r="BI246">
        <v>4</v>
      </c>
      <c r="BJ246" t="s">
        <v>230</v>
      </c>
      <c r="BM246">
        <v>0</v>
      </c>
      <c r="BN246">
        <v>0</v>
      </c>
      <c r="BO246" t="s">
        <v>3</v>
      </c>
      <c r="BP246">
        <v>0</v>
      </c>
      <c r="BQ246">
        <v>1</v>
      </c>
      <c r="BR246">
        <v>0</v>
      </c>
      <c r="BS246">
        <v>1</v>
      </c>
      <c r="BT246">
        <v>1</v>
      </c>
      <c r="BU246">
        <v>1</v>
      </c>
      <c r="BV246">
        <v>1</v>
      </c>
      <c r="BW246">
        <v>1</v>
      </c>
      <c r="BX246">
        <v>1</v>
      </c>
      <c r="BY246" t="s">
        <v>3</v>
      </c>
      <c r="BZ246">
        <v>70</v>
      </c>
      <c r="CA246">
        <v>10</v>
      </c>
      <c r="CB246" t="s">
        <v>3</v>
      </c>
      <c r="CE246">
        <v>0</v>
      </c>
      <c r="CF246">
        <v>0</v>
      </c>
      <c r="CG246">
        <v>0</v>
      </c>
      <c r="CM246">
        <v>0</v>
      </c>
      <c r="CN246" t="s">
        <v>3</v>
      </c>
      <c r="CO246">
        <v>0</v>
      </c>
      <c r="CP246">
        <f>(P246+Q246+S246)</f>
        <v>13000.9</v>
      </c>
      <c r="CQ246">
        <f>(AC246*BC246*AW246)</f>
        <v>223.69</v>
      </c>
      <c r="CR246">
        <f>((((ET246)*BB246-(EU246)*BS246)+AE246*BS246)*AV246)</f>
        <v>50.7</v>
      </c>
      <c r="CS246">
        <f>(AE246*BS246*AV246)</f>
        <v>0.81</v>
      </c>
      <c r="CT246">
        <f>(AF246*BA246*AV246)</f>
        <v>7805.72</v>
      </c>
      <c r="CU246">
        <f>AG246</f>
        <v>0</v>
      </c>
      <c r="CV246">
        <f>(AH246*AV246)</f>
        <v>10.64</v>
      </c>
      <c r="CW246">
        <f t="shared" si="189"/>
        <v>0</v>
      </c>
      <c r="CX246">
        <f t="shared" si="189"/>
        <v>0</v>
      </c>
      <c r="CY246">
        <f>((S246*BZ246)/100)</f>
        <v>8791.58</v>
      </c>
      <c r="CZ246">
        <f>((S246*CA246)/100)</f>
        <v>1255.94</v>
      </c>
      <c r="DC246" t="s">
        <v>3</v>
      </c>
      <c r="DD246" t="s">
        <v>3</v>
      </c>
      <c r="DE246" t="s">
        <v>3</v>
      </c>
      <c r="DF246" t="s">
        <v>3</v>
      </c>
      <c r="DG246" t="s">
        <v>3</v>
      </c>
      <c r="DH246" t="s">
        <v>3</v>
      </c>
      <c r="DI246" t="s">
        <v>3</v>
      </c>
      <c r="DJ246" t="s">
        <v>3</v>
      </c>
      <c r="DK246" t="s">
        <v>3</v>
      </c>
      <c r="DL246" t="s">
        <v>3</v>
      </c>
      <c r="DM246" t="s">
        <v>3</v>
      </c>
      <c r="DN246">
        <v>0</v>
      </c>
      <c r="DO246">
        <v>0</v>
      </c>
      <c r="DP246">
        <v>1</v>
      </c>
      <c r="DQ246">
        <v>1</v>
      </c>
      <c r="DU246">
        <v>1003</v>
      </c>
      <c r="DV246" t="s">
        <v>20</v>
      </c>
      <c r="DW246" t="s">
        <v>20</v>
      </c>
      <c r="DX246">
        <v>100</v>
      </c>
      <c r="DZ246" t="s">
        <v>3</v>
      </c>
      <c r="EA246" t="s">
        <v>3</v>
      </c>
      <c r="EB246" t="s">
        <v>3</v>
      </c>
      <c r="EC246" t="s">
        <v>3</v>
      </c>
      <c r="EE246">
        <v>1441815344</v>
      </c>
      <c r="EF246">
        <v>1</v>
      </c>
      <c r="EG246" t="s">
        <v>23</v>
      </c>
      <c r="EH246">
        <v>0</v>
      </c>
      <c r="EI246" t="s">
        <v>3</v>
      </c>
      <c r="EJ246">
        <v>4</v>
      </c>
      <c r="EK246">
        <v>0</v>
      </c>
      <c r="EL246" t="s">
        <v>24</v>
      </c>
      <c r="EM246" t="s">
        <v>25</v>
      </c>
      <c r="EO246" t="s">
        <v>3</v>
      </c>
      <c r="EQ246">
        <v>1024</v>
      </c>
      <c r="ER246">
        <v>8080.11</v>
      </c>
      <c r="ES246">
        <v>223.69</v>
      </c>
      <c r="ET246">
        <v>50.7</v>
      </c>
      <c r="EU246">
        <v>0.81</v>
      </c>
      <c r="EV246">
        <v>7805.72</v>
      </c>
      <c r="EW246">
        <v>10.64</v>
      </c>
      <c r="EX246">
        <v>0</v>
      </c>
      <c r="EY246">
        <v>0</v>
      </c>
      <c r="FQ246">
        <v>0</v>
      </c>
      <c r="FR246">
        <f>ROUND(IF(BI246=3,GM246,0),2)</f>
        <v>0</v>
      </c>
      <c r="FS246">
        <v>0</v>
      </c>
      <c r="FX246">
        <v>70</v>
      </c>
      <c r="FY246">
        <v>10</v>
      </c>
      <c r="GA246" t="s">
        <v>3</v>
      </c>
      <c r="GD246">
        <v>0</v>
      </c>
      <c r="GF246">
        <v>279930794</v>
      </c>
      <c r="GG246">
        <v>2</v>
      </c>
      <c r="GH246">
        <v>1</v>
      </c>
      <c r="GI246">
        <v>-2</v>
      </c>
      <c r="GJ246">
        <v>0</v>
      </c>
      <c r="GK246">
        <f>ROUND(R246*(R12)/100,2)</f>
        <v>1.4</v>
      </c>
      <c r="GL246">
        <f>ROUND(IF(AND(BH246=3,BI246=3,FS246&lt;&gt;0),P246,0),2)</f>
        <v>0</v>
      </c>
      <c r="GM246">
        <f>ROUND(O246+X246+Y246+GK246,2)+GX246</f>
        <v>23049.82</v>
      </c>
      <c r="GN246">
        <f>IF(OR(BI246=0,BI246=1),GM246-GX246,0)</f>
        <v>0</v>
      </c>
      <c r="GO246">
        <f>IF(BI246=2,GM246-GX246,0)</f>
        <v>0</v>
      </c>
      <c r="GP246">
        <f>IF(BI246=4,GM246-GX246,0)</f>
        <v>23049.82</v>
      </c>
      <c r="GR246">
        <v>0</v>
      </c>
      <c r="GS246">
        <v>3</v>
      </c>
      <c r="GT246">
        <v>0</v>
      </c>
      <c r="GU246" t="s">
        <v>3</v>
      </c>
      <c r="GV246">
        <f>ROUND((GT246),6)</f>
        <v>0</v>
      </c>
      <c r="GW246">
        <v>1</v>
      </c>
      <c r="GX246">
        <f>ROUND(HC246*I246,2)</f>
        <v>0</v>
      </c>
      <c r="HA246">
        <v>0</v>
      </c>
      <c r="HB246">
        <v>0</v>
      </c>
      <c r="HC246">
        <f>GV246*GW246</f>
        <v>0</v>
      </c>
      <c r="HE246" t="s">
        <v>3</v>
      </c>
      <c r="HF246" t="s">
        <v>3</v>
      </c>
      <c r="HM246" t="s">
        <v>3</v>
      </c>
      <c r="HN246" t="s">
        <v>3</v>
      </c>
      <c r="HO246" t="s">
        <v>3</v>
      </c>
      <c r="HP246" t="s">
        <v>3</v>
      </c>
      <c r="HQ246" t="s">
        <v>3</v>
      </c>
      <c r="IK246">
        <v>0</v>
      </c>
    </row>
    <row r="247" spans="1:245" x14ac:dyDescent="0.2">
      <c r="A247">
        <v>17</v>
      </c>
      <c r="B247">
        <v>1</v>
      </c>
      <c r="D247">
        <f>ROW(EtalonRes!A137)</f>
        <v>137</v>
      </c>
      <c r="E247" t="s">
        <v>3</v>
      </c>
      <c r="F247" t="s">
        <v>231</v>
      </c>
      <c r="G247" t="s">
        <v>232</v>
      </c>
      <c r="H247" t="s">
        <v>20</v>
      </c>
      <c r="I247">
        <f>ROUND((5.1+17.5+11.8+30+0.1+11.1+5+3.2+0.7+6.3+1.5+2+14.5+6.1+0.3+7.3+19.6+18.8)/100,9)</f>
        <v>1.609</v>
      </c>
      <c r="J247">
        <v>0</v>
      </c>
      <c r="K247">
        <f>ROUND((5.1+17.5+11.8+30+0.1+11.1+5+3.2+0.7+6.3+1.5+2+14.5+6.1+0.3+7.3+19.6+18.8)/100,9)</f>
        <v>1.609</v>
      </c>
      <c r="O247">
        <f>ROUND(CP247,2)</f>
        <v>4037</v>
      </c>
      <c r="P247">
        <f>ROUND(CQ247*I247,2)</f>
        <v>326.31</v>
      </c>
      <c r="Q247">
        <f>ROUND(CR247*I247,2)</f>
        <v>37.83</v>
      </c>
      <c r="R247">
        <f>ROUND(CS247*I247,2)</f>
        <v>0.11</v>
      </c>
      <c r="S247">
        <f>ROUND(CT247*I247,2)</f>
        <v>3672.86</v>
      </c>
      <c r="T247">
        <f>ROUND(CU247*I247,2)</f>
        <v>0</v>
      </c>
      <c r="U247">
        <f>CV247*I247</f>
        <v>5.5349599999999999</v>
      </c>
      <c r="V247">
        <f>CW247*I247</f>
        <v>0</v>
      </c>
      <c r="W247">
        <f>ROUND(CX247*I247,2)</f>
        <v>0</v>
      </c>
      <c r="X247">
        <f t="shared" si="188"/>
        <v>2571</v>
      </c>
      <c r="Y247">
        <f t="shared" si="188"/>
        <v>367.29</v>
      </c>
      <c r="AA247">
        <v>-1</v>
      </c>
      <c r="AB247">
        <f>ROUND((AC247+AD247+AF247),6)</f>
        <v>2509.0100000000002</v>
      </c>
      <c r="AC247">
        <f>ROUND((ES247),6)</f>
        <v>202.8</v>
      </c>
      <c r="AD247">
        <f>ROUND((((ET247)-(EU247))+AE247),6)</f>
        <v>23.51</v>
      </c>
      <c r="AE247">
        <f>ROUND((EU247),6)</f>
        <v>7.0000000000000007E-2</v>
      </c>
      <c r="AF247">
        <f>ROUND((EV247),6)</f>
        <v>2282.6999999999998</v>
      </c>
      <c r="AG247">
        <f>ROUND((AP247),6)</f>
        <v>0</v>
      </c>
      <c r="AH247">
        <f>(EW247)</f>
        <v>3.44</v>
      </c>
      <c r="AI247">
        <f>(EX247)</f>
        <v>0</v>
      </c>
      <c r="AJ247">
        <f>(AS247)</f>
        <v>0</v>
      </c>
      <c r="AK247">
        <v>2509.0100000000002</v>
      </c>
      <c r="AL247">
        <v>202.8</v>
      </c>
      <c r="AM247">
        <v>23.51</v>
      </c>
      <c r="AN247">
        <v>7.0000000000000007E-2</v>
      </c>
      <c r="AO247">
        <v>2282.6999999999998</v>
      </c>
      <c r="AP247">
        <v>0</v>
      </c>
      <c r="AQ247">
        <v>3.44</v>
      </c>
      <c r="AR247">
        <v>0</v>
      </c>
      <c r="AS247">
        <v>0</v>
      </c>
      <c r="AT247">
        <v>70</v>
      </c>
      <c r="AU247">
        <v>10</v>
      </c>
      <c r="AV247">
        <v>1</v>
      </c>
      <c r="AW247">
        <v>1</v>
      </c>
      <c r="AZ247">
        <v>1</v>
      </c>
      <c r="BA247">
        <v>1</v>
      </c>
      <c r="BB247">
        <v>1</v>
      </c>
      <c r="BC247">
        <v>1</v>
      </c>
      <c r="BD247" t="s">
        <v>3</v>
      </c>
      <c r="BE247" t="s">
        <v>3</v>
      </c>
      <c r="BF247" t="s">
        <v>3</v>
      </c>
      <c r="BG247" t="s">
        <v>3</v>
      </c>
      <c r="BH247">
        <v>0</v>
      </c>
      <c r="BI247">
        <v>4</v>
      </c>
      <c r="BJ247" t="s">
        <v>233</v>
      </c>
      <c r="BM247">
        <v>0</v>
      </c>
      <c r="BN247">
        <v>0</v>
      </c>
      <c r="BO247" t="s">
        <v>3</v>
      </c>
      <c r="BP247">
        <v>0</v>
      </c>
      <c r="BQ247">
        <v>1</v>
      </c>
      <c r="BR247">
        <v>0</v>
      </c>
      <c r="BS247">
        <v>1</v>
      </c>
      <c r="BT247">
        <v>1</v>
      </c>
      <c r="BU247">
        <v>1</v>
      </c>
      <c r="BV247">
        <v>1</v>
      </c>
      <c r="BW247">
        <v>1</v>
      </c>
      <c r="BX247">
        <v>1</v>
      </c>
      <c r="BY247" t="s">
        <v>3</v>
      </c>
      <c r="BZ247">
        <v>70</v>
      </c>
      <c r="CA247">
        <v>10</v>
      </c>
      <c r="CB247" t="s">
        <v>3</v>
      </c>
      <c r="CE247">
        <v>0</v>
      </c>
      <c r="CF247">
        <v>0</v>
      </c>
      <c r="CG247">
        <v>0</v>
      </c>
      <c r="CM247">
        <v>0</v>
      </c>
      <c r="CN247" t="s">
        <v>3</v>
      </c>
      <c r="CO247">
        <v>0</v>
      </c>
      <c r="CP247">
        <f>(P247+Q247+S247)</f>
        <v>4037</v>
      </c>
      <c r="CQ247">
        <f>(AC247*BC247*AW247)</f>
        <v>202.8</v>
      </c>
      <c r="CR247">
        <f>((((ET247)*BB247-(EU247)*BS247)+AE247*BS247)*AV247)</f>
        <v>23.51</v>
      </c>
      <c r="CS247">
        <f>(AE247*BS247*AV247)</f>
        <v>7.0000000000000007E-2</v>
      </c>
      <c r="CT247">
        <f>(AF247*BA247*AV247)</f>
        <v>2282.6999999999998</v>
      </c>
      <c r="CU247">
        <f>AG247</f>
        <v>0</v>
      </c>
      <c r="CV247">
        <f>(AH247*AV247)</f>
        <v>3.44</v>
      </c>
      <c r="CW247">
        <f t="shared" si="189"/>
        <v>0</v>
      </c>
      <c r="CX247">
        <f t="shared" si="189"/>
        <v>0</v>
      </c>
      <c r="CY247">
        <f>((S247*BZ247)/100)</f>
        <v>2571.002</v>
      </c>
      <c r="CZ247">
        <f>((S247*CA247)/100)</f>
        <v>367.286</v>
      </c>
      <c r="DC247" t="s">
        <v>3</v>
      </c>
      <c r="DD247" t="s">
        <v>3</v>
      </c>
      <c r="DE247" t="s">
        <v>3</v>
      </c>
      <c r="DF247" t="s">
        <v>3</v>
      </c>
      <c r="DG247" t="s">
        <v>3</v>
      </c>
      <c r="DH247" t="s">
        <v>3</v>
      </c>
      <c r="DI247" t="s">
        <v>3</v>
      </c>
      <c r="DJ247" t="s">
        <v>3</v>
      </c>
      <c r="DK247" t="s">
        <v>3</v>
      </c>
      <c r="DL247" t="s">
        <v>3</v>
      </c>
      <c r="DM247" t="s">
        <v>3</v>
      </c>
      <c r="DN247">
        <v>0</v>
      </c>
      <c r="DO247">
        <v>0</v>
      </c>
      <c r="DP247">
        <v>1</v>
      </c>
      <c r="DQ247">
        <v>1</v>
      </c>
      <c r="DU247">
        <v>1003</v>
      </c>
      <c r="DV247" t="s">
        <v>20</v>
      </c>
      <c r="DW247" t="s">
        <v>20</v>
      </c>
      <c r="DX247">
        <v>100</v>
      </c>
      <c r="DZ247" t="s">
        <v>3</v>
      </c>
      <c r="EA247" t="s">
        <v>3</v>
      </c>
      <c r="EB247" t="s">
        <v>3</v>
      </c>
      <c r="EC247" t="s">
        <v>3</v>
      </c>
      <c r="EE247">
        <v>1441815344</v>
      </c>
      <c r="EF247">
        <v>1</v>
      </c>
      <c r="EG247" t="s">
        <v>23</v>
      </c>
      <c r="EH247">
        <v>0</v>
      </c>
      <c r="EI247" t="s">
        <v>3</v>
      </c>
      <c r="EJ247">
        <v>4</v>
      </c>
      <c r="EK247">
        <v>0</v>
      </c>
      <c r="EL247" t="s">
        <v>24</v>
      </c>
      <c r="EM247" t="s">
        <v>25</v>
      </c>
      <c r="EO247" t="s">
        <v>3</v>
      </c>
      <c r="EQ247">
        <v>1024</v>
      </c>
      <c r="ER247">
        <v>2509.0100000000002</v>
      </c>
      <c r="ES247">
        <v>202.8</v>
      </c>
      <c r="ET247">
        <v>23.51</v>
      </c>
      <c r="EU247">
        <v>7.0000000000000007E-2</v>
      </c>
      <c r="EV247">
        <v>2282.6999999999998</v>
      </c>
      <c r="EW247">
        <v>3.44</v>
      </c>
      <c r="EX247">
        <v>0</v>
      </c>
      <c r="EY247">
        <v>0</v>
      </c>
      <c r="FQ247">
        <v>0</v>
      </c>
      <c r="FR247">
        <f>ROUND(IF(BI247=3,GM247,0),2)</f>
        <v>0</v>
      </c>
      <c r="FS247">
        <v>0</v>
      </c>
      <c r="FX247">
        <v>70</v>
      </c>
      <c r="FY247">
        <v>10</v>
      </c>
      <c r="GA247" t="s">
        <v>3</v>
      </c>
      <c r="GD247">
        <v>0</v>
      </c>
      <c r="GF247">
        <v>-1929809553</v>
      </c>
      <c r="GG247">
        <v>2</v>
      </c>
      <c r="GH247">
        <v>1</v>
      </c>
      <c r="GI247">
        <v>-2</v>
      </c>
      <c r="GJ247">
        <v>0</v>
      </c>
      <c r="GK247">
        <f>ROUND(R247*(R12)/100,2)</f>
        <v>0.12</v>
      </c>
      <c r="GL247">
        <f>ROUND(IF(AND(BH247=3,BI247=3,FS247&lt;&gt;0),P247,0),2)</f>
        <v>0</v>
      </c>
      <c r="GM247">
        <f>ROUND(O247+X247+Y247+GK247,2)+GX247</f>
        <v>6975.41</v>
      </c>
      <c r="GN247">
        <f>IF(OR(BI247=0,BI247=1),GM247-GX247,0)</f>
        <v>0</v>
      </c>
      <c r="GO247">
        <f>IF(BI247=2,GM247-GX247,0)</f>
        <v>0</v>
      </c>
      <c r="GP247">
        <f>IF(BI247=4,GM247-GX247,0)</f>
        <v>6975.41</v>
      </c>
      <c r="GR247">
        <v>0</v>
      </c>
      <c r="GS247">
        <v>3</v>
      </c>
      <c r="GT247">
        <v>0</v>
      </c>
      <c r="GU247" t="s">
        <v>3</v>
      </c>
      <c r="GV247">
        <f>ROUND((GT247),6)</f>
        <v>0</v>
      </c>
      <c r="GW247">
        <v>1</v>
      </c>
      <c r="GX247">
        <f>ROUND(HC247*I247,2)</f>
        <v>0</v>
      </c>
      <c r="HA247">
        <v>0</v>
      </c>
      <c r="HB247">
        <v>0</v>
      </c>
      <c r="HC247">
        <f>GV247*GW247</f>
        <v>0</v>
      </c>
      <c r="HE247" t="s">
        <v>3</v>
      </c>
      <c r="HF247" t="s">
        <v>3</v>
      </c>
      <c r="HM247" t="s">
        <v>3</v>
      </c>
      <c r="HN247" t="s">
        <v>3</v>
      </c>
      <c r="HO247" t="s">
        <v>3</v>
      </c>
      <c r="HP247" t="s">
        <v>3</v>
      </c>
      <c r="HQ247" t="s">
        <v>3</v>
      </c>
      <c r="IK247">
        <v>0</v>
      </c>
    </row>
    <row r="248" spans="1:245" x14ac:dyDescent="0.2">
      <c r="A248">
        <v>19</v>
      </c>
      <c r="B248">
        <v>1</v>
      </c>
      <c r="F248" t="s">
        <v>3</v>
      </c>
      <c r="G248" t="s">
        <v>43</v>
      </c>
      <c r="H248" t="s">
        <v>3</v>
      </c>
      <c r="AA248">
        <v>1</v>
      </c>
      <c r="IK248">
        <v>0</v>
      </c>
    </row>
    <row r="249" spans="1:245" x14ac:dyDescent="0.2">
      <c r="A249">
        <v>17</v>
      </c>
      <c r="B249">
        <v>1</v>
      </c>
      <c r="D249">
        <f>ROW(EtalonRes!A138)</f>
        <v>138</v>
      </c>
      <c r="E249" t="s">
        <v>3</v>
      </c>
      <c r="F249" t="s">
        <v>18</v>
      </c>
      <c r="G249" t="s">
        <v>19</v>
      </c>
      <c r="H249" t="s">
        <v>20</v>
      </c>
      <c r="I249">
        <f>ROUND(ROUND((6+24.8+12.8+17.7+13.1+4.2+3.6+0.7+4.6+7.5+7.3+9.4+3+0.3+6.1+9+19.9)*0.25*0.1/100,9),9)</f>
        <v>3.7499999999999999E-2</v>
      </c>
      <c r="J249">
        <v>0</v>
      </c>
      <c r="K249">
        <f>ROUND(ROUND((6+24.8+12.8+17.7+13.1+4.2+3.6+0.7+4.6+7.5+7.3+9.4+3+0.3+6.1+9+19.9)*0.25*0.1/100,9),9)</f>
        <v>3.7499999999999999E-2</v>
      </c>
      <c r="O249">
        <f>ROUND(CP249,2)</f>
        <v>75.89</v>
      </c>
      <c r="P249">
        <f>ROUND(CQ249*I249,2)</f>
        <v>0</v>
      </c>
      <c r="Q249">
        <f>ROUND(CR249*I249,2)</f>
        <v>0</v>
      </c>
      <c r="R249">
        <f>ROUND(CS249*I249,2)</f>
        <v>0</v>
      </c>
      <c r="S249">
        <f>ROUND(CT249*I249,2)</f>
        <v>75.89</v>
      </c>
      <c r="T249">
        <f>ROUND(CU249*I249,2)</f>
        <v>0</v>
      </c>
      <c r="U249">
        <f>CV249*I249</f>
        <v>0.13500000000000001</v>
      </c>
      <c r="V249">
        <f>CW249*I249</f>
        <v>0</v>
      </c>
      <c r="W249">
        <f>ROUND(CX249*I249,2)</f>
        <v>0</v>
      </c>
      <c r="X249">
        <f t="shared" ref="X249:Y252" si="190">ROUND(CY249,2)</f>
        <v>53.12</v>
      </c>
      <c r="Y249">
        <f t="shared" si="190"/>
        <v>7.59</v>
      </c>
      <c r="AA249">
        <v>-1</v>
      </c>
      <c r="AB249">
        <f>ROUND((AC249+AD249+AF249),6)</f>
        <v>2023.8</v>
      </c>
      <c r="AC249">
        <f>ROUND(((ES249*4)),6)</f>
        <v>0</v>
      </c>
      <c r="AD249">
        <f>ROUND(((((ET249*4))-((EU249*4)))+AE249),6)</f>
        <v>0</v>
      </c>
      <c r="AE249">
        <f>ROUND(((EU249*4)),6)</f>
        <v>0</v>
      </c>
      <c r="AF249">
        <f>ROUND(((EV249*4)),6)</f>
        <v>2023.8</v>
      </c>
      <c r="AG249">
        <f>ROUND((AP249),6)</f>
        <v>0</v>
      </c>
      <c r="AH249">
        <f>((EW249*4))</f>
        <v>3.6</v>
      </c>
      <c r="AI249">
        <f>((EX249*4))</f>
        <v>0</v>
      </c>
      <c r="AJ249">
        <f>(AS249)</f>
        <v>0</v>
      </c>
      <c r="AK249">
        <v>505.95</v>
      </c>
      <c r="AL249">
        <v>0</v>
      </c>
      <c r="AM249">
        <v>0</v>
      </c>
      <c r="AN249">
        <v>0</v>
      </c>
      <c r="AO249">
        <v>505.95</v>
      </c>
      <c r="AP249">
        <v>0</v>
      </c>
      <c r="AQ249">
        <v>0.9</v>
      </c>
      <c r="AR249">
        <v>0</v>
      </c>
      <c r="AS249">
        <v>0</v>
      </c>
      <c r="AT249">
        <v>70</v>
      </c>
      <c r="AU249">
        <v>10</v>
      </c>
      <c r="AV249">
        <v>1</v>
      </c>
      <c r="AW249">
        <v>1</v>
      </c>
      <c r="AZ249">
        <v>1</v>
      </c>
      <c r="BA249">
        <v>1</v>
      </c>
      <c r="BB249">
        <v>1</v>
      </c>
      <c r="BC249">
        <v>1</v>
      </c>
      <c r="BD249" t="s">
        <v>3</v>
      </c>
      <c r="BE249" t="s">
        <v>3</v>
      </c>
      <c r="BF249" t="s">
        <v>3</v>
      </c>
      <c r="BG249" t="s">
        <v>3</v>
      </c>
      <c r="BH249">
        <v>0</v>
      </c>
      <c r="BI249">
        <v>4</v>
      </c>
      <c r="BJ249" t="s">
        <v>21</v>
      </c>
      <c r="BM249">
        <v>0</v>
      </c>
      <c r="BN249">
        <v>0</v>
      </c>
      <c r="BO249" t="s">
        <v>3</v>
      </c>
      <c r="BP249">
        <v>0</v>
      </c>
      <c r="BQ249">
        <v>1</v>
      </c>
      <c r="BR249">
        <v>0</v>
      </c>
      <c r="BS249">
        <v>1</v>
      </c>
      <c r="BT249">
        <v>1</v>
      </c>
      <c r="BU249">
        <v>1</v>
      </c>
      <c r="BV249">
        <v>1</v>
      </c>
      <c r="BW249">
        <v>1</v>
      </c>
      <c r="BX249">
        <v>1</v>
      </c>
      <c r="BY249" t="s">
        <v>3</v>
      </c>
      <c r="BZ249">
        <v>70</v>
      </c>
      <c r="CA249">
        <v>10</v>
      </c>
      <c r="CB249" t="s">
        <v>3</v>
      </c>
      <c r="CE249">
        <v>0</v>
      </c>
      <c r="CF249">
        <v>0</v>
      </c>
      <c r="CG249">
        <v>0</v>
      </c>
      <c r="CM249">
        <v>0</v>
      </c>
      <c r="CN249" t="s">
        <v>3</v>
      </c>
      <c r="CO249">
        <v>0</v>
      </c>
      <c r="CP249">
        <f>(P249+Q249+S249)</f>
        <v>75.89</v>
      </c>
      <c r="CQ249">
        <f>(AC249*BC249*AW249)</f>
        <v>0</v>
      </c>
      <c r="CR249">
        <f>(((((ET249*4))*BB249-((EU249*4))*BS249)+AE249*BS249)*AV249)</f>
        <v>0</v>
      </c>
      <c r="CS249">
        <f>(AE249*BS249*AV249)</f>
        <v>0</v>
      </c>
      <c r="CT249">
        <f>(AF249*BA249*AV249)</f>
        <v>2023.8</v>
      </c>
      <c r="CU249">
        <f>AG249</f>
        <v>0</v>
      </c>
      <c r="CV249">
        <f>(AH249*AV249)</f>
        <v>3.6</v>
      </c>
      <c r="CW249">
        <f t="shared" ref="CW249:CX252" si="191">AI249</f>
        <v>0</v>
      </c>
      <c r="CX249">
        <f t="shared" si="191"/>
        <v>0</v>
      </c>
      <c r="CY249">
        <f>((S249*BZ249)/100)</f>
        <v>53.123000000000005</v>
      </c>
      <c r="CZ249">
        <f>((S249*CA249)/100)</f>
        <v>7.5889999999999995</v>
      </c>
      <c r="DC249" t="s">
        <v>3</v>
      </c>
      <c r="DD249" t="s">
        <v>22</v>
      </c>
      <c r="DE249" t="s">
        <v>22</v>
      </c>
      <c r="DF249" t="s">
        <v>22</v>
      </c>
      <c r="DG249" t="s">
        <v>22</v>
      </c>
      <c r="DH249" t="s">
        <v>3</v>
      </c>
      <c r="DI249" t="s">
        <v>22</v>
      </c>
      <c r="DJ249" t="s">
        <v>22</v>
      </c>
      <c r="DK249" t="s">
        <v>3</v>
      </c>
      <c r="DL249" t="s">
        <v>3</v>
      </c>
      <c r="DM249" t="s">
        <v>3</v>
      </c>
      <c r="DN249">
        <v>0</v>
      </c>
      <c r="DO249">
        <v>0</v>
      </c>
      <c r="DP249">
        <v>1</v>
      </c>
      <c r="DQ249">
        <v>1</v>
      </c>
      <c r="DU249">
        <v>1003</v>
      </c>
      <c r="DV249" t="s">
        <v>20</v>
      </c>
      <c r="DW249" t="s">
        <v>20</v>
      </c>
      <c r="DX249">
        <v>100</v>
      </c>
      <c r="DZ249" t="s">
        <v>3</v>
      </c>
      <c r="EA249" t="s">
        <v>3</v>
      </c>
      <c r="EB249" t="s">
        <v>3</v>
      </c>
      <c r="EC249" t="s">
        <v>3</v>
      </c>
      <c r="EE249">
        <v>1441815344</v>
      </c>
      <c r="EF249">
        <v>1</v>
      </c>
      <c r="EG249" t="s">
        <v>23</v>
      </c>
      <c r="EH249">
        <v>0</v>
      </c>
      <c r="EI249" t="s">
        <v>3</v>
      </c>
      <c r="EJ249">
        <v>4</v>
      </c>
      <c r="EK249">
        <v>0</v>
      </c>
      <c r="EL249" t="s">
        <v>24</v>
      </c>
      <c r="EM249" t="s">
        <v>25</v>
      </c>
      <c r="EO249" t="s">
        <v>3</v>
      </c>
      <c r="EQ249">
        <v>1024</v>
      </c>
      <c r="ER249">
        <v>505.95</v>
      </c>
      <c r="ES249">
        <v>0</v>
      </c>
      <c r="ET249">
        <v>0</v>
      </c>
      <c r="EU249">
        <v>0</v>
      </c>
      <c r="EV249">
        <v>505.95</v>
      </c>
      <c r="EW249">
        <v>0.9</v>
      </c>
      <c r="EX249">
        <v>0</v>
      </c>
      <c r="EY249">
        <v>0</v>
      </c>
      <c r="FQ249">
        <v>0</v>
      </c>
      <c r="FR249">
        <f>ROUND(IF(BI249=3,GM249,0),2)</f>
        <v>0</v>
      </c>
      <c r="FS249">
        <v>0</v>
      </c>
      <c r="FX249">
        <v>70</v>
      </c>
      <c r="FY249">
        <v>10</v>
      </c>
      <c r="GA249" t="s">
        <v>3</v>
      </c>
      <c r="GD249">
        <v>0</v>
      </c>
      <c r="GF249">
        <v>-341239612</v>
      </c>
      <c r="GG249">
        <v>2</v>
      </c>
      <c r="GH249">
        <v>1</v>
      </c>
      <c r="GI249">
        <v>-2</v>
      </c>
      <c r="GJ249">
        <v>0</v>
      </c>
      <c r="GK249">
        <f>ROUND(R249*(R12)/100,2)</f>
        <v>0</v>
      </c>
      <c r="GL249">
        <f>ROUND(IF(AND(BH249=3,BI249=3,FS249&lt;&gt;0),P249,0),2)</f>
        <v>0</v>
      </c>
      <c r="GM249">
        <f>ROUND(O249+X249+Y249+GK249,2)+GX249</f>
        <v>136.6</v>
      </c>
      <c r="GN249">
        <f>IF(OR(BI249=0,BI249=1),GM249-GX249,0)</f>
        <v>0</v>
      </c>
      <c r="GO249">
        <f>IF(BI249=2,GM249-GX249,0)</f>
        <v>0</v>
      </c>
      <c r="GP249">
        <f>IF(BI249=4,GM249-GX249,0)</f>
        <v>136.6</v>
      </c>
      <c r="GR249">
        <v>0</v>
      </c>
      <c r="GS249">
        <v>3</v>
      </c>
      <c r="GT249">
        <v>0</v>
      </c>
      <c r="GU249" t="s">
        <v>3</v>
      </c>
      <c r="GV249">
        <f>ROUND((GT249),6)</f>
        <v>0</v>
      </c>
      <c r="GW249">
        <v>1</v>
      </c>
      <c r="GX249">
        <f>ROUND(HC249*I249,2)</f>
        <v>0</v>
      </c>
      <c r="HA249">
        <v>0</v>
      </c>
      <c r="HB249">
        <v>0</v>
      </c>
      <c r="HC249">
        <f>GV249*GW249</f>
        <v>0</v>
      </c>
      <c r="HE249" t="s">
        <v>3</v>
      </c>
      <c r="HF249" t="s">
        <v>3</v>
      </c>
      <c r="HM249" t="s">
        <v>3</v>
      </c>
      <c r="HN249" t="s">
        <v>3</v>
      </c>
      <c r="HO249" t="s">
        <v>3</v>
      </c>
      <c r="HP249" t="s">
        <v>3</v>
      </c>
      <c r="HQ249" t="s">
        <v>3</v>
      </c>
      <c r="IK249">
        <v>0</v>
      </c>
    </row>
    <row r="250" spans="1:245" x14ac:dyDescent="0.2">
      <c r="A250">
        <v>17</v>
      </c>
      <c r="B250">
        <v>1</v>
      </c>
      <c r="D250">
        <f>ROW(EtalonRes!A139)</f>
        <v>139</v>
      </c>
      <c r="E250" t="s">
        <v>3</v>
      </c>
      <c r="F250" t="s">
        <v>225</v>
      </c>
      <c r="G250" t="s">
        <v>226</v>
      </c>
      <c r="H250" t="s">
        <v>20</v>
      </c>
      <c r="I250">
        <f>ROUND(ROUND((6+24.8+12.8+17.7+13.1+4.2+3.6+0.7+4.6+7.5+7.3+9.4+3+0.3+6.1+9+19.9)*0.75*0.1/100,9),9)</f>
        <v>0.1125</v>
      </c>
      <c r="J250">
        <v>0</v>
      </c>
      <c r="K250">
        <f>ROUND(ROUND((6+24.8+12.8+17.7+13.1+4.2+3.6+0.7+4.6+7.5+7.3+9.4+3+0.3+6.1+9+19.9)*0.75*0.1/100,9),9)</f>
        <v>0.1125</v>
      </c>
      <c r="O250">
        <f>ROUND(CP250,2)</f>
        <v>667.86</v>
      </c>
      <c r="P250">
        <f>ROUND(CQ250*I250,2)</f>
        <v>0</v>
      </c>
      <c r="Q250">
        <f>ROUND(CR250*I250,2)</f>
        <v>0</v>
      </c>
      <c r="R250">
        <f>ROUND(CS250*I250,2)</f>
        <v>0</v>
      </c>
      <c r="S250">
        <f>ROUND(CT250*I250,2)</f>
        <v>667.86</v>
      </c>
      <c r="T250">
        <f>ROUND(CU250*I250,2)</f>
        <v>0</v>
      </c>
      <c r="U250">
        <f>CV250*I250</f>
        <v>1.1880000000000002</v>
      </c>
      <c r="V250">
        <f>CW250*I250</f>
        <v>0</v>
      </c>
      <c r="W250">
        <f>ROUND(CX250*I250,2)</f>
        <v>0</v>
      </c>
      <c r="X250">
        <f t="shared" si="190"/>
        <v>467.5</v>
      </c>
      <c r="Y250">
        <f t="shared" si="190"/>
        <v>66.790000000000006</v>
      </c>
      <c r="AA250">
        <v>-1</v>
      </c>
      <c r="AB250">
        <f>ROUND((AC250+AD250+AF250),6)</f>
        <v>5936.52</v>
      </c>
      <c r="AC250">
        <f>ROUND(((ES250*4)),6)</f>
        <v>0</v>
      </c>
      <c r="AD250">
        <f>ROUND(((((ET250*4))-((EU250*4)))+AE250),6)</f>
        <v>0</v>
      </c>
      <c r="AE250">
        <f>ROUND(((EU250*4)),6)</f>
        <v>0</v>
      </c>
      <c r="AF250">
        <f>ROUND(((EV250*4)),6)</f>
        <v>5936.52</v>
      </c>
      <c r="AG250">
        <f>ROUND((AP250),6)</f>
        <v>0</v>
      </c>
      <c r="AH250">
        <f>((EW250*4))</f>
        <v>10.56</v>
      </c>
      <c r="AI250">
        <f>((EX250*4))</f>
        <v>0</v>
      </c>
      <c r="AJ250">
        <f>(AS250)</f>
        <v>0</v>
      </c>
      <c r="AK250">
        <v>1484.13</v>
      </c>
      <c r="AL250">
        <v>0</v>
      </c>
      <c r="AM250">
        <v>0</v>
      </c>
      <c r="AN250">
        <v>0</v>
      </c>
      <c r="AO250">
        <v>1484.13</v>
      </c>
      <c r="AP250">
        <v>0</v>
      </c>
      <c r="AQ250">
        <v>2.64</v>
      </c>
      <c r="AR250">
        <v>0</v>
      </c>
      <c r="AS250">
        <v>0</v>
      </c>
      <c r="AT250">
        <v>70</v>
      </c>
      <c r="AU250">
        <v>10</v>
      </c>
      <c r="AV250">
        <v>1</v>
      </c>
      <c r="AW250">
        <v>1</v>
      </c>
      <c r="AZ250">
        <v>1</v>
      </c>
      <c r="BA250">
        <v>1</v>
      </c>
      <c r="BB250">
        <v>1</v>
      </c>
      <c r="BC250">
        <v>1</v>
      </c>
      <c r="BD250" t="s">
        <v>3</v>
      </c>
      <c r="BE250" t="s">
        <v>3</v>
      </c>
      <c r="BF250" t="s">
        <v>3</v>
      </c>
      <c r="BG250" t="s">
        <v>3</v>
      </c>
      <c r="BH250">
        <v>0</v>
      </c>
      <c r="BI250">
        <v>4</v>
      </c>
      <c r="BJ250" t="s">
        <v>227</v>
      </c>
      <c r="BM250">
        <v>0</v>
      </c>
      <c r="BN250">
        <v>0</v>
      </c>
      <c r="BO250" t="s">
        <v>3</v>
      </c>
      <c r="BP250">
        <v>0</v>
      </c>
      <c r="BQ250">
        <v>1</v>
      </c>
      <c r="BR250">
        <v>0</v>
      </c>
      <c r="BS250">
        <v>1</v>
      </c>
      <c r="BT250">
        <v>1</v>
      </c>
      <c r="BU250">
        <v>1</v>
      </c>
      <c r="BV250">
        <v>1</v>
      </c>
      <c r="BW250">
        <v>1</v>
      </c>
      <c r="BX250">
        <v>1</v>
      </c>
      <c r="BY250" t="s">
        <v>3</v>
      </c>
      <c r="BZ250">
        <v>70</v>
      </c>
      <c r="CA250">
        <v>10</v>
      </c>
      <c r="CB250" t="s">
        <v>3</v>
      </c>
      <c r="CE250">
        <v>0</v>
      </c>
      <c r="CF250">
        <v>0</v>
      </c>
      <c r="CG250">
        <v>0</v>
      </c>
      <c r="CM250">
        <v>0</v>
      </c>
      <c r="CN250" t="s">
        <v>3</v>
      </c>
      <c r="CO250">
        <v>0</v>
      </c>
      <c r="CP250">
        <f>(P250+Q250+S250)</f>
        <v>667.86</v>
      </c>
      <c r="CQ250">
        <f>(AC250*BC250*AW250)</f>
        <v>0</v>
      </c>
      <c r="CR250">
        <f>(((((ET250*4))*BB250-((EU250*4))*BS250)+AE250*BS250)*AV250)</f>
        <v>0</v>
      </c>
      <c r="CS250">
        <f>(AE250*BS250*AV250)</f>
        <v>0</v>
      </c>
      <c r="CT250">
        <f>(AF250*BA250*AV250)</f>
        <v>5936.52</v>
      </c>
      <c r="CU250">
        <f>AG250</f>
        <v>0</v>
      </c>
      <c r="CV250">
        <f>(AH250*AV250)</f>
        <v>10.56</v>
      </c>
      <c r="CW250">
        <f t="shared" si="191"/>
        <v>0</v>
      </c>
      <c r="CX250">
        <f t="shared" si="191"/>
        <v>0</v>
      </c>
      <c r="CY250">
        <f>((S250*BZ250)/100)</f>
        <v>467.50200000000007</v>
      </c>
      <c r="CZ250">
        <f>((S250*CA250)/100)</f>
        <v>66.786000000000001</v>
      </c>
      <c r="DC250" t="s">
        <v>3</v>
      </c>
      <c r="DD250" t="s">
        <v>22</v>
      </c>
      <c r="DE250" t="s">
        <v>22</v>
      </c>
      <c r="DF250" t="s">
        <v>22</v>
      </c>
      <c r="DG250" t="s">
        <v>22</v>
      </c>
      <c r="DH250" t="s">
        <v>3</v>
      </c>
      <c r="DI250" t="s">
        <v>22</v>
      </c>
      <c r="DJ250" t="s">
        <v>22</v>
      </c>
      <c r="DK250" t="s">
        <v>3</v>
      </c>
      <c r="DL250" t="s">
        <v>3</v>
      </c>
      <c r="DM250" t="s">
        <v>3</v>
      </c>
      <c r="DN250">
        <v>0</v>
      </c>
      <c r="DO250">
        <v>0</v>
      </c>
      <c r="DP250">
        <v>1</v>
      </c>
      <c r="DQ250">
        <v>1</v>
      </c>
      <c r="DU250">
        <v>1003</v>
      </c>
      <c r="DV250" t="s">
        <v>20</v>
      </c>
      <c r="DW250" t="s">
        <v>20</v>
      </c>
      <c r="DX250">
        <v>100</v>
      </c>
      <c r="DZ250" t="s">
        <v>3</v>
      </c>
      <c r="EA250" t="s">
        <v>3</v>
      </c>
      <c r="EB250" t="s">
        <v>3</v>
      </c>
      <c r="EC250" t="s">
        <v>3</v>
      </c>
      <c r="EE250">
        <v>1441815344</v>
      </c>
      <c r="EF250">
        <v>1</v>
      </c>
      <c r="EG250" t="s">
        <v>23</v>
      </c>
      <c r="EH250">
        <v>0</v>
      </c>
      <c r="EI250" t="s">
        <v>3</v>
      </c>
      <c r="EJ250">
        <v>4</v>
      </c>
      <c r="EK250">
        <v>0</v>
      </c>
      <c r="EL250" t="s">
        <v>24</v>
      </c>
      <c r="EM250" t="s">
        <v>25</v>
      </c>
      <c r="EO250" t="s">
        <v>3</v>
      </c>
      <c r="EQ250">
        <v>1024</v>
      </c>
      <c r="ER250">
        <v>1484.13</v>
      </c>
      <c r="ES250">
        <v>0</v>
      </c>
      <c r="ET250">
        <v>0</v>
      </c>
      <c r="EU250">
        <v>0</v>
      </c>
      <c r="EV250">
        <v>1484.13</v>
      </c>
      <c r="EW250">
        <v>2.64</v>
      </c>
      <c r="EX250">
        <v>0</v>
      </c>
      <c r="EY250">
        <v>0</v>
      </c>
      <c r="FQ250">
        <v>0</v>
      </c>
      <c r="FR250">
        <f>ROUND(IF(BI250=3,GM250,0),2)</f>
        <v>0</v>
      </c>
      <c r="FS250">
        <v>0</v>
      </c>
      <c r="FX250">
        <v>70</v>
      </c>
      <c r="FY250">
        <v>10</v>
      </c>
      <c r="GA250" t="s">
        <v>3</v>
      </c>
      <c r="GD250">
        <v>0</v>
      </c>
      <c r="GF250">
        <v>1802126441</v>
      </c>
      <c r="GG250">
        <v>2</v>
      </c>
      <c r="GH250">
        <v>1</v>
      </c>
      <c r="GI250">
        <v>-2</v>
      </c>
      <c r="GJ250">
        <v>0</v>
      </c>
      <c r="GK250">
        <f>ROUND(R250*(R12)/100,2)</f>
        <v>0</v>
      </c>
      <c r="GL250">
        <f>ROUND(IF(AND(BH250=3,BI250=3,FS250&lt;&gt;0),P250,0),2)</f>
        <v>0</v>
      </c>
      <c r="GM250">
        <f>ROUND(O250+X250+Y250+GK250,2)+GX250</f>
        <v>1202.1500000000001</v>
      </c>
      <c r="GN250">
        <f>IF(OR(BI250=0,BI250=1),GM250-GX250,0)</f>
        <v>0</v>
      </c>
      <c r="GO250">
        <f>IF(BI250=2,GM250-GX250,0)</f>
        <v>0</v>
      </c>
      <c r="GP250">
        <f>IF(BI250=4,GM250-GX250,0)</f>
        <v>1202.1500000000001</v>
      </c>
      <c r="GR250">
        <v>0</v>
      </c>
      <c r="GS250">
        <v>3</v>
      </c>
      <c r="GT250">
        <v>0</v>
      </c>
      <c r="GU250" t="s">
        <v>3</v>
      </c>
      <c r="GV250">
        <f>ROUND((GT250),6)</f>
        <v>0</v>
      </c>
      <c r="GW250">
        <v>1</v>
      </c>
      <c r="GX250">
        <f>ROUND(HC250*I250,2)</f>
        <v>0</v>
      </c>
      <c r="HA250">
        <v>0</v>
      </c>
      <c r="HB250">
        <v>0</v>
      </c>
      <c r="HC250">
        <f>GV250*GW250</f>
        <v>0</v>
      </c>
      <c r="HE250" t="s">
        <v>3</v>
      </c>
      <c r="HF250" t="s">
        <v>3</v>
      </c>
      <c r="HM250" t="s">
        <v>3</v>
      </c>
      <c r="HN250" t="s">
        <v>3</v>
      </c>
      <c r="HO250" t="s">
        <v>3</v>
      </c>
      <c r="HP250" t="s">
        <v>3</v>
      </c>
      <c r="HQ250" t="s">
        <v>3</v>
      </c>
      <c r="IK250">
        <v>0</v>
      </c>
    </row>
    <row r="251" spans="1:245" x14ac:dyDescent="0.2">
      <c r="A251">
        <v>17</v>
      </c>
      <c r="B251">
        <v>1</v>
      </c>
      <c r="D251">
        <f>ROW(EtalonRes!A145)</f>
        <v>145</v>
      </c>
      <c r="E251" t="s">
        <v>3</v>
      </c>
      <c r="F251" t="s">
        <v>228</v>
      </c>
      <c r="G251" t="s">
        <v>229</v>
      </c>
      <c r="H251" t="s">
        <v>20</v>
      </c>
      <c r="I251">
        <f>ROUND((6+24.8+12.8+17.7+13.1+4.2+3.6+0.7+4.6+7.5+7.3+9.4+3+0.3+6.1+9+19.9)/100,9)</f>
        <v>1.5</v>
      </c>
      <c r="J251">
        <v>0</v>
      </c>
      <c r="K251">
        <f>ROUND((6+24.8+12.8+17.7+13.1+4.2+3.6+0.7+4.6+7.5+7.3+9.4+3+0.3+6.1+9+19.9)/100,9)</f>
        <v>1.5</v>
      </c>
      <c r="O251">
        <f>ROUND(CP251,2)</f>
        <v>12120.17</v>
      </c>
      <c r="P251">
        <f>ROUND(CQ251*I251,2)</f>
        <v>335.54</v>
      </c>
      <c r="Q251">
        <f>ROUND(CR251*I251,2)</f>
        <v>76.05</v>
      </c>
      <c r="R251">
        <f>ROUND(CS251*I251,2)</f>
        <v>1.22</v>
      </c>
      <c r="S251">
        <f>ROUND(CT251*I251,2)</f>
        <v>11708.58</v>
      </c>
      <c r="T251">
        <f>ROUND(CU251*I251,2)</f>
        <v>0</v>
      </c>
      <c r="U251">
        <f>CV251*I251</f>
        <v>15.96</v>
      </c>
      <c r="V251">
        <f>CW251*I251</f>
        <v>0</v>
      </c>
      <c r="W251">
        <f>ROUND(CX251*I251,2)</f>
        <v>0</v>
      </c>
      <c r="X251">
        <f t="shared" si="190"/>
        <v>8196.01</v>
      </c>
      <c r="Y251">
        <f t="shared" si="190"/>
        <v>1170.8599999999999</v>
      </c>
      <c r="AA251">
        <v>-1</v>
      </c>
      <c r="AB251">
        <f>ROUND((AC251+AD251+AF251),6)</f>
        <v>8080.11</v>
      </c>
      <c r="AC251">
        <f>ROUND((ES251),6)</f>
        <v>223.69</v>
      </c>
      <c r="AD251">
        <f>ROUND((((ET251)-(EU251))+AE251),6)</f>
        <v>50.7</v>
      </c>
      <c r="AE251">
        <f>ROUND((EU251),6)</f>
        <v>0.81</v>
      </c>
      <c r="AF251">
        <f>ROUND((EV251),6)</f>
        <v>7805.72</v>
      </c>
      <c r="AG251">
        <f>ROUND((AP251),6)</f>
        <v>0</v>
      </c>
      <c r="AH251">
        <f>(EW251)</f>
        <v>10.64</v>
      </c>
      <c r="AI251">
        <f>(EX251)</f>
        <v>0</v>
      </c>
      <c r="AJ251">
        <f>(AS251)</f>
        <v>0</v>
      </c>
      <c r="AK251">
        <v>8080.11</v>
      </c>
      <c r="AL251">
        <v>223.69</v>
      </c>
      <c r="AM251">
        <v>50.7</v>
      </c>
      <c r="AN251">
        <v>0.81</v>
      </c>
      <c r="AO251">
        <v>7805.72</v>
      </c>
      <c r="AP251">
        <v>0</v>
      </c>
      <c r="AQ251">
        <v>10.64</v>
      </c>
      <c r="AR251">
        <v>0</v>
      </c>
      <c r="AS251">
        <v>0</v>
      </c>
      <c r="AT251">
        <v>70</v>
      </c>
      <c r="AU251">
        <v>10</v>
      </c>
      <c r="AV251">
        <v>1</v>
      </c>
      <c r="AW251">
        <v>1</v>
      </c>
      <c r="AZ251">
        <v>1</v>
      </c>
      <c r="BA251">
        <v>1</v>
      </c>
      <c r="BB251">
        <v>1</v>
      </c>
      <c r="BC251">
        <v>1</v>
      </c>
      <c r="BD251" t="s">
        <v>3</v>
      </c>
      <c r="BE251" t="s">
        <v>3</v>
      </c>
      <c r="BF251" t="s">
        <v>3</v>
      </c>
      <c r="BG251" t="s">
        <v>3</v>
      </c>
      <c r="BH251">
        <v>0</v>
      </c>
      <c r="BI251">
        <v>4</v>
      </c>
      <c r="BJ251" t="s">
        <v>230</v>
      </c>
      <c r="BM251">
        <v>0</v>
      </c>
      <c r="BN251">
        <v>0</v>
      </c>
      <c r="BO251" t="s">
        <v>3</v>
      </c>
      <c r="BP251">
        <v>0</v>
      </c>
      <c r="BQ251">
        <v>1</v>
      </c>
      <c r="BR251">
        <v>0</v>
      </c>
      <c r="BS251">
        <v>1</v>
      </c>
      <c r="BT251">
        <v>1</v>
      </c>
      <c r="BU251">
        <v>1</v>
      </c>
      <c r="BV251">
        <v>1</v>
      </c>
      <c r="BW251">
        <v>1</v>
      </c>
      <c r="BX251">
        <v>1</v>
      </c>
      <c r="BY251" t="s">
        <v>3</v>
      </c>
      <c r="BZ251">
        <v>70</v>
      </c>
      <c r="CA251">
        <v>10</v>
      </c>
      <c r="CB251" t="s">
        <v>3</v>
      </c>
      <c r="CE251">
        <v>0</v>
      </c>
      <c r="CF251">
        <v>0</v>
      </c>
      <c r="CG251">
        <v>0</v>
      </c>
      <c r="CM251">
        <v>0</v>
      </c>
      <c r="CN251" t="s">
        <v>3</v>
      </c>
      <c r="CO251">
        <v>0</v>
      </c>
      <c r="CP251">
        <f>(P251+Q251+S251)</f>
        <v>12120.17</v>
      </c>
      <c r="CQ251">
        <f>(AC251*BC251*AW251)</f>
        <v>223.69</v>
      </c>
      <c r="CR251">
        <f>((((ET251)*BB251-(EU251)*BS251)+AE251*BS251)*AV251)</f>
        <v>50.7</v>
      </c>
      <c r="CS251">
        <f>(AE251*BS251*AV251)</f>
        <v>0.81</v>
      </c>
      <c r="CT251">
        <f>(AF251*BA251*AV251)</f>
        <v>7805.72</v>
      </c>
      <c r="CU251">
        <f>AG251</f>
        <v>0</v>
      </c>
      <c r="CV251">
        <f>(AH251*AV251)</f>
        <v>10.64</v>
      </c>
      <c r="CW251">
        <f t="shared" si="191"/>
        <v>0</v>
      </c>
      <c r="CX251">
        <f t="shared" si="191"/>
        <v>0</v>
      </c>
      <c r="CY251">
        <f>((S251*BZ251)/100)</f>
        <v>8196.0059999999994</v>
      </c>
      <c r="CZ251">
        <f>((S251*CA251)/100)</f>
        <v>1170.8579999999999</v>
      </c>
      <c r="DC251" t="s">
        <v>3</v>
      </c>
      <c r="DD251" t="s">
        <v>3</v>
      </c>
      <c r="DE251" t="s">
        <v>3</v>
      </c>
      <c r="DF251" t="s">
        <v>3</v>
      </c>
      <c r="DG251" t="s">
        <v>3</v>
      </c>
      <c r="DH251" t="s">
        <v>3</v>
      </c>
      <c r="DI251" t="s">
        <v>3</v>
      </c>
      <c r="DJ251" t="s">
        <v>3</v>
      </c>
      <c r="DK251" t="s">
        <v>3</v>
      </c>
      <c r="DL251" t="s">
        <v>3</v>
      </c>
      <c r="DM251" t="s">
        <v>3</v>
      </c>
      <c r="DN251">
        <v>0</v>
      </c>
      <c r="DO251">
        <v>0</v>
      </c>
      <c r="DP251">
        <v>1</v>
      </c>
      <c r="DQ251">
        <v>1</v>
      </c>
      <c r="DU251">
        <v>1003</v>
      </c>
      <c r="DV251" t="s">
        <v>20</v>
      </c>
      <c r="DW251" t="s">
        <v>20</v>
      </c>
      <c r="DX251">
        <v>100</v>
      </c>
      <c r="DZ251" t="s">
        <v>3</v>
      </c>
      <c r="EA251" t="s">
        <v>3</v>
      </c>
      <c r="EB251" t="s">
        <v>3</v>
      </c>
      <c r="EC251" t="s">
        <v>3</v>
      </c>
      <c r="EE251">
        <v>1441815344</v>
      </c>
      <c r="EF251">
        <v>1</v>
      </c>
      <c r="EG251" t="s">
        <v>23</v>
      </c>
      <c r="EH251">
        <v>0</v>
      </c>
      <c r="EI251" t="s">
        <v>3</v>
      </c>
      <c r="EJ251">
        <v>4</v>
      </c>
      <c r="EK251">
        <v>0</v>
      </c>
      <c r="EL251" t="s">
        <v>24</v>
      </c>
      <c r="EM251" t="s">
        <v>25</v>
      </c>
      <c r="EO251" t="s">
        <v>3</v>
      </c>
      <c r="EQ251">
        <v>1024</v>
      </c>
      <c r="ER251">
        <v>8080.11</v>
      </c>
      <c r="ES251">
        <v>223.69</v>
      </c>
      <c r="ET251">
        <v>50.7</v>
      </c>
      <c r="EU251">
        <v>0.81</v>
      </c>
      <c r="EV251">
        <v>7805.72</v>
      </c>
      <c r="EW251">
        <v>10.64</v>
      </c>
      <c r="EX251">
        <v>0</v>
      </c>
      <c r="EY251">
        <v>0</v>
      </c>
      <c r="FQ251">
        <v>0</v>
      </c>
      <c r="FR251">
        <f>ROUND(IF(BI251=3,GM251,0),2)</f>
        <v>0</v>
      </c>
      <c r="FS251">
        <v>0</v>
      </c>
      <c r="FX251">
        <v>70</v>
      </c>
      <c r="FY251">
        <v>10</v>
      </c>
      <c r="GA251" t="s">
        <v>3</v>
      </c>
      <c r="GD251">
        <v>0</v>
      </c>
      <c r="GF251">
        <v>279930794</v>
      </c>
      <c r="GG251">
        <v>2</v>
      </c>
      <c r="GH251">
        <v>1</v>
      </c>
      <c r="GI251">
        <v>-2</v>
      </c>
      <c r="GJ251">
        <v>0</v>
      </c>
      <c r="GK251">
        <f>ROUND(R251*(R12)/100,2)</f>
        <v>1.32</v>
      </c>
      <c r="GL251">
        <f>ROUND(IF(AND(BH251=3,BI251=3,FS251&lt;&gt;0),P251,0),2)</f>
        <v>0</v>
      </c>
      <c r="GM251">
        <f>ROUND(O251+X251+Y251+GK251,2)+GX251</f>
        <v>21488.36</v>
      </c>
      <c r="GN251">
        <f>IF(OR(BI251=0,BI251=1),GM251-GX251,0)</f>
        <v>0</v>
      </c>
      <c r="GO251">
        <f>IF(BI251=2,GM251-GX251,0)</f>
        <v>0</v>
      </c>
      <c r="GP251">
        <f>IF(BI251=4,GM251-GX251,0)</f>
        <v>21488.36</v>
      </c>
      <c r="GR251">
        <v>0</v>
      </c>
      <c r="GS251">
        <v>3</v>
      </c>
      <c r="GT251">
        <v>0</v>
      </c>
      <c r="GU251" t="s">
        <v>3</v>
      </c>
      <c r="GV251">
        <f>ROUND((GT251),6)</f>
        <v>0</v>
      </c>
      <c r="GW251">
        <v>1</v>
      </c>
      <c r="GX251">
        <f>ROUND(HC251*I251,2)</f>
        <v>0</v>
      </c>
      <c r="HA251">
        <v>0</v>
      </c>
      <c r="HB251">
        <v>0</v>
      </c>
      <c r="HC251">
        <f>GV251*GW251</f>
        <v>0</v>
      </c>
      <c r="HE251" t="s">
        <v>3</v>
      </c>
      <c r="HF251" t="s">
        <v>3</v>
      </c>
      <c r="HM251" t="s">
        <v>3</v>
      </c>
      <c r="HN251" t="s">
        <v>3</v>
      </c>
      <c r="HO251" t="s">
        <v>3</v>
      </c>
      <c r="HP251" t="s">
        <v>3</v>
      </c>
      <c r="HQ251" t="s">
        <v>3</v>
      </c>
      <c r="IK251">
        <v>0</v>
      </c>
    </row>
    <row r="252" spans="1:245" x14ac:dyDescent="0.2">
      <c r="A252">
        <v>17</v>
      </c>
      <c r="B252">
        <v>1</v>
      </c>
      <c r="D252">
        <f>ROW(EtalonRes!A148)</f>
        <v>148</v>
      </c>
      <c r="E252" t="s">
        <v>3</v>
      </c>
      <c r="F252" t="s">
        <v>231</v>
      </c>
      <c r="G252" t="s">
        <v>232</v>
      </c>
      <c r="H252" t="s">
        <v>20</v>
      </c>
      <c r="I252">
        <f>ROUND((6+24.8+12.8+17.7+13.1+4.2+3.6+0.7+4.6+7.5+7.3+9.4+3+0.3+6.1+9+19.9)/100,9)</f>
        <v>1.5</v>
      </c>
      <c r="J252">
        <v>0</v>
      </c>
      <c r="K252">
        <f>ROUND((6+24.8+12.8+17.7+13.1+4.2+3.6+0.7+4.6+7.5+7.3+9.4+3+0.3+6.1+9+19.9)/100,9)</f>
        <v>1.5</v>
      </c>
      <c r="O252">
        <f>ROUND(CP252,2)</f>
        <v>3763.52</v>
      </c>
      <c r="P252">
        <f>ROUND(CQ252*I252,2)</f>
        <v>304.2</v>
      </c>
      <c r="Q252">
        <f>ROUND(CR252*I252,2)</f>
        <v>35.270000000000003</v>
      </c>
      <c r="R252">
        <f>ROUND(CS252*I252,2)</f>
        <v>0.11</v>
      </c>
      <c r="S252">
        <f>ROUND(CT252*I252,2)</f>
        <v>3424.05</v>
      </c>
      <c r="T252">
        <f>ROUND(CU252*I252,2)</f>
        <v>0</v>
      </c>
      <c r="U252">
        <f>CV252*I252</f>
        <v>5.16</v>
      </c>
      <c r="V252">
        <f>CW252*I252</f>
        <v>0</v>
      </c>
      <c r="W252">
        <f>ROUND(CX252*I252,2)</f>
        <v>0</v>
      </c>
      <c r="X252">
        <f t="shared" si="190"/>
        <v>2396.84</v>
      </c>
      <c r="Y252">
        <f t="shared" si="190"/>
        <v>342.41</v>
      </c>
      <c r="AA252">
        <v>-1</v>
      </c>
      <c r="AB252">
        <f>ROUND((AC252+AD252+AF252),6)</f>
        <v>2509.0100000000002</v>
      </c>
      <c r="AC252">
        <f>ROUND((ES252),6)</f>
        <v>202.8</v>
      </c>
      <c r="AD252">
        <f>ROUND((((ET252)-(EU252))+AE252),6)</f>
        <v>23.51</v>
      </c>
      <c r="AE252">
        <f>ROUND((EU252),6)</f>
        <v>7.0000000000000007E-2</v>
      </c>
      <c r="AF252">
        <f>ROUND((EV252),6)</f>
        <v>2282.6999999999998</v>
      </c>
      <c r="AG252">
        <f>ROUND((AP252),6)</f>
        <v>0</v>
      </c>
      <c r="AH252">
        <f>(EW252)</f>
        <v>3.44</v>
      </c>
      <c r="AI252">
        <f>(EX252)</f>
        <v>0</v>
      </c>
      <c r="AJ252">
        <f>(AS252)</f>
        <v>0</v>
      </c>
      <c r="AK252">
        <v>2509.0100000000002</v>
      </c>
      <c r="AL252">
        <v>202.8</v>
      </c>
      <c r="AM252">
        <v>23.51</v>
      </c>
      <c r="AN252">
        <v>7.0000000000000007E-2</v>
      </c>
      <c r="AO252">
        <v>2282.6999999999998</v>
      </c>
      <c r="AP252">
        <v>0</v>
      </c>
      <c r="AQ252">
        <v>3.44</v>
      </c>
      <c r="AR252">
        <v>0</v>
      </c>
      <c r="AS252">
        <v>0</v>
      </c>
      <c r="AT252">
        <v>70</v>
      </c>
      <c r="AU252">
        <v>10</v>
      </c>
      <c r="AV252">
        <v>1</v>
      </c>
      <c r="AW252">
        <v>1</v>
      </c>
      <c r="AZ252">
        <v>1</v>
      </c>
      <c r="BA252">
        <v>1</v>
      </c>
      <c r="BB252">
        <v>1</v>
      </c>
      <c r="BC252">
        <v>1</v>
      </c>
      <c r="BD252" t="s">
        <v>3</v>
      </c>
      <c r="BE252" t="s">
        <v>3</v>
      </c>
      <c r="BF252" t="s">
        <v>3</v>
      </c>
      <c r="BG252" t="s">
        <v>3</v>
      </c>
      <c r="BH252">
        <v>0</v>
      </c>
      <c r="BI252">
        <v>4</v>
      </c>
      <c r="BJ252" t="s">
        <v>233</v>
      </c>
      <c r="BM252">
        <v>0</v>
      </c>
      <c r="BN252">
        <v>0</v>
      </c>
      <c r="BO252" t="s">
        <v>3</v>
      </c>
      <c r="BP252">
        <v>0</v>
      </c>
      <c r="BQ252">
        <v>1</v>
      </c>
      <c r="BR252">
        <v>0</v>
      </c>
      <c r="BS252">
        <v>1</v>
      </c>
      <c r="BT252">
        <v>1</v>
      </c>
      <c r="BU252">
        <v>1</v>
      </c>
      <c r="BV252">
        <v>1</v>
      </c>
      <c r="BW252">
        <v>1</v>
      </c>
      <c r="BX252">
        <v>1</v>
      </c>
      <c r="BY252" t="s">
        <v>3</v>
      </c>
      <c r="BZ252">
        <v>70</v>
      </c>
      <c r="CA252">
        <v>10</v>
      </c>
      <c r="CB252" t="s">
        <v>3</v>
      </c>
      <c r="CE252">
        <v>0</v>
      </c>
      <c r="CF252">
        <v>0</v>
      </c>
      <c r="CG252">
        <v>0</v>
      </c>
      <c r="CM252">
        <v>0</v>
      </c>
      <c r="CN252" t="s">
        <v>3</v>
      </c>
      <c r="CO252">
        <v>0</v>
      </c>
      <c r="CP252">
        <f>(P252+Q252+S252)</f>
        <v>3763.52</v>
      </c>
      <c r="CQ252">
        <f>(AC252*BC252*AW252)</f>
        <v>202.8</v>
      </c>
      <c r="CR252">
        <f>((((ET252)*BB252-(EU252)*BS252)+AE252*BS252)*AV252)</f>
        <v>23.51</v>
      </c>
      <c r="CS252">
        <f>(AE252*BS252*AV252)</f>
        <v>7.0000000000000007E-2</v>
      </c>
      <c r="CT252">
        <f>(AF252*BA252*AV252)</f>
        <v>2282.6999999999998</v>
      </c>
      <c r="CU252">
        <f>AG252</f>
        <v>0</v>
      </c>
      <c r="CV252">
        <f>(AH252*AV252)</f>
        <v>3.44</v>
      </c>
      <c r="CW252">
        <f t="shared" si="191"/>
        <v>0</v>
      </c>
      <c r="CX252">
        <f t="shared" si="191"/>
        <v>0</v>
      </c>
      <c r="CY252">
        <f>((S252*BZ252)/100)</f>
        <v>2396.835</v>
      </c>
      <c r="CZ252">
        <f>((S252*CA252)/100)</f>
        <v>342.40499999999997</v>
      </c>
      <c r="DC252" t="s">
        <v>3</v>
      </c>
      <c r="DD252" t="s">
        <v>3</v>
      </c>
      <c r="DE252" t="s">
        <v>3</v>
      </c>
      <c r="DF252" t="s">
        <v>3</v>
      </c>
      <c r="DG252" t="s">
        <v>3</v>
      </c>
      <c r="DH252" t="s">
        <v>3</v>
      </c>
      <c r="DI252" t="s">
        <v>3</v>
      </c>
      <c r="DJ252" t="s">
        <v>3</v>
      </c>
      <c r="DK252" t="s">
        <v>3</v>
      </c>
      <c r="DL252" t="s">
        <v>3</v>
      </c>
      <c r="DM252" t="s">
        <v>3</v>
      </c>
      <c r="DN252">
        <v>0</v>
      </c>
      <c r="DO252">
        <v>0</v>
      </c>
      <c r="DP252">
        <v>1</v>
      </c>
      <c r="DQ252">
        <v>1</v>
      </c>
      <c r="DU252">
        <v>1003</v>
      </c>
      <c r="DV252" t="s">
        <v>20</v>
      </c>
      <c r="DW252" t="s">
        <v>20</v>
      </c>
      <c r="DX252">
        <v>100</v>
      </c>
      <c r="DZ252" t="s">
        <v>3</v>
      </c>
      <c r="EA252" t="s">
        <v>3</v>
      </c>
      <c r="EB252" t="s">
        <v>3</v>
      </c>
      <c r="EC252" t="s">
        <v>3</v>
      </c>
      <c r="EE252">
        <v>1441815344</v>
      </c>
      <c r="EF252">
        <v>1</v>
      </c>
      <c r="EG252" t="s">
        <v>23</v>
      </c>
      <c r="EH252">
        <v>0</v>
      </c>
      <c r="EI252" t="s">
        <v>3</v>
      </c>
      <c r="EJ252">
        <v>4</v>
      </c>
      <c r="EK252">
        <v>0</v>
      </c>
      <c r="EL252" t="s">
        <v>24</v>
      </c>
      <c r="EM252" t="s">
        <v>25</v>
      </c>
      <c r="EO252" t="s">
        <v>3</v>
      </c>
      <c r="EQ252">
        <v>1024</v>
      </c>
      <c r="ER252">
        <v>2509.0100000000002</v>
      </c>
      <c r="ES252">
        <v>202.8</v>
      </c>
      <c r="ET252">
        <v>23.51</v>
      </c>
      <c r="EU252">
        <v>7.0000000000000007E-2</v>
      </c>
      <c r="EV252">
        <v>2282.6999999999998</v>
      </c>
      <c r="EW252">
        <v>3.44</v>
      </c>
      <c r="EX252">
        <v>0</v>
      </c>
      <c r="EY252">
        <v>0</v>
      </c>
      <c r="FQ252">
        <v>0</v>
      </c>
      <c r="FR252">
        <f>ROUND(IF(BI252=3,GM252,0),2)</f>
        <v>0</v>
      </c>
      <c r="FS252">
        <v>0</v>
      </c>
      <c r="FX252">
        <v>70</v>
      </c>
      <c r="FY252">
        <v>10</v>
      </c>
      <c r="GA252" t="s">
        <v>3</v>
      </c>
      <c r="GD252">
        <v>0</v>
      </c>
      <c r="GF252">
        <v>-1929809553</v>
      </c>
      <c r="GG252">
        <v>2</v>
      </c>
      <c r="GH252">
        <v>1</v>
      </c>
      <c r="GI252">
        <v>-2</v>
      </c>
      <c r="GJ252">
        <v>0</v>
      </c>
      <c r="GK252">
        <f>ROUND(R252*(R12)/100,2)</f>
        <v>0.12</v>
      </c>
      <c r="GL252">
        <f>ROUND(IF(AND(BH252=3,BI252=3,FS252&lt;&gt;0),P252,0),2)</f>
        <v>0</v>
      </c>
      <c r="GM252">
        <f>ROUND(O252+X252+Y252+GK252,2)+GX252</f>
        <v>6502.89</v>
      </c>
      <c r="GN252">
        <f>IF(OR(BI252=0,BI252=1),GM252-GX252,0)</f>
        <v>0</v>
      </c>
      <c r="GO252">
        <f>IF(BI252=2,GM252-GX252,0)</f>
        <v>0</v>
      </c>
      <c r="GP252">
        <f>IF(BI252=4,GM252-GX252,0)</f>
        <v>6502.89</v>
      </c>
      <c r="GR252">
        <v>0</v>
      </c>
      <c r="GS252">
        <v>3</v>
      </c>
      <c r="GT252">
        <v>0</v>
      </c>
      <c r="GU252" t="s">
        <v>3</v>
      </c>
      <c r="GV252">
        <f>ROUND((GT252),6)</f>
        <v>0</v>
      </c>
      <c r="GW252">
        <v>1</v>
      </c>
      <c r="GX252">
        <f>ROUND(HC252*I252,2)</f>
        <v>0</v>
      </c>
      <c r="HA252">
        <v>0</v>
      </c>
      <c r="HB252">
        <v>0</v>
      </c>
      <c r="HC252">
        <f>GV252*GW252</f>
        <v>0</v>
      </c>
      <c r="HE252" t="s">
        <v>3</v>
      </c>
      <c r="HF252" t="s">
        <v>3</v>
      </c>
      <c r="HM252" t="s">
        <v>3</v>
      </c>
      <c r="HN252" t="s">
        <v>3</v>
      </c>
      <c r="HO252" t="s">
        <v>3</v>
      </c>
      <c r="HP252" t="s">
        <v>3</v>
      </c>
      <c r="HQ252" t="s">
        <v>3</v>
      </c>
      <c r="IK252">
        <v>0</v>
      </c>
    </row>
    <row r="254" spans="1:245" x14ac:dyDescent="0.2">
      <c r="A254" s="2">
        <v>51</v>
      </c>
      <c r="B254" s="2">
        <f>B206</f>
        <v>1</v>
      </c>
      <c r="C254" s="2">
        <f>A206</f>
        <v>5</v>
      </c>
      <c r="D254" s="2">
        <f>ROW(A206)</f>
        <v>206</v>
      </c>
      <c r="E254" s="2"/>
      <c r="F254" s="2" t="str">
        <f>IF(F206&lt;&gt;"",F206,"")</f>
        <v>Новый подраздел</v>
      </c>
      <c r="G254" s="2" t="str">
        <f>IF(G206&lt;&gt;"",G206,"")</f>
        <v>Индивидуальный тепловой пункт</v>
      </c>
      <c r="H254" s="2">
        <v>0</v>
      </c>
      <c r="I254" s="2"/>
      <c r="J254" s="2"/>
      <c r="K254" s="2"/>
      <c r="L254" s="2"/>
      <c r="M254" s="2"/>
      <c r="N254" s="2"/>
      <c r="O254" s="2">
        <f t="shared" ref="O254:T254" si="192">ROUND(AB254,2)</f>
        <v>106735.73</v>
      </c>
      <c r="P254" s="2">
        <f t="shared" si="192"/>
        <v>2890.67</v>
      </c>
      <c r="Q254" s="2">
        <f t="shared" si="192"/>
        <v>16746.2</v>
      </c>
      <c r="R254" s="2">
        <f t="shared" si="192"/>
        <v>10618.02</v>
      </c>
      <c r="S254" s="2">
        <f t="shared" si="192"/>
        <v>87098.86</v>
      </c>
      <c r="T254" s="2">
        <f t="shared" si="192"/>
        <v>0</v>
      </c>
      <c r="U254" s="2">
        <f>AH254</f>
        <v>134.011</v>
      </c>
      <c r="V254" s="2">
        <f>AI254</f>
        <v>0</v>
      </c>
      <c r="W254" s="2">
        <f>ROUND(AJ254,2)</f>
        <v>0</v>
      </c>
      <c r="X254" s="2">
        <f>ROUND(AK254,2)</f>
        <v>60969.18</v>
      </c>
      <c r="Y254" s="2">
        <f>ROUND(AL254,2)</f>
        <v>8709.8799999999992</v>
      </c>
      <c r="Z254" s="2"/>
      <c r="AA254" s="2"/>
      <c r="AB254" s="2">
        <f>ROUND(SUMIF(AA210:AA252,"=1472224561",O210:O252),2)</f>
        <v>106735.73</v>
      </c>
      <c r="AC254" s="2">
        <f>ROUND(SUMIF(AA210:AA252,"=1472224561",P210:P252),2)</f>
        <v>2890.67</v>
      </c>
      <c r="AD254" s="2">
        <f>ROUND(SUMIF(AA210:AA252,"=1472224561",Q210:Q252),2)</f>
        <v>16746.2</v>
      </c>
      <c r="AE254" s="2">
        <f>ROUND(SUMIF(AA210:AA252,"=1472224561",R210:R252),2)</f>
        <v>10618.02</v>
      </c>
      <c r="AF254" s="2">
        <f>ROUND(SUMIF(AA210:AA252,"=1472224561",S210:S252),2)</f>
        <v>87098.86</v>
      </c>
      <c r="AG254" s="2">
        <f>ROUND(SUMIF(AA210:AA252,"=1472224561",T210:T252),2)</f>
        <v>0</v>
      </c>
      <c r="AH254" s="2">
        <f>SUMIF(AA210:AA252,"=1472224561",U210:U252)</f>
        <v>134.011</v>
      </c>
      <c r="AI254" s="2">
        <f>SUMIF(AA210:AA252,"=1472224561",V210:V252)</f>
        <v>0</v>
      </c>
      <c r="AJ254" s="2">
        <f>ROUND(SUMIF(AA210:AA252,"=1472224561",W210:W252),2)</f>
        <v>0</v>
      </c>
      <c r="AK254" s="2">
        <f>ROUND(SUMIF(AA210:AA252,"=1472224561",X210:X252),2)</f>
        <v>60969.18</v>
      </c>
      <c r="AL254" s="2">
        <f>ROUND(SUMIF(AA210:AA252,"=1472224561",Y210:Y252),2)</f>
        <v>8709.8799999999992</v>
      </c>
      <c r="AM254" s="2"/>
      <c r="AN254" s="2"/>
      <c r="AO254" s="2">
        <f t="shared" ref="AO254:BD254" si="193">ROUND(BX254,2)</f>
        <v>0</v>
      </c>
      <c r="AP254" s="2">
        <f t="shared" si="193"/>
        <v>0</v>
      </c>
      <c r="AQ254" s="2">
        <f t="shared" si="193"/>
        <v>0</v>
      </c>
      <c r="AR254" s="2">
        <f t="shared" si="193"/>
        <v>187882.23999999999</v>
      </c>
      <c r="AS254" s="2">
        <f t="shared" si="193"/>
        <v>0</v>
      </c>
      <c r="AT254" s="2">
        <f t="shared" si="193"/>
        <v>0</v>
      </c>
      <c r="AU254" s="2">
        <f t="shared" si="193"/>
        <v>187882.23999999999</v>
      </c>
      <c r="AV254" s="2">
        <f t="shared" si="193"/>
        <v>2890.67</v>
      </c>
      <c r="AW254" s="2">
        <f t="shared" si="193"/>
        <v>2890.67</v>
      </c>
      <c r="AX254" s="2">
        <f t="shared" si="193"/>
        <v>0</v>
      </c>
      <c r="AY254" s="2">
        <f t="shared" si="193"/>
        <v>2890.67</v>
      </c>
      <c r="AZ254" s="2">
        <f t="shared" si="193"/>
        <v>0</v>
      </c>
      <c r="BA254" s="2">
        <f t="shared" si="193"/>
        <v>0</v>
      </c>
      <c r="BB254" s="2">
        <f t="shared" si="193"/>
        <v>0</v>
      </c>
      <c r="BC254" s="2">
        <f t="shared" si="193"/>
        <v>0</v>
      </c>
      <c r="BD254" s="2">
        <f t="shared" si="193"/>
        <v>0</v>
      </c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>
        <f>ROUND(SUMIF(AA210:AA252,"=1472224561",FQ210:FQ252),2)</f>
        <v>0</v>
      </c>
      <c r="BY254" s="2">
        <f>ROUND(SUMIF(AA210:AA252,"=1472224561",FR210:FR252),2)</f>
        <v>0</v>
      </c>
      <c r="BZ254" s="2">
        <f>ROUND(SUMIF(AA210:AA252,"=1472224561",GL210:GL252),2)</f>
        <v>0</v>
      </c>
      <c r="CA254" s="2">
        <f>ROUND(SUMIF(AA210:AA252,"=1472224561",GM210:GM252),2)</f>
        <v>187882.23999999999</v>
      </c>
      <c r="CB254" s="2">
        <f>ROUND(SUMIF(AA210:AA252,"=1472224561",GN210:GN252),2)</f>
        <v>0</v>
      </c>
      <c r="CC254" s="2">
        <f>ROUND(SUMIF(AA210:AA252,"=1472224561",GO210:GO252),2)</f>
        <v>0</v>
      </c>
      <c r="CD254" s="2">
        <f>ROUND(SUMIF(AA210:AA252,"=1472224561",GP210:GP252),2)</f>
        <v>187882.23999999999</v>
      </c>
      <c r="CE254" s="2">
        <f>AC254-BX254</f>
        <v>2890.67</v>
      </c>
      <c r="CF254" s="2">
        <f>AC254-BY254</f>
        <v>2890.67</v>
      </c>
      <c r="CG254" s="2">
        <f>BX254-BZ254</f>
        <v>0</v>
      </c>
      <c r="CH254" s="2">
        <f>AC254-BX254-BY254+BZ254</f>
        <v>2890.67</v>
      </c>
      <c r="CI254" s="2">
        <f>BY254-BZ254</f>
        <v>0</v>
      </c>
      <c r="CJ254" s="2">
        <f>ROUND(SUMIF(AA210:AA252,"=1472224561",GX210:GX252),2)</f>
        <v>0</v>
      </c>
      <c r="CK254" s="2">
        <f>ROUND(SUMIF(AA210:AA252,"=1472224561",GY210:GY252),2)</f>
        <v>0</v>
      </c>
      <c r="CL254" s="2">
        <f>ROUND(SUMIF(AA210:AA252,"=1472224561",GZ210:GZ252),2)</f>
        <v>0</v>
      </c>
      <c r="CM254" s="2">
        <f>ROUND(SUMIF(AA210:AA252,"=1472224561",HD210:HD252),2)</f>
        <v>0</v>
      </c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3"/>
      <c r="DH254" s="3"/>
      <c r="DI254" s="3"/>
      <c r="DJ254" s="3"/>
      <c r="DK254" s="3"/>
      <c r="DL254" s="3"/>
      <c r="DM254" s="3"/>
      <c r="DN254" s="3"/>
      <c r="DO254" s="3"/>
      <c r="DP254" s="3"/>
      <c r="DQ254" s="3"/>
      <c r="DR254" s="3"/>
      <c r="DS254" s="3"/>
      <c r="DT254" s="3"/>
      <c r="DU254" s="3"/>
      <c r="DV254" s="3"/>
      <c r="DW254" s="3"/>
      <c r="DX254" s="3"/>
      <c r="DY254" s="3"/>
      <c r="DZ254" s="3"/>
      <c r="EA254" s="3"/>
      <c r="EB254" s="3"/>
      <c r="EC254" s="3"/>
      <c r="ED254" s="3"/>
      <c r="EE254" s="3"/>
      <c r="EF254" s="3"/>
      <c r="EG254" s="3"/>
      <c r="EH254" s="3"/>
      <c r="EI254" s="3"/>
      <c r="EJ254" s="3"/>
      <c r="EK254" s="3"/>
      <c r="EL254" s="3"/>
      <c r="EM254" s="3"/>
      <c r="EN254" s="3"/>
      <c r="EO254" s="3"/>
      <c r="EP254" s="3"/>
      <c r="EQ254" s="3"/>
      <c r="ER254" s="3"/>
      <c r="ES254" s="3"/>
      <c r="ET254" s="3"/>
      <c r="EU254" s="3"/>
      <c r="EV254" s="3"/>
      <c r="EW254" s="3"/>
      <c r="EX254" s="3"/>
      <c r="EY254" s="3"/>
      <c r="EZ254" s="3"/>
      <c r="FA254" s="3"/>
      <c r="FB254" s="3"/>
      <c r="FC254" s="3"/>
      <c r="FD254" s="3"/>
      <c r="FE254" s="3"/>
      <c r="FF254" s="3"/>
      <c r="FG254" s="3"/>
      <c r="FH254" s="3"/>
      <c r="FI254" s="3"/>
      <c r="FJ254" s="3"/>
      <c r="FK254" s="3"/>
      <c r="FL254" s="3"/>
      <c r="FM254" s="3"/>
      <c r="FN254" s="3"/>
      <c r="FO254" s="3"/>
      <c r="FP254" s="3"/>
      <c r="FQ254" s="3"/>
      <c r="FR254" s="3"/>
      <c r="FS254" s="3"/>
      <c r="FT254" s="3"/>
      <c r="FU254" s="3"/>
      <c r="FV254" s="3"/>
      <c r="FW254" s="3"/>
      <c r="FX254" s="3"/>
      <c r="FY254" s="3"/>
      <c r="FZ254" s="3"/>
      <c r="GA254" s="3"/>
      <c r="GB254" s="3"/>
      <c r="GC254" s="3"/>
      <c r="GD254" s="3"/>
      <c r="GE254" s="3"/>
      <c r="GF254" s="3"/>
      <c r="GG254" s="3"/>
      <c r="GH254" s="3"/>
      <c r="GI254" s="3"/>
      <c r="GJ254" s="3"/>
      <c r="GK254" s="3"/>
      <c r="GL254" s="3"/>
      <c r="GM254" s="3"/>
      <c r="GN254" s="3"/>
      <c r="GO254" s="3"/>
      <c r="GP254" s="3"/>
      <c r="GQ254" s="3"/>
      <c r="GR254" s="3"/>
      <c r="GS254" s="3"/>
      <c r="GT254" s="3"/>
      <c r="GU254" s="3"/>
      <c r="GV254" s="3"/>
      <c r="GW254" s="3"/>
      <c r="GX254" s="3">
        <v>0</v>
      </c>
    </row>
    <row r="256" spans="1:245" x14ac:dyDescent="0.2">
      <c r="A256" s="4">
        <v>50</v>
      </c>
      <c r="B256" s="4">
        <v>0</v>
      </c>
      <c r="C256" s="4">
        <v>0</v>
      </c>
      <c r="D256" s="4">
        <v>1</v>
      </c>
      <c r="E256" s="4">
        <v>201</v>
      </c>
      <c r="F256" s="4">
        <f>ROUND(Source!O254,O256)</f>
        <v>106735.73</v>
      </c>
      <c r="G256" s="4" t="s">
        <v>46</v>
      </c>
      <c r="H256" s="4" t="s">
        <v>47</v>
      </c>
      <c r="I256" s="4"/>
      <c r="J256" s="4"/>
      <c r="K256" s="4">
        <v>201</v>
      </c>
      <c r="L256" s="4">
        <v>1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8" x14ac:dyDescent="0.2">
      <c r="A257" s="4">
        <v>50</v>
      </c>
      <c r="B257" s="4">
        <v>0</v>
      </c>
      <c r="C257" s="4">
        <v>0</v>
      </c>
      <c r="D257" s="4">
        <v>1</v>
      </c>
      <c r="E257" s="4">
        <v>202</v>
      </c>
      <c r="F257" s="4">
        <f>ROUND(Source!P254,O257)</f>
        <v>2890.67</v>
      </c>
      <c r="G257" s="4" t="s">
        <v>48</v>
      </c>
      <c r="H257" s="4" t="s">
        <v>49</v>
      </c>
      <c r="I257" s="4"/>
      <c r="J257" s="4"/>
      <c r="K257" s="4">
        <v>202</v>
      </c>
      <c r="L257" s="4">
        <v>2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0</v>
      </c>
      <c r="X257" s="4">
        <v>1</v>
      </c>
      <c r="Y257" s="4">
        <v>0</v>
      </c>
      <c r="Z257" s="4"/>
      <c r="AA257" s="4"/>
      <c r="AB257" s="4"/>
    </row>
    <row r="258" spans="1:28" x14ac:dyDescent="0.2">
      <c r="A258" s="4">
        <v>50</v>
      </c>
      <c r="B258" s="4">
        <v>0</v>
      </c>
      <c r="C258" s="4">
        <v>0</v>
      </c>
      <c r="D258" s="4">
        <v>1</v>
      </c>
      <c r="E258" s="4">
        <v>222</v>
      </c>
      <c r="F258" s="4">
        <f>ROUND(Source!AO254,O258)</f>
        <v>0</v>
      </c>
      <c r="G258" s="4" t="s">
        <v>50</v>
      </c>
      <c r="H258" s="4" t="s">
        <v>51</v>
      </c>
      <c r="I258" s="4"/>
      <c r="J258" s="4"/>
      <c r="K258" s="4">
        <v>222</v>
      </c>
      <c r="L258" s="4">
        <v>3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0</v>
      </c>
      <c r="X258" s="4">
        <v>1</v>
      </c>
      <c r="Y258" s="4">
        <v>0</v>
      </c>
      <c r="Z258" s="4"/>
      <c r="AA258" s="4"/>
      <c r="AB258" s="4"/>
    </row>
    <row r="259" spans="1:28" x14ac:dyDescent="0.2">
      <c r="A259" s="4">
        <v>50</v>
      </c>
      <c r="B259" s="4">
        <v>0</v>
      </c>
      <c r="C259" s="4">
        <v>0</v>
      </c>
      <c r="D259" s="4">
        <v>1</v>
      </c>
      <c r="E259" s="4">
        <v>225</v>
      </c>
      <c r="F259" s="4">
        <f>ROUND(Source!AV254,O259)</f>
        <v>2890.67</v>
      </c>
      <c r="G259" s="4" t="s">
        <v>52</v>
      </c>
      <c r="H259" s="4" t="s">
        <v>53</v>
      </c>
      <c r="I259" s="4"/>
      <c r="J259" s="4"/>
      <c r="K259" s="4">
        <v>225</v>
      </c>
      <c r="L259" s="4">
        <v>4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0</v>
      </c>
      <c r="X259" s="4">
        <v>1</v>
      </c>
      <c r="Y259" s="4">
        <v>0</v>
      </c>
      <c r="Z259" s="4"/>
      <c r="AA259" s="4"/>
      <c r="AB259" s="4"/>
    </row>
    <row r="260" spans="1:28" x14ac:dyDescent="0.2">
      <c r="A260" s="4">
        <v>50</v>
      </c>
      <c r="B260" s="4">
        <v>0</v>
      </c>
      <c r="C260" s="4">
        <v>0</v>
      </c>
      <c r="D260" s="4">
        <v>1</v>
      </c>
      <c r="E260" s="4">
        <v>226</v>
      </c>
      <c r="F260" s="4">
        <f>ROUND(Source!AW254,O260)</f>
        <v>2890.67</v>
      </c>
      <c r="G260" s="4" t="s">
        <v>54</v>
      </c>
      <c r="H260" s="4" t="s">
        <v>55</v>
      </c>
      <c r="I260" s="4"/>
      <c r="J260" s="4"/>
      <c r="K260" s="4">
        <v>226</v>
      </c>
      <c r="L260" s="4">
        <v>5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0</v>
      </c>
      <c r="X260" s="4">
        <v>1</v>
      </c>
      <c r="Y260" s="4">
        <v>0</v>
      </c>
      <c r="Z260" s="4"/>
      <c r="AA260" s="4"/>
      <c r="AB260" s="4"/>
    </row>
    <row r="261" spans="1:28" x14ac:dyDescent="0.2">
      <c r="A261" s="4">
        <v>50</v>
      </c>
      <c r="B261" s="4">
        <v>0</v>
      </c>
      <c r="C261" s="4">
        <v>0</v>
      </c>
      <c r="D261" s="4">
        <v>1</v>
      </c>
      <c r="E261" s="4">
        <v>227</v>
      </c>
      <c r="F261" s="4">
        <f>ROUND(Source!AX254,O261)</f>
        <v>0</v>
      </c>
      <c r="G261" s="4" t="s">
        <v>56</v>
      </c>
      <c r="H261" s="4" t="s">
        <v>57</v>
      </c>
      <c r="I261" s="4"/>
      <c r="J261" s="4"/>
      <c r="K261" s="4">
        <v>227</v>
      </c>
      <c r="L261" s="4">
        <v>6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0</v>
      </c>
      <c r="X261" s="4">
        <v>1</v>
      </c>
      <c r="Y261" s="4">
        <v>0</v>
      </c>
      <c r="Z261" s="4"/>
      <c r="AA261" s="4"/>
      <c r="AB261" s="4"/>
    </row>
    <row r="262" spans="1:28" x14ac:dyDescent="0.2">
      <c r="A262" s="4">
        <v>50</v>
      </c>
      <c r="B262" s="4">
        <v>0</v>
      </c>
      <c r="C262" s="4">
        <v>0</v>
      </c>
      <c r="D262" s="4">
        <v>1</v>
      </c>
      <c r="E262" s="4">
        <v>228</v>
      </c>
      <c r="F262" s="4">
        <f>ROUND(Source!AY254,O262)</f>
        <v>2890.67</v>
      </c>
      <c r="G262" s="4" t="s">
        <v>58</v>
      </c>
      <c r="H262" s="4" t="s">
        <v>59</v>
      </c>
      <c r="I262" s="4"/>
      <c r="J262" s="4"/>
      <c r="K262" s="4">
        <v>228</v>
      </c>
      <c r="L262" s="4">
        <v>7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0</v>
      </c>
      <c r="X262" s="4">
        <v>1</v>
      </c>
      <c r="Y262" s="4">
        <v>0</v>
      </c>
      <c r="Z262" s="4"/>
      <c r="AA262" s="4"/>
      <c r="AB262" s="4"/>
    </row>
    <row r="263" spans="1:28" x14ac:dyDescent="0.2">
      <c r="A263" s="4">
        <v>50</v>
      </c>
      <c r="B263" s="4">
        <v>0</v>
      </c>
      <c r="C263" s="4">
        <v>0</v>
      </c>
      <c r="D263" s="4">
        <v>1</v>
      </c>
      <c r="E263" s="4">
        <v>216</v>
      </c>
      <c r="F263" s="4">
        <f>ROUND(Source!AP254,O263)</f>
        <v>0</v>
      </c>
      <c r="G263" s="4" t="s">
        <v>60</v>
      </c>
      <c r="H263" s="4" t="s">
        <v>61</v>
      </c>
      <c r="I263" s="4"/>
      <c r="J263" s="4"/>
      <c r="K263" s="4">
        <v>216</v>
      </c>
      <c r="L263" s="4">
        <v>8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0</v>
      </c>
      <c r="X263" s="4">
        <v>1</v>
      </c>
      <c r="Y263" s="4">
        <v>0</v>
      </c>
      <c r="Z263" s="4"/>
      <c r="AA263" s="4"/>
      <c r="AB263" s="4"/>
    </row>
    <row r="264" spans="1:28" x14ac:dyDescent="0.2">
      <c r="A264" s="4">
        <v>50</v>
      </c>
      <c r="B264" s="4">
        <v>0</v>
      </c>
      <c r="C264" s="4">
        <v>0</v>
      </c>
      <c r="D264" s="4">
        <v>1</v>
      </c>
      <c r="E264" s="4">
        <v>223</v>
      </c>
      <c r="F264" s="4">
        <f>ROUND(Source!AQ254,O264)</f>
        <v>0</v>
      </c>
      <c r="G264" s="4" t="s">
        <v>62</v>
      </c>
      <c r="H264" s="4" t="s">
        <v>63</v>
      </c>
      <c r="I264" s="4"/>
      <c r="J264" s="4"/>
      <c r="K264" s="4">
        <v>223</v>
      </c>
      <c r="L264" s="4">
        <v>9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0</v>
      </c>
      <c r="X264" s="4">
        <v>1</v>
      </c>
      <c r="Y264" s="4">
        <v>0</v>
      </c>
      <c r="Z264" s="4"/>
      <c r="AA264" s="4"/>
      <c r="AB264" s="4"/>
    </row>
    <row r="265" spans="1:28" x14ac:dyDescent="0.2">
      <c r="A265" s="4">
        <v>50</v>
      </c>
      <c r="B265" s="4">
        <v>0</v>
      </c>
      <c r="C265" s="4">
        <v>0</v>
      </c>
      <c r="D265" s="4">
        <v>1</v>
      </c>
      <c r="E265" s="4">
        <v>229</v>
      </c>
      <c r="F265" s="4">
        <f>ROUND(Source!AZ254,O265)</f>
        <v>0</v>
      </c>
      <c r="G265" s="4" t="s">
        <v>64</v>
      </c>
      <c r="H265" s="4" t="s">
        <v>65</v>
      </c>
      <c r="I265" s="4"/>
      <c r="J265" s="4"/>
      <c r="K265" s="4">
        <v>229</v>
      </c>
      <c r="L265" s="4">
        <v>10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0</v>
      </c>
      <c r="X265" s="4">
        <v>1</v>
      </c>
      <c r="Y265" s="4">
        <v>0</v>
      </c>
      <c r="Z265" s="4"/>
      <c r="AA265" s="4"/>
      <c r="AB265" s="4"/>
    </row>
    <row r="266" spans="1:28" x14ac:dyDescent="0.2">
      <c r="A266" s="4">
        <v>50</v>
      </c>
      <c r="B266" s="4">
        <v>0</v>
      </c>
      <c r="C266" s="4">
        <v>0</v>
      </c>
      <c r="D266" s="4">
        <v>1</v>
      </c>
      <c r="E266" s="4">
        <v>203</v>
      </c>
      <c r="F266" s="4">
        <f>ROUND(Source!Q254,O266)</f>
        <v>16746.2</v>
      </c>
      <c r="G266" s="4" t="s">
        <v>66</v>
      </c>
      <c r="H266" s="4" t="s">
        <v>67</v>
      </c>
      <c r="I266" s="4"/>
      <c r="J266" s="4"/>
      <c r="K266" s="4">
        <v>203</v>
      </c>
      <c r="L266" s="4">
        <v>11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0</v>
      </c>
      <c r="X266" s="4">
        <v>1</v>
      </c>
      <c r="Y266" s="4">
        <v>0</v>
      </c>
      <c r="Z266" s="4"/>
      <c r="AA266" s="4"/>
      <c r="AB266" s="4"/>
    </row>
    <row r="267" spans="1:28" x14ac:dyDescent="0.2">
      <c r="A267" s="4">
        <v>50</v>
      </c>
      <c r="B267" s="4">
        <v>0</v>
      </c>
      <c r="C267" s="4">
        <v>0</v>
      </c>
      <c r="D267" s="4">
        <v>1</v>
      </c>
      <c r="E267" s="4">
        <v>231</v>
      </c>
      <c r="F267" s="4">
        <f>ROUND(Source!BB254,O267)</f>
        <v>0</v>
      </c>
      <c r="G267" s="4" t="s">
        <v>68</v>
      </c>
      <c r="H267" s="4" t="s">
        <v>69</v>
      </c>
      <c r="I267" s="4"/>
      <c r="J267" s="4"/>
      <c r="K267" s="4">
        <v>231</v>
      </c>
      <c r="L267" s="4">
        <v>12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0</v>
      </c>
      <c r="X267" s="4">
        <v>1</v>
      </c>
      <c r="Y267" s="4">
        <v>0</v>
      </c>
      <c r="Z267" s="4"/>
      <c r="AA267" s="4"/>
      <c r="AB267" s="4"/>
    </row>
    <row r="268" spans="1:28" x14ac:dyDescent="0.2">
      <c r="A268" s="4">
        <v>50</v>
      </c>
      <c r="B268" s="4">
        <v>0</v>
      </c>
      <c r="C268" s="4">
        <v>0</v>
      </c>
      <c r="D268" s="4">
        <v>1</v>
      </c>
      <c r="E268" s="4">
        <v>204</v>
      </c>
      <c r="F268" s="4">
        <f>ROUND(Source!R254,O268)</f>
        <v>10618.02</v>
      </c>
      <c r="G268" s="4" t="s">
        <v>70</v>
      </c>
      <c r="H268" s="4" t="s">
        <v>71</v>
      </c>
      <c r="I268" s="4"/>
      <c r="J268" s="4"/>
      <c r="K268" s="4">
        <v>204</v>
      </c>
      <c r="L268" s="4">
        <v>13</v>
      </c>
      <c r="M268" s="4">
        <v>3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0</v>
      </c>
      <c r="X268" s="4">
        <v>1</v>
      </c>
      <c r="Y268" s="4">
        <v>0</v>
      </c>
      <c r="Z268" s="4"/>
      <c r="AA268" s="4"/>
      <c r="AB268" s="4"/>
    </row>
    <row r="269" spans="1:28" x14ac:dyDescent="0.2">
      <c r="A269" s="4">
        <v>50</v>
      </c>
      <c r="B269" s="4">
        <v>0</v>
      </c>
      <c r="C269" s="4">
        <v>0</v>
      </c>
      <c r="D269" s="4">
        <v>1</v>
      </c>
      <c r="E269" s="4">
        <v>205</v>
      </c>
      <c r="F269" s="4">
        <f>ROUND(Source!S254,O269)</f>
        <v>87098.86</v>
      </c>
      <c r="G269" s="4" t="s">
        <v>72</v>
      </c>
      <c r="H269" s="4" t="s">
        <v>73</v>
      </c>
      <c r="I269" s="4"/>
      <c r="J269" s="4"/>
      <c r="K269" s="4">
        <v>205</v>
      </c>
      <c r="L269" s="4">
        <v>14</v>
      </c>
      <c r="M269" s="4">
        <v>3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0</v>
      </c>
      <c r="X269" s="4">
        <v>1</v>
      </c>
      <c r="Y269" s="4">
        <v>0</v>
      </c>
      <c r="Z269" s="4"/>
      <c r="AA269" s="4"/>
      <c r="AB269" s="4"/>
    </row>
    <row r="270" spans="1:28" x14ac:dyDescent="0.2">
      <c r="A270" s="4">
        <v>50</v>
      </c>
      <c r="B270" s="4">
        <v>0</v>
      </c>
      <c r="C270" s="4">
        <v>0</v>
      </c>
      <c r="D270" s="4">
        <v>1</v>
      </c>
      <c r="E270" s="4">
        <v>232</v>
      </c>
      <c r="F270" s="4">
        <f>ROUND(Source!BC254,O270)</f>
        <v>0</v>
      </c>
      <c r="G270" s="4" t="s">
        <v>74</v>
      </c>
      <c r="H270" s="4" t="s">
        <v>75</v>
      </c>
      <c r="I270" s="4"/>
      <c r="J270" s="4"/>
      <c r="K270" s="4">
        <v>232</v>
      </c>
      <c r="L270" s="4">
        <v>15</v>
      </c>
      <c r="M270" s="4">
        <v>3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0</v>
      </c>
      <c r="X270" s="4">
        <v>1</v>
      </c>
      <c r="Y270" s="4">
        <v>0</v>
      </c>
      <c r="Z270" s="4"/>
      <c r="AA270" s="4"/>
      <c r="AB270" s="4"/>
    </row>
    <row r="271" spans="1:28" x14ac:dyDescent="0.2">
      <c r="A271" s="4">
        <v>50</v>
      </c>
      <c r="B271" s="4">
        <v>0</v>
      </c>
      <c r="C271" s="4">
        <v>0</v>
      </c>
      <c r="D271" s="4">
        <v>1</v>
      </c>
      <c r="E271" s="4">
        <v>214</v>
      </c>
      <c r="F271" s="4">
        <f>ROUND(Source!AS254,O271)</f>
        <v>0</v>
      </c>
      <c r="G271" s="4" t="s">
        <v>76</v>
      </c>
      <c r="H271" s="4" t="s">
        <v>77</v>
      </c>
      <c r="I271" s="4"/>
      <c r="J271" s="4"/>
      <c r="K271" s="4">
        <v>214</v>
      </c>
      <c r="L271" s="4">
        <v>16</v>
      </c>
      <c r="M271" s="4">
        <v>3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0</v>
      </c>
      <c r="X271" s="4">
        <v>1</v>
      </c>
      <c r="Y271" s="4">
        <v>0</v>
      </c>
      <c r="Z271" s="4"/>
      <c r="AA271" s="4"/>
      <c r="AB271" s="4"/>
    </row>
    <row r="272" spans="1:28" x14ac:dyDescent="0.2">
      <c r="A272" s="4">
        <v>50</v>
      </c>
      <c r="B272" s="4">
        <v>0</v>
      </c>
      <c r="C272" s="4">
        <v>0</v>
      </c>
      <c r="D272" s="4">
        <v>1</v>
      </c>
      <c r="E272" s="4">
        <v>215</v>
      </c>
      <c r="F272" s="4">
        <f>ROUND(Source!AT254,O272)</f>
        <v>0</v>
      </c>
      <c r="G272" s="4" t="s">
        <v>78</v>
      </c>
      <c r="H272" s="4" t="s">
        <v>79</v>
      </c>
      <c r="I272" s="4"/>
      <c r="J272" s="4"/>
      <c r="K272" s="4">
        <v>215</v>
      </c>
      <c r="L272" s="4">
        <v>17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0</v>
      </c>
      <c r="X272" s="4">
        <v>1</v>
      </c>
      <c r="Y272" s="4">
        <v>0</v>
      </c>
      <c r="Z272" s="4"/>
      <c r="AA272" s="4"/>
      <c r="AB272" s="4"/>
    </row>
    <row r="273" spans="1:245" x14ac:dyDescent="0.2">
      <c r="A273" s="4">
        <v>50</v>
      </c>
      <c r="B273" s="4">
        <v>0</v>
      </c>
      <c r="C273" s="4">
        <v>0</v>
      </c>
      <c r="D273" s="4">
        <v>1</v>
      </c>
      <c r="E273" s="4">
        <v>217</v>
      </c>
      <c r="F273" s="4">
        <f>ROUND(Source!AU254,O273)</f>
        <v>187882.23999999999</v>
      </c>
      <c r="G273" s="4" t="s">
        <v>80</v>
      </c>
      <c r="H273" s="4" t="s">
        <v>81</v>
      </c>
      <c r="I273" s="4"/>
      <c r="J273" s="4"/>
      <c r="K273" s="4">
        <v>217</v>
      </c>
      <c r="L273" s="4">
        <v>18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0</v>
      </c>
      <c r="X273" s="4">
        <v>1</v>
      </c>
      <c r="Y273" s="4">
        <v>0</v>
      </c>
      <c r="Z273" s="4"/>
      <c r="AA273" s="4"/>
      <c r="AB273" s="4"/>
    </row>
    <row r="274" spans="1:245" x14ac:dyDescent="0.2">
      <c r="A274" s="4">
        <v>50</v>
      </c>
      <c r="B274" s="4">
        <v>0</v>
      </c>
      <c r="C274" s="4">
        <v>0</v>
      </c>
      <c r="D274" s="4">
        <v>1</v>
      </c>
      <c r="E274" s="4">
        <v>230</v>
      </c>
      <c r="F274" s="4">
        <f>ROUND(Source!BA254,O274)</f>
        <v>0</v>
      </c>
      <c r="G274" s="4" t="s">
        <v>82</v>
      </c>
      <c r="H274" s="4" t="s">
        <v>83</v>
      </c>
      <c r="I274" s="4"/>
      <c r="J274" s="4"/>
      <c r="K274" s="4">
        <v>230</v>
      </c>
      <c r="L274" s="4">
        <v>19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0</v>
      </c>
      <c r="X274" s="4">
        <v>1</v>
      </c>
      <c r="Y274" s="4">
        <v>0</v>
      </c>
      <c r="Z274" s="4"/>
      <c r="AA274" s="4"/>
      <c r="AB274" s="4"/>
    </row>
    <row r="275" spans="1:245" x14ac:dyDescent="0.2">
      <c r="A275" s="4">
        <v>50</v>
      </c>
      <c r="B275" s="4">
        <v>0</v>
      </c>
      <c r="C275" s="4">
        <v>0</v>
      </c>
      <c r="D275" s="4">
        <v>1</v>
      </c>
      <c r="E275" s="4">
        <v>206</v>
      </c>
      <c r="F275" s="4">
        <f>ROUND(Source!T254,O275)</f>
        <v>0</v>
      </c>
      <c r="G275" s="4" t="s">
        <v>84</v>
      </c>
      <c r="H275" s="4" t="s">
        <v>85</v>
      </c>
      <c r="I275" s="4"/>
      <c r="J275" s="4"/>
      <c r="K275" s="4">
        <v>206</v>
      </c>
      <c r="L275" s="4">
        <v>20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0</v>
      </c>
      <c r="X275" s="4">
        <v>1</v>
      </c>
      <c r="Y275" s="4">
        <v>0</v>
      </c>
      <c r="Z275" s="4"/>
      <c r="AA275" s="4"/>
      <c r="AB275" s="4"/>
    </row>
    <row r="276" spans="1:245" x14ac:dyDescent="0.2">
      <c r="A276" s="4">
        <v>50</v>
      </c>
      <c r="B276" s="4">
        <v>0</v>
      </c>
      <c r="C276" s="4">
        <v>0</v>
      </c>
      <c r="D276" s="4">
        <v>1</v>
      </c>
      <c r="E276" s="4">
        <v>207</v>
      </c>
      <c r="F276" s="4">
        <f>Source!U254</f>
        <v>134.011</v>
      </c>
      <c r="G276" s="4" t="s">
        <v>86</v>
      </c>
      <c r="H276" s="4" t="s">
        <v>87</v>
      </c>
      <c r="I276" s="4"/>
      <c r="J276" s="4"/>
      <c r="K276" s="4">
        <v>207</v>
      </c>
      <c r="L276" s="4">
        <v>21</v>
      </c>
      <c r="M276" s="4">
        <v>3</v>
      </c>
      <c r="N276" s="4" t="s">
        <v>3</v>
      </c>
      <c r="O276" s="4">
        <v>-1</v>
      </c>
      <c r="P276" s="4"/>
      <c r="Q276" s="4"/>
      <c r="R276" s="4"/>
      <c r="S276" s="4"/>
      <c r="T276" s="4"/>
      <c r="U276" s="4"/>
      <c r="V276" s="4"/>
      <c r="W276" s="4">
        <v>0</v>
      </c>
      <c r="X276" s="4">
        <v>1</v>
      </c>
      <c r="Y276" s="4">
        <v>0</v>
      </c>
      <c r="Z276" s="4"/>
      <c r="AA276" s="4"/>
      <c r="AB276" s="4"/>
    </row>
    <row r="277" spans="1:245" x14ac:dyDescent="0.2">
      <c r="A277" s="4">
        <v>50</v>
      </c>
      <c r="B277" s="4">
        <v>0</v>
      </c>
      <c r="C277" s="4">
        <v>0</v>
      </c>
      <c r="D277" s="4">
        <v>1</v>
      </c>
      <c r="E277" s="4">
        <v>208</v>
      </c>
      <c r="F277" s="4">
        <f>Source!V254</f>
        <v>0</v>
      </c>
      <c r="G277" s="4" t="s">
        <v>88</v>
      </c>
      <c r="H277" s="4" t="s">
        <v>89</v>
      </c>
      <c r="I277" s="4"/>
      <c r="J277" s="4"/>
      <c r="K277" s="4">
        <v>208</v>
      </c>
      <c r="L277" s="4">
        <v>22</v>
      </c>
      <c r="M277" s="4">
        <v>3</v>
      </c>
      <c r="N277" s="4" t="s">
        <v>3</v>
      </c>
      <c r="O277" s="4">
        <v>-1</v>
      </c>
      <c r="P277" s="4"/>
      <c r="Q277" s="4"/>
      <c r="R277" s="4"/>
      <c r="S277" s="4"/>
      <c r="T277" s="4"/>
      <c r="U277" s="4"/>
      <c r="V277" s="4"/>
      <c r="W277" s="4">
        <v>0</v>
      </c>
      <c r="X277" s="4">
        <v>1</v>
      </c>
      <c r="Y277" s="4">
        <v>0</v>
      </c>
      <c r="Z277" s="4"/>
      <c r="AA277" s="4"/>
      <c r="AB277" s="4"/>
    </row>
    <row r="278" spans="1:245" x14ac:dyDescent="0.2">
      <c r="A278" s="4">
        <v>50</v>
      </c>
      <c r="B278" s="4">
        <v>0</v>
      </c>
      <c r="C278" s="4">
        <v>0</v>
      </c>
      <c r="D278" s="4">
        <v>1</v>
      </c>
      <c r="E278" s="4">
        <v>209</v>
      </c>
      <c r="F278" s="4">
        <f>ROUND(Source!W254,O278)</f>
        <v>0</v>
      </c>
      <c r="G278" s="4" t="s">
        <v>90</v>
      </c>
      <c r="H278" s="4" t="s">
        <v>91</v>
      </c>
      <c r="I278" s="4"/>
      <c r="J278" s="4"/>
      <c r="K278" s="4">
        <v>209</v>
      </c>
      <c r="L278" s="4">
        <v>23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0</v>
      </c>
      <c r="X278" s="4">
        <v>1</v>
      </c>
      <c r="Y278" s="4">
        <v>0</v>
      </c>
      <c r="Z278" s="4"/>
      <c r="AA278" s="4"/>
      <c r="AB278" s="4"/>
    </row>
    <row r="279" spans="1:245" x14ac:dyDescent="0.2">
      <c r="A279" s="4">
        <v>50</v>
      </c>
      <c r="B279" s="4">
        <v>0</v>
      </c>
      <c r="C279" s="4">
        <v>0</v>
      </c>
      <c r="D279" s="4">
        <v>1</v>
      </c>
      <c r="E279" s="4">
        <v>233</v>
      </c>
      <c r="F279" s="4">
        <f>ROUND(Source!BD254,O279)</f>
        <v>0</v>
      </c>
      <c r="G279" s="4" t="s">
        <v>92</v>
      </c>
      <c r="H279" s="4" t="s">
        <v>93</v>
      </c>
      <c r="I279" s="4"/>
      <c r="J279" s="4"/>
      <c r="K279" s="4">
        <v>233</v>
      </c>
      <c r="L279" s="4">
        <v>24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0</v>
      </c>
      <c r="X279" s="4">
        <v>1</v>
      </c>
      <c r="Y279" s="4">
        <v>0</v>
      </c>
      <c r="Z279" s="4"/>
      <c r="AA279" s="4"/>
      <c r="AB279" s="4"/>
    </row>
    <row r="280" spans="1:245" x14ac:dyDescent="0.2">
      <c r="A280" s="4">
        <v>50</v>
      </c>
      <c r="B280" s="4">
        <v>0</v>
      </c>
      <c r="C280" s="4">
        <v>0</v>
      </c>
      <c r="D280" s="4">
        <v>1</v>
      </c>
      <c r="E280" s="4">
        <v>210</v>
      </c>
      <c r="F280" s="4">
        <f>ROUND(Source!X254,O280)</f>
        <v>60969.18</v>
      </c>
      <c r="G280" s="4" t="s">
        <v>94</v>
      </c>
      <c r="H280" s="4" t="s">
        <v>95</v>
      </c>
      <c r="I280" s="4"/>
      <c r="J280" s="4"/>
      <c r="K280" s="4">
        <v>210</v>
      </c>
      <c r="L280" s="4">
        <v>25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45" x14ac:dyDescent="0.2">
      <c r="A281" s="4">
        <v>50</v>
      </c>
      <c r="B281" s="4">
        <v>0</v>
      </c>
      <c r="C281" s="4">
        <v>0</v>
      </c>
      <c r="D281" s="4">
        <v>1</v>
      </c>
      <c r="E281" s="4">
        <v>211</v>
      </c>
      <c r="F281" s="4">
        <f>ROUND(Source!Y254,O281)</f>
        <v>8709.8799999999992</v>
      </c>
      <c r="G281" s="4" t="s">
        <v>96</v>
      </c>
      <c r="H281" s="4" t="s">
        <v>97</v>
      </c>
      <c r="I281" s="4"/>
      <c r="J281" s="4"/>
      <c r="K281" s="4">
        <v>211</v>
      </c>
      <c r="L281" s="4">
        <v>26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0</v>
      </c>
      <c r="X281" s="4">
        <v>1</v>
      </c>
      <c r="Y281" s="4">
        <v>0</v>
      </c>
      <c r="Z281" s="4"/>
      <c r="AA281" s="4"/>
      <c r="AB281" s="4"/>
    </row>
    <row r="282" spans="1:245" x14ac:dyDescent="0.2">
      <c r="A282" s="4">
        <v>50</v>
      </c>
      <c r="B282" s="4">
        <v>0</v>
      </c>
      <c r="C282" s="4">
        <v>0</v>
      </c>
      <c r="D282" s="4">
        <v>1</v>
      </c>
      <c r="E282" s="4">
        <v>224</v>
      </c>
      <c r="F282" s="4">
        <f>ROUND(Source!AR254,O282)</f>
        <v>187882.23999999999</v>
      </c>
      <c r="G282" s="4" t="s">
        <v>98</v>
      </c>
      <c r="H282" s="4" t="s">
        <v>99</v>
      </c>
      <c r="I282" s="4"/>
      <c r="J282" s="4"/>
      <c r="K282" s="4">
        <v>224</v>
      </c>
      <c r="L282" s="4">
        <v>27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0</v>
      </c>
      <c r="X282" s="4">
        <v>1</v>
      </c>
      <c r="Y282" s="4">
        <v>0</v>
      </c>
      <c r="Z282" s="4"/>
      <c r="AA282" s="4"/>
      <c r="AB282" s="4"/>
    </row>
    <row r="284" spans="1:245" x14ac:dyDescent="0.2">
      <c r="A284" s="1">
        <v>5</v>
      </c>
      <c r="B284" s="1">
        <v>1</v>
      </c>
      <c r="C284" s="1"/>
      <c r="D284" s="1">
        <f>ROW(A297)</f>
        <v>297</v>
      </c>
      <c r="E284" s="1"/>
      <c r="F284" s="1" t="s">
        <v>15</v>
      </c>
      <c r="G284" s="1" t="s">
        <v>236</v>
      </c>
      <c r="H284" s="1" t="s">
        <v>3</v>
      </c>
      <c r="I284" s="1">
        <v>0</v>
      </c>
      <c r="J284" s="1"/>
      <c r="K284" s="1">
        <v>0</v>
      </c>
      <c r="L284" s="1"/>
      <c r="M284" s="1" t="s">
        <v>3</v>
      </c>
      <c r="N284" s="1"/>
      <c r="O284" s="1"/>
      <c r="P284" s="1"/>
      <c r="Q284" s="1"/>
      <c r="R284" s="1"/>
      <c r="S284" s="1">
        <v>0</v>
      </c>
      <c r="T284" s="1"/>
      <c r="U284" s="1" t="s">
        <v>3</v>
      </c>
      <c r="V284" s="1">
        <v>0</v>
      </c>
      <c r="W284" s="1"/>
      <c r="X284" s="1"/>
      <c r="Y284" s="1"/>
      <c r="Z284" s="1"/>
      <c r="AA284" s="1"/>
      <c r="AB284" s="1" t="s">
        <v>3</v>
      </c>
      <c r="AC284" s="1" t="s">
        <v>3</v>
      </c>
      <c r="AD284" s="1" t="s">
        <v>3</v>
      </c>
      <c r="AE284" s="1" t="s">
        <v>3</v>
      </c>
      <c r="AF284" s="1" t="s">
        <v>3</v>
      </c>
      <c r="AG284" s="1" t="s">
        <v>3</v>
      </c>
      <c r="AH284" s="1"/>
      <c r="AI284" s="1"/>
      <c r="AJ284" s="1"/>
      <c r="AK284" s="1"/>
      <c r="AL284" s="1"/>
      <c r="AM284" s="1"/>
      <c r="AN284" s="1"/>
      <c r="AO284" s="1"/>
      <c r="AP284" s="1" t="s">
        <v>3</v>
      </c>
      <c r="AQ284" s="1" t="s">
        <v>3</v>
      </c>
      <c r="AR284" s="1" t="s">
        <v>3</v>
      </c>
      <c r="AS284" s="1"/>
      <c r="AT284" s="1"/>
      <c r="AU284" s="1"/>
      <c r="AV284" s="1"/>
      <c r="AW284" s="1"/>
      <c r="AX284" s="1"/>
      <c r="AY284" s="1"/>
      <c r="AZ284" s="1" t="s">
        <v>3</v>
      </c>
      <c r="BA284" s="1"/>
      <c r="BB284" s="1" t="s">
        <v>3</v>
      </c>
      <c r="BC284" s="1" t="s">
        <v>3</v>
      </c>
      <c r="BD284" s="1" t="s">
        <v>3</v>
      </c>
      <c r="BE284" s="1" t="s">
        <v>3</v>
      </c>
      <c r="BF284" s="1" t="s">
        <v>3</v>
      </c>
      <c r="BG284" s="1" t="s">
        <v>3</v>
      </c>
      <c r="BH284" s="1" t="s">
        <v>3</v>
      </c>
      <c r="BI284" s="1" t="s">
        <v>3</v>
      </c>
      <c r="BJ284" s="1" t="s">
        <v>3</v>
      </c>
      <c r="BK284" s="1" t="s">
        <v>3</v>
      </c>
      <c r="BL284" s="1" t="s">
        <v>3</v>
      </c>
      <c r="BM284" s="1" t="s">
        <v>3</v>
      </c>
      <c r="BN284" s="1" t="s">
        <v>3</v>
      </c>
      <c r="BO284" s="1" t="s">
        <v>3</v>
      </c>
      <c r="BP284" s="1" t="s">
        <v>3</v>
      </c>
      <c r="BQ284" s="1"/>
      <c r="BR284" s="1"/>
      <c r="BS284" s="1"/>
      <c r="BT284" s="1"/>
      <c r="BU284" s="1"/>
      <c r="BV284" s="1"/>
      <c r="BW284" s="1"/>
      <c r="BX284" s="1">
        <v>0</v>
      </c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>
        <v>0</v>
      </c>
    </row>
    <row r="286" spans="1:245" x14ac:dyDescent="0.2">
      <c r="A286" s="2">
        <v>52</v>
      </c>
      <c r="B286" s="2">
        <f t="shared" ref="B286:G286" si="194">B297</f>
        <v>1</v>
      </c>
      <c r="C286" s="2">
        <f t="shared" si="194"/>
        <v>5</v>
      </c>
      <c r="D286" s="2">
        <f t="shared" si="194"/>
        <v>284</v>
      </c>
      <c r="E286" s="2">
        <f t="shared" si="194"/>
        <v>0</v>
      </c>
      <c r="F286" s="2" t="str">
        <f t="shared" si="194"/>
        <v>Новый подраздел</v>
      </c>
      <c r="G286" s="2" t="str">
        <f t="shared" si="194"/>
        <v>Система УУТЭ</v>
      </c>
      <c r="H286" s="2"/>
      <c r="I286" s="2"/>
      <c r="J286" s="2"/>
      <c r="K286" s="2"/>
      <c r="L286" s="2"/>
      <c r="M286" s="2"/>
      <c r="N286" s="2"/>
      <c r="O286" s="2">
        <f t="shared" ref="O286:AT286" si="195">O297</f>
        <v>74841.66</v>
      </c>
      <c r="P286" s="2">
        <f t="shared" si="195"/>
        <v>964.14</v>
      </c>
      <c r="Q286" s="2">
        <f t="shared" si="195"/>
        <v>0</v>
      </c>
      <c r="R286" s="2">
        <f t="shared" si="195"/>
        <v>0</v>
      </c>
      <c r="S286" s="2">
        <f t="shared" si="195"/>
        <v>73877.52</v>
      </c>
      <c r="T286" s="2">
        <f t="shared" si="195"/>
        <v>0</v>
      </c>
      <c r="U286" s="2">
        <f t="shared" si="195"/>
        <v>95.76</v>
      </c>
      <c r="V286" s="2">
        <f t="shared" si="195"/>
        <v>0</v>
      </c>
      <c r="W286" s="2">
        <f t="shared" si="195"/>
        <v>0</v>
      </c>
      <c r="X286" s="2">
        <f t="shared" si="195"/>
        <v>51714.27</v>
      </c>
      <c r="Y286" s="2">
        <f t="shared" si="195"/>
        <v>7387.75</v>
      </c>
      <c r="Z286" s="2">
        <f t="shared" si="195"/>
        <v>0</v>
      </c>
      <c r="AA286" s="2">
        <f t="shared" si="195"/>
        <v>0</v>
      </c>
      <c r="AB286" s="2">
        <f t="shared" si="195"/>
        <v>74841.66</v>
      </c>
      <c r="AC286" s="2">
        <f t="shared" si="195"/>
        <v>964.14</v>
      </c>
      <c r="AD286" s="2">
        <f t="shared" si="195"/>
        <v>0</v>
      </c>
      <c r="AE286" s="2">
        <f t="shared" si="195"/>
        <v>0</v>
      </c>
      <c r="AF286" s="2">
        <f t="shared" si="195"/>
        <v>73877.52</v>
      </c>
      <c r="AG286" s="2">
        <f t="shared" si="195"/>
        <v>0</v>
      </c>
      <c r="AH286" s="2">
        <f t="shared" si="195"/>
        <v>95.76</v>
      </c>
      <c r="AI286" s="2">
        <f t="shared" si="195"/>
        <v>0</v>
      </c>
      <c r="AJ286" s="2">
        <f t="shared" si="195"/>
        <v>0</v>
      </c>
      <c r="AK286" s="2">
        <f t="shared" si="195"/>
        <v>51714.27</v>
      </c>
      <c r="AL286" s="2">
        <f t="shared" si="195"/>
        <v>7387.75</v>
      </c>
      <c r="AM286" s="2">
        <f t="shared" si="195"/>
        <v>0</v>
      </c>
      <c r="AN286" s="2">
        <f t="shared" si="195"/>
        <v>0</v>
      </c>
      <c r="AO286" s="2">
        <f t="shared" si="195"/>
        <v>0</v>
      </c>
      <c r="AP286" s="2">
        <f t="shared" si="195"/>
        <v>0</v>
      </c>
      <c r="AQ286" s="2">
        <f t="shared" si="195"/>
        <v>0</v>
      </c>
      <c r="AR286" s="2">
        <f t="shared" si="195"/>
        <v>133943.67999999999</v>
      </c>
      <c r="AS286" s="2">
        <f t="shared" si="195"/>
        <v>0</v>
      </c>
      <c r="AT286" s="2">
        <f t="shared" si="195"/>
        <v>0</v>
      </c>
      <c r="AU286" s="2">
        <f t="shared" ref="AU286:BZ286" si="196">AU297</f>
        <v>133943.67999999999</v>
      </c>
      <c r="AV286" s="2">
        <f t="shared" si="196"/>
        <v>964.14</v>
      </c>
      <c r="AW286" s="2">
        <f t="shared" si="196"/>
        <v>964.14</v>
      </c>
      <c r="AX286" s="2">
        <f t="shared" si="196"/>
        <v>0</v>
      </c>
      <c r="AY286" s="2">
        <f t="shared" si="196"/>
        <v>964.14</v>
      </c>
      <c r="AZ286" s="2">
        <f t="shared" si="196"/>
        <v>0</v>
      </c>
      <c r="BA286" s="2">
        <f t="shared" si="196"/>
        <v>0</v>
      </c>
      <c r="BB286" s="2">
        <f t="shared" si="196"/>
        <v>0</v>
      </c>
      <c r="BC286" s="2">
        <f t="shared" si="196"/>
        <v>0</v>
      </c>
      <c r="BD286" s="2">
        <f t="shared" si="196"/>
        <v>0</v>
      </c>
      <c r="BE286" s="2">
        <f t="shared" si="196"/>
        <v>0</v>
      </c>
      <c r="BF286" s="2">
        <f t="shared" si="196"/>
        <v>0</v>
      </c>
      <c r="BG286" s="2">
        <f t="shared" si="196"/>
        <v>0</v>
      </c>
      <c r="BH286" s="2">
        <f t="shared" si="196"/>
        <v>0</v>
      </c>
      <c r="BI286" s="2">
        <f t="shared" si="196"/>
        <v>0</v>
      </c>
      <c r="BJ286" s="2">
        <f t="shared" si="196"/>
        <v>0</v>
      </c>
      <c r="BK286" s="2">
        <f t="shared" si="196"/>
        <v>0</v>
      </c>
      <c r="BL286" s="2">
        <f t="shared" si="196"/>
        <v>0</v>
      </c>
      <c r="BM286" s="2">
        <f t="shared" si="196"/>
        <v>0</v>
      </c>
      <c r="BN286" s="2">
        <f t="shared" si="196"/>
        <v>0</v>
      </c>
      <c r="BO286" s="2">
        <f t="shared" si="196"/>
        <v>0</v>
      </c>
      <c r="BP286" s="2">
        <f t="shared" si="196"/>
        <v>0</v>
      </c>
      <c r="BQ286" s="2">
        <f t="shared" si="196"/>
        <v>0</v>
      </c>
      <c r="BR286" s="2">
        <f t="shared" si="196"/>
        <v>0</v>
      </c>
      <c r="BS286" s="2">
        <f t="shared" si="196"/>
        <v>0</v>
      </c>
      <c r="BT286" s="2">
        <f t="shared" si="196"/>
        <v>0</v>
      </c>
      <c r="BU286" s="2">
        <f t="shared" si="196"/>
        <v>0</v>
      </c>
      <c r="BV286" s="2">
        <f t="shared" si="196"/>
        <v>0</v>
      </c>
      <c r="BW286" s="2">
        <f t="shared" si="196"/>
        <v>0</v>
      </c>
      <c r="BX286" s="2">
        <f t="shared" si="196"/>
        <v>0</v>
      </c>
      <c r="BY286" s="2">
        <f t="shared" si="196"/>
        <v>0</v>
      </c>
      <c r="BZ286" s="2">
        <f t="shared" si="196"/>
        <v>0</v>
      </c>
      <c r="CA286" s="2">
        <f t="shared" ref="CA286:DF286" si="197">CA297</f>
        <v>133943.67999999999</v>
      </c>
      <c r="CB286" s="2">
        <f t="shared" si="197"/>
        <v>0</v>
      </c>
      <c r="CC286" s="2">
        <f t="shared" si="197"/>
        <v>0</v>
      </c>
      <c r="CD286" s="2">
        <f t="shared" si="197"/>
        <v>133943.67999999999</v>
      </c>
      <c r="CE286" s="2">
        <f t="shared" si="197"/>
        <v>964.14</v>
      </c>
      <c r="CF286" s="2">
        <f t="shared" si="197"/>
        <v>964.14</v>
      </c>
      <c r="CG286" s="2">
        <f t="shared" si="197"/>
        <v>0</v>
      </c>
      <c r="CH286" s="2">
        <f t="shared" si="197"/>
        <v>964.14</v>
      </c>
      <c r="CI286" s="2">
        <f t="shared" si="197"/>
        <v>0</v>
      </c>
      <c r="CJ286" s="2">
        <f t="shared" si="197"/>
        <v>0</v>
      </c>
      <c r="CK286" s="2">
        <f t="shared" si="197"/>
        <v>0</v>
      </c>
      <c r="CL286" s="2">
        <f t="shared" si="197"/>
        <v>0</v>
      </c>
      <c r="CM286" s="2">
        <f t="shared" si="197"/>
        <v>0</v>
      </c>
      <c r="CN286" s="2">
        <f t="shared" si="197"/>
        <v>0</v>
      </c>
      <c r="CO286" s="2">
        <f t="shared" si="197"/>
        <v>0</v>
      </c>
      <c r="CP286" s="2">
        <f t="shared" si="197"/>
        <v>0</v>
      </c>
      <c r="CQ286" s="2">
        <f t="shared" si="197"/>
        <v>0</v>
      </c>
      <c r="CR286" s="2">
        <f t="shared" si="197"/>
        <v>0</v>
      </c>
      <c r="CS286" s="2">
        <f t="shared" si="197"/>
        <v>0</v>
      </c>
      <c r="CT286" s="2">
        <f t="shared" si="197"/>
        <v>0</v>
      </c>
      <c r="CU286" s="2">
        <f t="shared" si="197"/>
        <v>0</v>
      </c>
      <c r="CV286" s="2">
        <f t="shared" si="197"/>
        <v>0</v>
      </c>
      <c r="CW286" s="2">
        <f t="shared" si="197"/>
        <v>0</v>
      </c>
      <c r="CX286" s="2">
        <f t="shared" si="197"/>
        <v>0</v>
      </c>
      <c r="CY286" s="2">
        <f t="shared" si="197"/>
        <v>0</v>
      </c>
      <c r="CZ286" s="2">
        <f t="shared" si="197"/>
        <v>0</v>
      </c>
      <c r="DA286" s="2">
        <f t="shared" si="197"/>
        <v>0</v>
      </c>
      <c r="DB286" s="2">
        <f t="shared" si="197"/>
        <v>0</v>
      </c>
      <c r="DC286" s="2">
        <f t="shared" si="197"/>
        <v>0</v>
      </c>
      <c r="DD286" s="2">
        <f t="shared" si="197"/>
        <v>0</v>
      </c>
      <c r="DE286" s="2">
        <f t="shared" si="197"/>
        <v>0</v>
      </c>
      <c r="DF286" s="2">
        <f t="shared" si="197"/>
        <v>0</v>
      </c>
      <c r="DG286" s="3">
        <f t="shared" ref="DG286:EL286" si="198">DG297</f>
        <v>0</v>
      </c>
      <c r="DH286" s="3">
        <f t="shared" si="198"/>
        <v>0</v>
      </c>
      <c r="DI286" s="3">
        <f t="shared" si="198"/>
        <v>0</v>
      </c>
      <c r="DJ286" s="3">
        <f t="shared" si="198"/>
        <v>0</v>
      </c>
      <c r="DK286" s="3">
        <f t="shared" si="198"/>
        <v>0</v>
      </c>
      <c r="DL286" s="3">
        <f t="shared" si="198"/>
        <v>0</v>
      </c>
      <c r="DM286" s="3">
        <f t="shared" si="198"/>
        <v>0</v>
      </c>
      <c r="DN286" s="3">
        <f t="shared" si="198"/>
        <v>0</v>
      </c>
      <c r="DO286" s="3">
        <f t="shared" si="198"/>
        <v>0</v>
      </c>
      <c r="DP286" s="3">
        <f t="shared" si="198"/>
        <v>0</v>
      </c>
      <c r="DQ286" s="3">
        <f t="shared" si="198"/>
        <v>0</v>
      </c>
      <c r="DR286" s="3">
        <f t="shared" si="198"/>
        <v>0</v>
      </c>
      <c r="DS286" s="3">
        <f t="shared" si="198"/>
        <v>0</v>
      </c>
      <c r="DT286" s="3">
        <f t="shared" si="198"/>
        <v>0</v>
      </c>
      <c r="DU286" s="3">
        <f t="shared" si="198"/>
        <v>0</v>
      </c>
      <c r="DV286" s="3">
        <f t="shared" si="198"/>
        <v>0</v>
      </c>
      <c r="DW286" s="3">
        <f t="shared" si="198"/>
        <v>0</v>
      </c>
      <c r="DX286" s="3">
        <f t="shared" si="198"/>
        <v>0</v>
      </c>
      <c r="DY286" s="3">
        <f t="shared" si="198"/>
        <v>0</v>
      </c>
      <c r="DZ286" s="3">
        <f t="shared" si="198"/>
        <v>0</v>
      </c>
      <c r="EA286" s="3">
        <f t="shared" si="198"/>
        <v>0</v>
      </c>
      <c r="EB286" s="3">
        <f t="shared" si="198"/>
        <v>0</v>
      </c>
      <c r="EC286" s="3">
        <f t="shared" si="198"/>
        <v>0</v>
      </c>
      <c r="ED286" s="3">
        <f t="shared" si="198"/>
        <v>0</v>
      </c>
      <c r="EE286" s="3">
        <f t="shared" si="198"/>
        <v>0</v>
      </c>
      <c r="EF286" s="3">
        <f t="shared" si="198"/>
        <v>0</v>
      </c>
      <c r="EG286" s="3">
        <f t="shared" si="198"/>
        <v>0</v>
      </c>
      <c r="EH286" s="3">
        <f t="shared" si="198"/>
        <v>0</v>
      </c>
      <c r="EI286" s="3">
        <f t="shared" si="198"/>
        <v>0</v>
      </c>
      <c r="EJ286" s="3">
        <f t="shared" si="198"/>
        <v>0</v>
      </c>
      <c r="EK286" s="3">
        <f t="shared" si="198"/>
        <v>0</v>
      </c>
      <c r="EL286" s="3">
        <f t="shared" si="198"/>
        <v>0</v>
      </c>
      <c r="EM286" s="3">
        <f t="shared" ref="EM286:FR286" si="199">EM297</f>
        <v>0</v>
      </c>
      <c r="EN286" s="3">
        <f t="shared" si="199"/>
        <v>0</v>
      </c>
      <c r="EO286" s="3">
        <f t="shared" si="199"/>
        <v>0</v>
      </c>
      <c r="EP286" s="3">
        <f t="shared" si="199"/>
        <v>0</v>
      </c>
      <c r="EQ286" s="3">
        <f t="shared" si="199"/>
        <v>0</v>
      </c>
      <c r="ER286" s="3">
        <f t="shared" si="199"/>
        <v>0</v>
      </c>
      <c r="ES286" s="3">
        <f t="shared" si="199"/>
        <v>0</v>
      </c>
      <c r="ET286" s="3">
        <f t="shared" si="199"/>
        <v>0</v>
      </c>
      <c r="EU286" s="3">
        <f t="shared" si="199"/>
        <v>0</v>
      </c>
      <c r="EV286" s="3">
        <f t="shared" si="199"/>
        <v>0</v>
      </c>
      <c r="EW286" s="3">
        <f t="shared" si="199"/>
        <v>0</v>
      </c>
      <c r="EX286" s="3">
        <f t="shared" si="199"/>
        <v>0</v>
      </c>
      <c r="EY286" s="3">
        <f t="shared" si="199"/>
        <v>0</v>
      </c>
      <c r="EZ286" s="3">
        <f t="shared" si="199"/>
        <v>0</v>
      </c>
      <c r="FA286" s="3">
        <f t="shared" si="199"/>
        <v>0</v>
      </c>
      <c r="FB286" s="3">
        <f t="shared" si="199"/>
        <v>0</v>
      </c>
      <c r="FC286" s="3">
        <f t="shared" si="199"/>
        <v>0</v>
      </c>
      <c r="FD286" s="3">
        <f t="shared" si="199"/>
        <v>0</v>
      </c>
      <c r="FE286" s="3">
        <f t="shared" si="199"/>
        <v>0</v>
      </c>
      <c r="FF286" s="3">
        <f t="shared" si="199"/>
        <v>0</v>
      </c>
      <c r="FG286" s="3">
        <f t="shared" si="199"/>
        <v>0</v>
      </c>
      <c r="FH286" s="3">
        <f t="shared" si="199"/>
        <v>0</v>
      </c>
      <c r="FI286" s="3">
        <f t="shared" si="199"/>
        <v>0</v>
      </c>
      <c r="FJ286" s="3">
        <f t="shared" si="199"/>
        <v>0</v>
      </c>
      <c r="FK286" s="3">
        <f t="shared" si="199"/>
        <v>0</v>
      </c>
      <c r="FL286" s="3">
        <f t="shared" si="199"/>
        <v>0</v>
      </c>
      <c r="FM286" s="3">
        <f t="shared" si="199"/>
        <v>0</v>
      </c>
      <c r="FN286" s="3">
        <f t="shared" si="199"/>
        <v>0</v>
      </c>
      <c r="FO286" s="3">
        <f t="shared" si="199"/>
        <v>0</v>
      </c>
      <c r="FP286" s="3">
        <f t="shared" si="199"/>
        <v>0</v>
      </c>
      <c r="FQ286" s="3">
        <f t="shared" si="199"/>
        <v>0</v>
      </c>
      <c r="FR286" s="3">
        <f t="shared" si="199"/>
        <v>0</v>
      </c>
      <c r="FS286" s="3">
        <f t="shared" ref="FS286:GX286" si="200">FS297</f>
        <v>0</v>
      </c>
      <c r="FT286" s="3">
        <f t="shared" si="200"/>
        <v>0</v>
      </c>
      <c r="FU286" s="3">
        <f t="shared" si="200"/>
        <v>0</v>
      </c>
      <c r="FV286" s="3">
        <f t="shared" si="200"/>
        <v>0</v>
      </c>
      <c r="FW286" s="3">
        <f t="shared" si="200"/>
        <v>0</v>
      </c>
      <c r="FX286" s="3">
        <f t="shared" si="200"/>
        <v>0</v>
      </c>
      <c r="FY286" s="3">
        <f t="shared" si="200"/>
        <v>0</v>
      </c>
      <c r="FZ286" s="3">
        <f t="shared" si="200"/>
        <v>0</v>
      </c>
      <c r="GA286" s="3">
        <f t="shared" si="200"/>
        <v>0</v>
      </c>
      <c r="GB286" s="3">
        <f t="shared" si="200"/>
        <v>0</v>
      </c>
      <c r="GC286" s="3">
        <f t="shared" si="200"/>
        <v>0</v>
      </c>
      <c r="GD286" s="3">
        <f t="shared" si="200"/>
        <v>0</v>
      </c>
      <c r="GE286" s="3">
        <f t="shared" si="200"/>
        <v>0</v>
      </c>
      <c r="GF286" s="3">
        <f t="shared" si="200"/>
        <v>0</v>
      </c>
      <c r="GG286" s="3">
        <f t="shared" si="200"/>
        <v>0</v>
      </c>
      <c r="GH286" s="3">
        <f t="shared" si="200"/>
        <v>0</v>
      </c>
      <c r="GI286" s="3">
        <f t="shared" si="200"/>
        <v>0</v>
      </c>
      <c r="GJ286" s="3">
        <f t="shared" si="200"/>
        <v>0</v>
      </c>
      <c r="GK286" s="3">
        <f t="shared" si="200"/>
        <v>0</v>
      </c>
      <c r="GL286" s="3">
        <f t="shared" si="200"/>
        <v>0</v>
      </c>
      <c r="GM286" s="3">
        <f t="shared" si="200"/>
        <v>0</v>
      </c>
      <c r="GN286" s="3">
        <f t="shared" si="200"/>
        <v>0</v>
      </c>
      <c r="GO286" s="3">
        <f t="shared" si="200"/>
        <v>0</v>
      </c>
      <c r="GP286" s="3">
        <f t="shared" si="200"/>
        <v>0</v>
      </c>
      <c r="GQ286" s="3">
        <f t="shared" si="200"/>
        <v>0</v>
      </c>
      <c r="GR286" s="3">
        <f t="shared" si="200"/>
        <v>0</v>
      </c>
      <c r="GS286" s="3">
        <f t="shared" si="200"/>
        <v>0</v>
      </c>
      <c r="GT286" s="3">
        <f t="shared" si="200"/>
        <v>0</v>
      </c>
      <c r="GU286" s="3">
        <f t="shared" si="200"/>
        <v>0</v>
      </c>
      <c r="GV286" s="3">
        <f t="shared" si="200"/>
        <v>0</v>
      </c>
      <c r="GW286" s="3">
        <f t="shared" si="200"/>
        <v>0</v>
      </c>
      <c r="GX286" s="3">
        <f t="shared" si="200"/>
        <v>0</v>
      </c>
    </row>
    <row r="288" spans="1:245" x14ac:dyDescent="0.2">
      <c r="A288">
        <v>19</v>
      </c>
      <c r="B288">
        <v>1</v>
      </c>
      <c r="F288" t="s">
        <v>3</v>
      </c>
      <c r="G288" t="s">
        <v>237</v>
      </c>
      <c r="H288" t="s">
        <v>3</v>
      </c>
      <c r="AA288">
        <v>1</v>
      </c>
      <c r="IK288">
        <v>0</v>
      </c>
    </row>
    <row r="289" spans="1:245" x14ac:dyDescent="0.2">
      <c r="A289">
        <v>17</v>
      </c>
      <c r="B289">
        <v>1</v>
      </c>
      <c r="D289">
        <f>ROW(EtalonRes!A151)</f>
        <v>151</v>
      </c>
      <c r="E289" t="s">
        <v>238</v>
      </c>
      <c r="F289" t="s">
        <v>180</v>
      </c>
      <c r="G289" t="s">
        <v>239</v>
      </c>
      <c r="H289" t="s">
        <v>32</v>
      </c>
      <c r="I289">
        <f>ROUND(1*4,9)</f>
        <v>4</v>
      </c>
      <c r="J289">
        <v>0</v>
      </c>
      <c r="K289">
        <f>ROUND(1*4,9)</f>
        <v>4</v>
      </c>
      <c r="O289">
        <f t="shared" ref="O289:O295" si="201">ROUND(CP289,2)</f>
        <v>12097.52</v>
      </c>
      <c r="P289">
        <f t="shared" ref="P289:P295" si="202">ROUND(CQ289*I289,2)</f>
        <v>153.12</v>
      </c>
      <c r="Q289">
        <f t="shared" ref="Q289:Q295" si="203">ROUND(CR289*I289,2)</f>
        <v>0</v>
      </c>
      <c r="R289">
        <f t="shared" ref="R289:R295" si="204">ROUND(CS289*I289,2)</f>
        <v>0</v>
      </c>
      <c r="S289">
        <f t="shared" ref="S289:S295" si="205">ROUND(CT289*I289,2)</f>
        <v>11944.4</v>
      </c>
      <c r="T289">
        <f t="shared" ref="T289:T295" si="206">ROUND(CU289*I289,2)</f>
        <v>0</v>
      </c>
      <c r="U289">
        <f t="shared" ref="U289:U295" si="207">CV289*I289</f>
        <v>14.4</v>
      </c>
      <c r="V289">
        <f t="shared" ref="V289:V295" si="208">CW289*I289</f>
        <v>0</v>
      </c>
      <c r="W289">
        <f t="shared" ref="W289:W295" si="209">ROUND(CX289*I289,2)</f>
        <v>0</v>
      </c>
      <c r="X289">
        <f t="shared" ref="X289:Y295" si="210">ROUND(CY289,2)</f>
        <v>8361.08</v>
      </c>
      <c r="Y289">
        <f t="shared" si="210"/>
        <v>1194.44</v>
      </c>
      <c r="AA289">
        <v>1472224561</v>
      </c>
      <c r="AB289">
        <f t="shared" ref="AB289:AB295" si="211">ROUND((AC289+AD289+AF289),6)</f>
        <v>3024.38</v>
      </c>
      <c r="AC289">
        <f>ROUND(((ES289*2)),6)</f>
        <v>38.28</v>
      </c>
      <c r="AD289">
        <f>ROUND(((((ET289*2))-((EU289*2)))+AE289),6)</f>
        <v>0</v>
      </c>
      <c r="AE289">
        <f t="shared" ref="AE289:AF293" si="212">ROUND(((EU289*2)),6)</f>
        <v>0</v>
      </c>
      <c r="AF289">
        <f t="shared" si="212"/>
        <v>2986.1</v>
      </c>
      <c r="AG289">
        <f t="shared" ref="AG289:AG295" si="213">ROUND((AP289),6)</f>
        <v>0</v>
      </c>
      <c r="AH289">
        <f t="shared" ref="AH289:AI293" si="214">((EW289*2))</f>
        <v>3.6</v>
      </c>
      <c r="AI289">
        <f t="shared" si="214"/>
        <v>0</v>
      </c>
      <c r="AJ289">
        <f t="shared" ref="AJ289:AJ295" si="215">(AS289)</f>
        <v>0</v>
      </c>
      <c r="AK289">
        <v>1512.19</v>
      </c>
      <c r="AL289">
        <v>19.14</v>
      </c>
      <c r="AM289">
        <v>0</v>
      </c>
      <c r="AN289">
        <v>0</v>
      </c>
      <c r="AO289">
        <v>1493.05</v>
      </c>
      <c r="AP289">
        <v>0</v>
      </c>
      <c r="AQ289">
        <v>1.8</v>
      </c>
      <c r="AR289">
        <v>0</v>
      </c>
      <c r="AS289">
        <v>0</v>
      </c>
      <c r="AT289">
        <v>70</v>
      </c>
      <c r="AU289">
        <v>10</v>
      </c>
      <c r="AV289">
        <v>1</v>
      </c>
      <c r="AW289">
        <v>1</v>
      </c>
      <c r="AZ289">
        <v>1</v>
      </c>
      <c r="BA289">
        <v>1</v>
      </c>
      <c r="BB289">
        <v>1</v>
      </c>
      <c r="BC289">
        <v>1</v>
      </c>
      <c r="BD289" t="s">
        <v>3</v>
      </c>
      <c r="BE289" t="s">
        <v>3</v>
      </c>
      <c r="BF289" t="s">
        <v>3</v>
      </c>
      <c r="BG289" t="s">
        <v>3</v>
      </c>
      <c r="BH289">
        <v>0</v>
      </c>
      <c r="BI289">
        <v>4</v>
      </c>
      <c r="BJ289" t="s">
        <v>182</v>
      </c>
      <c r="BM289">
        <v>0</v>
      </c>
      <c r="BN289">
        <v>0</v>
      </c>
      <c r="BO289" t="s">
        <v>3</v>
      </c>
      <c r="BP289">
        <v>0</v>
      </c>
      <c r="BQ289">
        <v>1</v>
      </c>
      <c r="BR289">
        <v>0</v>
      </c>
      <c r="BS289">
        <v>1</v>
      </c>
      <c r="BT289">
        <v>1</v>
      </c>
      <c r="BU289">
        <v>1</v>
      </c>
      <c r="BV289">
        <v>1</v>
      </c>
      <c r="BW289">
        <v>1</v>
      </c>
      <c r="BX289">
        <v>1</v>
      </c>
      <c r="BY289" t="s">
        <v>3</v>
      </c>
      <c r="BZ289">
        <v>70</v>
      </c>
      <c r="CA289">
        <v>10</v>
      </c>
      <c r="CB289" t="s">
        <v>3</v>
      </c>
      <c r="CE289">
        <v>0</v>
      </c>
      <c r="CF289">
        <v>0</v>
      </c>
      <c r="CG289">
        <v>0</v>
      </c>
      <c r="CM289">
        <v>0</v>
      </c>
      <c r="CN289" t="s">
        <v>3</v>
      </c>
      <c r="CO289">
        <v>0</v>
      </c>
      <c r="CP289">
        <f t="shared" ref="CP289:CP295" si="216">(P289+Q289+S289)</f>
        <v>12097.52</v>
      </c>
      <c r="CQ289">
        <f t="shared" ref="CQ289:CQ295" si="217">(AC289*BC289*AW289)</f>
        <v>38.28</v>
      </c>
      <c r="CR289">
        <f>(((((ET289*2))*BB289-((EU289*2))*BS289)+AE289*BS289)*AV289)</f>
        <v>0</v>
      </c>
      <c r="CS289">
        <f t="shared" ref="CS289:CS295" si="218">(AE289*BS289*AV289)</f>
        <v>0</v>
      </c>
      <c r="CT289">
        <f t="shared" ref="CT289:CT295" si="219">(AF289*BA289*AV289)</f>
        <v>2986.1</v>
      </c>
      <c r="CU289">
        <f t="shared" ref="CU289:CU295" si="220">AG289</f>
        <v>0</v>
      </c>
      <c r="CV289">
        <f t="shared" ref="CV289:CV295" si="221">(AH289*AV289)</f>
        <v>3.6</v>
      </c>
      <c r="CW289">
        <f t="shared" ref="CW289:CX295" si="222">AI289</f>
        <v>0</v>
      </c>
      <c r="CX289">
        <f t="shared" si="222"/>
        <v>0</v>
      </c>
      <c r="CY289">
        <f t="shared" ref="CY289:CY295" si="223">((S289*BZ289)/100)</f>
        <v>8361.08</v>
      </c>
      <c r="CZ289">
        <f t="shared" ref="CZ289:CZ295" si="224">((S289*CA289)/100)</f>
        <v>1194.44</v>
      </c>
      <c r="DC289" t="s">
        <v>3</v>
      </c>
      <c r="DD289" t="s">
        <v>164</v>
      </c>
      <c r="DE289" t="s">
        <v>164</v>
      </c>
      <c r="DF289" t="s">
        <v>164</v>
      </c>
      <c r="DG289" t="s">
        <v>164</v>
      </c>
      <c r="DH289" t="s">
        <v>3</v>
      </c>
      <c r="DI289" t="s">
        <v>164</v>
      </c>
      <c r="DJ289" t="s">
        <v>164</v>
      </c>
      <c r="DK289" t="s">
        <v>3</v>
      </c>
      <c r="DL289" t="s">
        <v>3</v>
      </c>
      <c r="DM289" t="s">
        <v>3</v>
      </c>
      <c r="DN289">
        <v>0</v>
      </c>
      <c r="DO289">
        <v>0</v>
      </c>
      <c r="DP289">
        <v>1</v>
      </c>
      <c r="DQ289">
        <v>1</v>
      </c>
      <c r="DU289">
        <v>16987630</v>
      </c>
      <c r="DV289" t="s">
        <v>32</v>
      </c>
      <c r="DW289" t="s">
        <v>32</v>
      </c>
      <c r="DX289">
        <v>1</v>
      </c>
      <c r="DZ289" t="s">
        <v>3</v>
      </c>
      <c r="EA289" t="s">
        <v>3</v>
      </c>
      <c r="EB289" t="s">
        <v>3</v>
      </c>
      <c r="EC289" t="s">
        <v>3</v>
      </c>
      <c r="EE289">
        <v>1441815344</v>
      </c>
      <c r="EF289">
        <v>1</v>
      </c>
      <c r="EG289" t="s">
        <v>23</v>
      </c>
      <c r="EH289">
        <v>0</v>
      </c>
      <c r="EI289" t="s">
        <v>3</v>
      </c>
      <c r="EJ289">
        <v>4</v>
      </c>
      <c r="EK289">
        <v>0</v>
      </c>
      <c r="EL289" t="s">
        <v>24</v>
      </c>
      <c r="EM289" t="s">
        <v>25</v>
      </c>
      <c r="EO289" t="s">
        <v>3</v>
      </c>
      <c r="EQ289">
        <v>0</v>
      </c>
      <c r="ER289">
        <v>1512.19</v>
      </c>
      <c r="ES289">
        <v>19.14</v>
      </c>
      <c r="ET289">
        <v>0</v>
      </c>
      <c r="EU289">
        <v>0</v>
      </c>
      <c r="EV289">
        <v>1493.05</v>
      </c>
      <c r="EW289">
        <v>1.8</v>
      </c>
      <c r="EX289">
        <v>0</v>
      </c>
      <c r="EY289">
        <v>0</v>
      </c>
      <c r="FQ289">
        <v>0</v>
      </c>
      <c r="FR289">
        <f t="shared" ref="FR289:FR295" si="225">ROUND(IF(BI289=3,GM289,0),2)</f>
        <v>0</v>
      </c>
      <c r="FS289">
        <v>0</v>
      </c>
      <c r="FX289">
        <v>70</v>
      </c>
      <c r="FY289">
        <v>10</v>
      </c>
      <c r="GA289" t="s">
        <v>3</v>
      </c>
      <c r="GD289">
        <v>0</v>
      </c>
      <c r="GF289">
        <v>388670542</v>
      </c>
      <c r="GG289">
        <v>2</v>
      </c>
      <c r="GH289">
        <v>1</v>
      </c>
      <c r="GI289">
        <v>-2</v>
      </c>
      <c r="GJ289">
        <v>0</v>
      </c>
      <c r="GK289">
        <f>ROUND(R289*(R12)/100,2)</f>
        <v>0</v>
      </c>
      <c r="GL289">
        <f t="shared" ref="GL289:GL295" si="226">ROUND(IF(AND(BH289=3,BI289=3,FS289&lt;&gt;0),P289,0),2)</f>
        <v>0</v>
      </c>
      <c r="GM289">
        <f t="shared" ref="GM289:GM295" si="227">ROUND(O289+X289+Y289+GK289,2)+GX289</f>
        <v>21653.040000000001</v>
      </c>
      <c r="GN289">
        <f t="shared" ref="GN289:GN295" si="228">IF(OR(BI289=0,BI289=1),GM289-GX289,0)</f>
        <v>0</v>
      </c>
      <c r="GO289">
        <f t="shared" ref="GO289:GO295" si="229">IF(BI289=2,GM289-GX289,0)</f>
        <v>0</v>
      </c>
      <c r="GP289">
        <f t="shared" ref="GP289:GP295" si="230">IF(BI289=4,GM289-GX289,0)</f>
        <v>21653.040000000001</v>
      </c>
      <c r="GR289">
        <v>0</v>
      </c>
      <c r="GS289">
        <v>3</v>
      </c>
      <c r="GT289">
        <v>0</v>
      </c>
      <c r="GU289" t="s">
        <v>3</v>
      </c>
      <c r="GV289">
        <f t="shared" ref="GV289:GV295" si="231">ROUND((GT289),6)</f>
        <v>0</v>
      </c>
      <c r="GW289">
        <v>1</v>
      </c>
      <c r="GX289">
        <f t="shared" ref="GX289:GX295" si="232">ROUND(HC289*I289,2)</f>
        <v>0</v>
      </c>
      <c r="HA289">
        <v>0</v>
      </c>
      <c r="HB289">
        <v>0</v>
      </c>
      <c r="HC289">
        <f t="shared" ref="HC289:HC295" si="233">GV289*GW289</f>
        <v>0</v>
      </c>
      <c r="HE289" t="s">
        <v>3</v>
      </c>
      <c r="HF289" t="s">
        <v>3</v>
      </c>
      <c r="HM289" t="s">
        <v>3</v>
      </c>
      <c r="HN289" t="s">
        <v>3</v>
      </c>
      <c r="HO289" t="s">
        <v>3</v>
      </c>
      <c r="HP289" t="s">
        <v>3</v>
      </c>
      <c r="HQ289" t="s">
        <v>3</v>
      </c>
      <c r="IK289">
        <v>0</v>
      </c>
    </row>
    <row r="290" spans="1:245" x14ac:dyDescent="0.2">
      <c r="A290">
        <v>17</v>
      </c>
      <c r="B290">
        <v>1</v>
      </c>
      <c r="D290">
        <f>ROW(EtalonRes!A152)</f>
        <v>152</v>
      </c>
      <c r="E290" t="s">
        <v>240</v>
      </c>
      <c r="F290" t="s">
        <v>241</v>
      </c>
      <c r="G290" t="s">
        <v>242</v>
      </c>
      <c r="H290" t="s">
        <v>32</v>
      </c>
      <c r="I290">
        <f>ROUND(1*4,9)</f>
        <v>4</v>
      </c>
      <c r="J290">
        <v>0</v>
      </c>
      <c r="K290">
        <f>ROUND(1*4,9)</f>
        <v>4</v>
      </c>
      <c r="O290">
        <f t="shared" si="201"/>
        <v>6570.08</v>
      </c>
      <c r="P290">
        <f t="shared" si="202"/>
        <v>0</v>
      </c>
      <c r="Q290">
        <f t="shared" si="203"/>
        <v>0</v>
      </c>
      <c r="R290">
        <f t="shared" si="204"/>
        <v>0</v>
      </c>
      <c r="S290">
        <f t="shared" si="205"/>
        <v>6570.08</v>
      </c>
      <c r="T290">
        <f t="shared" si="206"/>
        <v>0</v>
      </c>
      <c r="U290">
        <f t="shared" si="207"/>
        <v>10.64</v>
      </c>
      <c r="V290">
        <f t="shared" si="208"/>
        <v>0</v>
      </c>
      <c r="W290">
        <f t="shared" si="209"/>
        <v>0</v>
      </c>
      <c r="X290">
        <f t="shared" si="210"/>
        <v>4599.0600000000004</v>
      </c>
      <c r="Y290">
        <f t="shared" si="210"/>
        <v>657.01</v>
      </c>
      <c r="AA290">
        <v>1472224561</v>
      </c>
      <c r="AB290">
        <f t="shared" si="211"/>
        <v>1642.52</v>
      </c>
      <c r="AC290">
        <f>ROUND(((ES290*2)),6)</f>
        <v>0</v>
      </c>
      <c r="AD290">
        <f>ROUND(((((ET290*2))-((EU290*2)))+AE290),6)</f>
        <v>0</v>
      </c>
      <c r="AE290">
        <f t="shared" si="212"/>
        <v>0</v>
      </c>
      <c r="AF290">
        <f t="shared" si="212"/>
        <v>1642.52</v>
      </c>
      <c r="AG290">
        <f t="shared" si="213"/>
        <v>0</v>
      </c>
      <c r="AH290">
        <f t="shared" si="214"/>
        <v>2.66</v>
      </c>
      <c r="AI290">
        <f t="shared" si="214"/>
        <v>0</v>
      </c>
      <c r="AJ290">
        <f t="shared" si="215"/>
        <v>0</v>
      </c>
      <c r="AK290">
        <v>821.26</v>
      </c>
      <c r="AL290">
        <v>0</v>
      </c>
      <c r="AM290">
        <v>0</v>
      </c>
      <c r="AN290">
        <v>0</v>
      </c>
      <c r="AO290">
        <v>821.26</v>
      </c>
      <c r="AP290">
        <v>0</v>
      </c>
      <c r="AQ290">
        <v>1.33</v>
      </c>
      <c r="AR290">
        <v>0</v>
      </c>
      <c r="AS290">
        <v>0</v>
      </c>
      <c r="AT290">
        <v>70</v>
      </c>
      <c r="AU290">
        <v>10</v>
      </c>
      <c r="AV290">
        <v>1</v>
      </c>
      <c r="AW290">
        <v>1</v>
      </c>
      <c r="AZ290">
        <v>1</v>
      </c>
      <c r="BA290">
        <v>1</v>
      </c>
      <c r="BB290">
        <v>1</v>
      </c>
      <c r="BC290">
        <v>1</v>
      </c>
      <c r="BD290" t="s">
        <v>3</v>
      </c>
      <c r="BE290" t="s">
        <v>3</v>
      </c>
      <c r="BF290" t="s">
        <v>3</v>
      </c>
      <c r="BG290" t="s">
        <v>3</v>
      </c>
      <c r="BH290">
        <v>0</v>
      </c>
      <c r="BI290">
        <v>4</v>
      </c>
      <c r="BJ290" t="s">
        <v>243</v>
      </c>
      <c r="BM290">
        <v>0</v>
      </c>
      <c r="BN290">
        <v>0</v>
      </c>
      <c r="BO290" t="s">
        <v>3</v>
      </c>
      <c r="BP290">
        <v>0</v>
      </c>
      <c r="BQ290">
        <v>1</v>
      </c>
      <c r="BR290">
        <v>0</v>
      </c>
      <c r="BS290">
        <v>1</v>
      </c>
      <c r="BT290">
        <v>1</v>
      </c>
      <c r="BU290">
        <v>1</v>
      </c>
      <c r="BV290">
        <v>1</v>
      </c>
      <c r="BW290">
        <v>1</v>
      </c>
      <c r="BX290">
        <v>1</v>
      </c>
      <c r="BY290" t="s">
        <v>3</v>
      </c>
      <c r="BZ290">
        <v>70</v>
      </c>
      <c r="CA290">
        <v>10</v>
      </c>
      <c r="CB290" t="s">
        <v>3</v>
      </c>
      <c r="CE290">
        <v>0</v>
      </c>
      <c r="CF290">
        <v>0</v>
      </c>
      <c r="CG290">
        <v>0</v>
      </c>
      <c r="CM290">
        <v>0</v>
      </c>
      <c r="CN290" t="s">
        <v>3</v>
      </c>
      <c r="CO290">
        <v>0</v>
      </c>
      <c r="CP290">
        <f t="shared" si="216"/>
        <v>6570.08</v>
      </c>
      <c r="CQ290">
        <f t="shared" si="217"/>
        <v>0</v>
      </c>
      <c r="CR290">
        <f>(((((ET290*2))*BB290-((EU290*2))*BS290)+AE290*BS290)*AV290)</f>
        <v>0</v>
      </c>
      <c r="CS290">
        <f t="shared" si="218"/>
        <v>0</v>
      </c>
      <c r="CT290">
        <f t="shared" si="219"/>
        <v>1642.52</v>
      </c>
      <c r="CU290">
        <f t="shared" si="220"/>
        <v>0</v>
      </c>
      <c r="CV290">
        <f t="shared" si="221"/>
        <v>2.66</v>
      </c>
      <c r="CW290">
        <f t="shared" si="222"/>
        <v>0</v>
      </c>
      <c r="CX290">
        <f t="shared" si="222"/>
        <v>0</v>
      </c>
      <c r="CY290">
        <f t="shared" si="223"/>
        <v>4599.0559999999996</v>
      </c>
      <c r="CZ290">
        <f t="shared" si="224"/>
        <v>657.00800000000004</v>
      </c>
      <c r="DC290" t="s">
        <v>3</v>
      </c>
      <c r="DD290" t="s">
        <v>164</v>
      </c>
      <c r="DE290" t="s">
        <v>164</v>
      </c>
      <c r="DF290" t="s">
        <v>164</v>
      </c>
      <c r="DG290" t="s">
        <v>164</v>
      </c>
      <c r="DH290" t="s">
        <v>3</v>
      </c>
      <c r="DI290" t="s">
        <v>164</v>
      </c>
      <c r="DJ290" t="s">
        <v>164</v>
      </c>
      <c r="DK290" t="s">
        <v>3</v>
      </c>
      <c r="DL290" t="s">
        <v>3</v>
      </c>
      <c r="DM290" t="s">
        <v>3</v>
      </c>
      <c r="DN290">
        <v>0</v>
      </c>
      <c r="DO290">
        <v>0</v>
      </c>
      <c r="DP290">
        <v>1</v>
      </c>
      <c r="DQ290">
        <v>1</v>
      </c>
      <c r="DU290">
        <v>16987630</v>
      </c>
      <c r="DV290" t="s">
        <v>32</v>
      </c>
      <c r="DW290" t="s">
        <v>32</v>
      </c>
      <c r="DX290">
        <v>1</v>
      </c>
      <c r="DZ290" t="s">
        <v>3</v>
      </c>
      <c r="EA290" t="s">
        <v>3</v>
      </c>
      <c r="EB290" t="s">
        <v>3</v>
      </c>
      <c r="EC290" t="s">
        <v>3</v>
      </c>
      <c r="EE290">
        <v>1441815344</v>
      </c>
      <c r="EF290">
        <v>1</v>
      </c>
      <c r="EG290" t="s">
        <v>23</v>
      </c>
      <c r="EH290">
        <v>0</v>
      </c>
      <c r="EI290" t="s">
        <v>3</v>
      </c>
      <c r="EJ290">
        <v>4</v>
      </c>
      <c r="EK290">
        <v>0</v>
      </c>
      <c r="EL290" t="s">
        <v>24</v>
      </c>
      <c r="EM290" t="s">
        <v>25</v>
      </c>
      <c r="EO290" t="s">
        <v>3</v>
      </c>
      <c r="EQ290">
        <v>0</v>
      </c>
      <c r="ER290">
        <v>821.26</v>
      </c>
      <c r="ES290">
        <v>0</v>
      </c>
      <c r="ET290">
        <v>0</v>
      </c>
      <c r="EU290">
        <v>0</v>
      </c>
      <c r="EV290">
        <v>821.26</v>
      </c>
      <c r="EW290">
        <v>1.33</v>
      </c>
      <c r="EX290">
        <v>0</v>
      </c>
      <c r="EY290">
        <v>0</v>
      </c>
      <c r="FQ290">
        <v>0</v>
      </c>
      <c r="FR290">
        <f t="shared" si="225"/>
        <v>0</v>
      </c>
      <c r="FS290">
        <v>0</v>
      </c>
      <c r="FX290">
        <v>70</v>
      </c>
      <c r="FY290">
        <v>10</v>
      </c>
      <c r="GA290" t="s">
        <v>3</v>
      </c>
      <c r="GD290">
        <v>0</v>
      </c>
      <c r="GF290">
        <v>1834277981</v>
      </c>
      <c r="GG290">
        <v>2</v>
      </c>
      <c r="GH290">
        <v>1</v>
      </c>
      <c r="GI290">
        <v>-2</v>
      </c>
      <c r="GJ290">
        <v>0</v>
      </c>
      <c r="GK290">
        <f>ROUND(R290*(R12)/100,2)</f>
        <v>0</v>
      </c>
      <c r="GL290">
        <f t="shared" si="226"/>
        <v>0</v>
      </c>
      <c r="GM290">
        <f t="shared" si="227"/>
        <v>11826.15</v>
      </c>
      <c r="GN290">
        <f t="shared" si="228"/>
        <v>0</v>
      </c>
      <c r="GO290">
        <f t="shared" si="229"/>
        <v>0</v>
      </c>
      <c r="GP290">
        <f t="shared" si="230"/>
        <v>11826.15</v>
      </c>
      <c r="GR290">
        <v>0</v>
      </c>
      <c r="GS290">
        <v>3</v>
      </c>
      <c r="GT290">
        <v>0</v>
      </c>
      <c r="GU290" t="s">
        <v>3</v>
      </c>
      <c r="GV290">
        <f t="shared" si="231"/>
        <v>0</v>
      </c>
      <c r="GW290">
        <v>1</v>
      </c>
      <c r="GX290">
        <f t="shared" si="232"/>
        <v>0</v>
      </c>
      <c r="HA290">
        <v>0</v>
      </c>
      <c r="HB290">
        <v>0</v>
      </c>
      <c r="HC290">
        <f t="shared" si="233"/>
        <v>0</v>
      </c>
      <c r="HE290" t="s">
        <v>3</v>
      </c>
      <c r="HF290" t="s">
        <v>3</v>
      </c>
      <c r="HM290" t="s">
        <v>3</v>
      </c>
      <c r="HN290" t="s">
        <v>3</v>
      </c>
      <c r="HO290" t="s">
        <v>3</v>
      </c>
      <c r="HP290" t="s">
        <v>3</v>
      </c>
      <c r="HQ290" t="s">
        <v>3</v>
      </c>
      <c r="IK290">
        <v>0</v>
      </c>
    </row>
    <row r="291" spans="1:245" x14ac:dyDescent="0.2">
      <c r="A291">
        <v>17</v>
      </c>
      <c r="B291">
        <v>1</v>
      </c>
      <c r="D291">
        <f>ROW(EtalonRes!A155)</f>
        <v>155</v>
      </c>
      <c r="E291" t="s">
        <v>244</v>
      </c>
      <c r="F291" t="s">
        <v>180</v>
      </c>
      <c r="G291" t="s">
        <v>245</v>
      </c>
      <c r="H291" t="s">
        <v>32</v>
      </c>
      <c r="I291">
        <f>ROUND(3*4,9)</f>
        <v>12</v>
      </c>
      <c r="J291">
        <v>0</v>
      </c>
      <c r="K291">
        <f>ROUND(3*4,9)</f>
        <v>12</v>
      </c>
      <c r="O291">
        <f t="shared" si="201"/>
        <v>36292.559999999998</v>
      </c>
      <c r="P291">
        <f t="shared" si="202"/>
        <v>459.36</v>
      </c>
      <c r="Q291">
        <f t="shared" si="203"/>
        <v>0</v>
      </c>
      <c r="R291">
        <f t="shared" si="204"/>
        <v>0</v>
      </c>
      <c r="S291">
        <f t="shared" si="205"/>
        <v>35833.199999999997</v>
      </c>
      <c r="T291">
        <f t="shared" si="206"/>
        <v>0</v>
      </c>
      <c r="U291">
        <f t="shared" si="207"/>
        <v>43.2</v>
      </c>
      <c r="V291">
        <f t="shared" si="208"/>
        <v>0</v>
      </c>
      <c r="W291">
        <f t="shared" si="209"/>
        <v>0</v>
      </c>
      <c r="X291">
        <f t="shared" si="210"/>
        <v>25083.24</v>
      </c>
      <c r="Y291">
        <f t="shared" si="210"/>
        <v>3583.32</v>
      </c>
      <c r="AA291">
        <v>1472224561</v>
      </c>
      <c r="AB291">
        <f t="shared" si="211"/>
        <v>3024.38</v>
      </c>
      <c r="AC291">
        <f>ROUND(((ES291*2)),6)</f>
        <v>38.28</v>
      </c>
      <c r="AD291">
        <f>ROUND(((((ET291*2))-((EU291*2)))+AE291),6)</f>
        <v>0</v>
      </c>
      <c r="AE291">
        <f t="shared" si="212"/>
        <v>0</v>
      </c>
      <c r="AF291">
        <f t="shared" si="212"/>
        <v>2986.1</v>
      </c>
      <c r="AG291">
        <f t="shared" si="213"/>
        <v>0</v>
      </c>
      <c r="AH291">
        <f t="shared" si="214"/>
        <v>3.6</v>
      </c>
      <c r="AI291">
        <f t="shared" si="214"/>
        <v>0</v>
      </c>
      <c r="AJ291">
        <f t="shared" si="215"/>
        <v>0</v>
      </c>
      <c r="AK291">
        <v>1512.19</v>
      </c>
      <c r="AL291">
        <v>19.14</v>
      </c>
      <c r="AM291">
        <v>0</v>
      </c>
      <c r="AN291">
        <v>0</v>
      </c>
      <c r="AO291">
        <v>1493.05</v>
      </c>
      <c r="AP291">
        <v>0</v>
      </c>
      <c r="AQ291">
        <v>1.8</v>
      </c>
      <c r="AR291">
        <v>0</v>
      </c>
      <c r="AS291">
        <v>0</v>
      </c>
      <c r="AT291">
        <v>70</v>
      </c>
      <c r="AU291">
        <v>10</v>
      </c>
      <c r="AV291">
        <v>1</v>
      </c>
      <c r="AW291">
        <v>1</v>
      </c>
      <c r="AZ291">
        <v>1</v>
      </c>
      <c r="BA291">
        <v>1</v>
      </c>
      <c r="BB291">
        <v>1</v>
      </c>
      <c r="BC291">
        <v>1</v>
      </c>
      <c r="BD291" t="s">
        <v>3</v>
      </c>
      <c r="BE291" t="s">
        <v>3</v>
      </c>
      <c r="BF291" t="s">
        <v>3</v>
      </c>
      <c r="BG291" t="s">
        <v>3</v>
      </c>
      <c r="BH291">
        <v>0</v>
      </c>
      <c r="BI291">
        <v>4</v>
      </c>
      <c r="BJ291" t="s">
        <v>182</v>
      </c>
      <c r="BM291">
        <v>0</v>
      </c>
      <c r="BN291">
        <v>0</v>
      </c>
      <c r="BO291" t="s">
        <v>3</v>
      </c>
      <c r="BP291">
        <v>0</v>
      </c>
      <c r="BQ291">
        <v>1</v>
      </c>
      <c r="BR291">
        <v>0</v>
      </c>
      <c r="BS291">
        <v>1</v>
      </c>
      <c r="BT291">
        <v>1</v>
      </c>
      <c r="BU291">
        <v>1</v>
      </c>
      <c r="BV291">
        <v>1</v>
      </c>
      <c r="BW291">
        <v>1</v>
      </c>
      <c r="BX291">
        <v>1</v>
      </c>
      <c r="BY291" t="s">
        <v>3</v>
      </c>
      <c r="BZ291">
        <v>70</v>
      </c>
      <c r="CA291">
        <v>10</v>
      </c>
      <c r="CB291" t="s">
        <v>3</v>
      </c>
      <c r="CE291">
        <v>0</v>
      </c>
      <c r="CF291">
        <v>0</v>
      </c>
      <c r="CG291">
        <v>0</v>
      </c>
      <c r="CM291">
        <v>0</v>
      </c>
      <c r="CN291" t="s">
        <v>3</v>
      </c>
      <c r="CO291">
        <v>0</v>
      </c>
      <c r="CP291">
        <f t="shared" si="216"/>
        <v>36292.559999999998</v>
      </c>
      <c r="CQ291">
        <f t="shared" si="217"/>
        <v>38.28</v>
      </c>
      <c r="CR291">
        <f>(((((ET291*2))*BB291-((EU291*2))*BS291)+AE291*BS291)*AV291)</f>
        <v>0</v>
      </c>
      <c r="CS291">
        <f t="shared" si="218"/>
        <v>0</v>
      </c>
      <c r="CT291">
        <f t="shared" si="219"/>
        <v>2986.1</v>
      </c>
      <c r="CU291">
        <f t="shared" si="220"/>
        <v>0</v>
      </c>
      <c r="CV291">
        <f t="shared" si="221"/>
        <v>3.6</v>
      </c>
      <c r="CW291">
        <f t="shared" si="222"/>
        <v>0</v>
      </c>
      <c r="CX291">
        <f t="shared" si="222"/>
        <v>0</v>
      </c>
      <c r="CY291">
        <f t="shared" si="223"/>
        <v>25083.24</v>
      </c>
      <c r="CZ291">
        <f t="shared" si="224"/>
        <v>3583.32</v>
      </c>
      <c r="DC291" t="s">
        <v>3</v>
      </c>
      <c r="DD291" t="s">
        <v>164</v>
      </c>
      <c r="DE291" t="s">
        <v>164</v>
      </c>
      <c r="DF291" t="s">
        <v>164</v>
      </c>
      <c r="DG291" t="s">
        <v>164</v>
      </c>
      <c r="DH291" t="s">
        <v>3</v>
      </c>
      <c r="DI291" t="s">
        <v>164</v>
      </c>
      <c r="DJ291" t="s">
        <v>164</v>
      </c>
      <c r="DK291" t="s">
        <v>3</v>
      </c>
      <c r="DL291" t="s">
        <v>3</v>
      </c>
      <c r="DM291" t="s">
        <v>3</v>
      </c>
      <c r="DN291">
        <v>0</v>
      </c>
      <c r="DO291">
        <v>0</v>
      </c>
      <c r="DP291">
        <v>1</v>
      </c>
      <c r="DQ291">
        <v>1</v>
      </c>
      <c r="DU291">
        <v>16987630</v>
      </c>
      <c r="DV291" t="s">
        <v>32</v>
      </c>
      <c r="DW291" t="s">
        <v>32</v>
      </c>
      <c r="DX291">
        <v>1</v>
      </c>
      <c r="DZ291" t="s">
        <v>3</v>
      </c>
      <c r="EA291" t="s">
        <v>3</v>
      </c>
      <c r="EB291" t="s">
        <v>3</v>
      </c>
      <c r="EC291" t="s">
        <v>3</v>
      </c>
      <c r="EE291">
        <v>1441815344</v>
      </c>
      <c r="EF291">
        <v>1</v>
      </c>
      <c r="EG291" t="s">
        <v>23</v>
      </c>
      <c r="EH291">
        <v>0</v>
      </c>
      <c r="EI291" t="s">
        <v>3</v>
      </c>
      <c r="EJ291">
        <v>4</v>
      </c>
      <c r="EK291">
        <v>0</v>
      </c>
      <c r="EL291" t="s">
        <v>24</v>
      </c>
      <c r="EM291" t="s">
        <v>25</v>
      </c>
      <c r="EO291" t="s">
        <v>3</v>
      </c>
      <c r="EQ291">
        <v>0</v>
      </c>
      <c r="ER291">
        <v>1512.19</v>
      </c>
      <c r="ES291">
        <v>19.14</v>
      </c>
      <c r="ET291">
        <v>0</v>
      </c>
      <c r="EU291">
        <v>0</v>
      </c>
      <c r="EV291">
        <v>1493.05</v>
      </c>
      <c r="EW291">
        <v>1.8</v>
      </c>
      <c r="EX291">
        <v>0</v>
      </c>
      <c r="EY291">
        <v>0</v>
      </c>
      <c r="FQ291">
        <v>0</v>
      </c>
      <c r="FR291">
        <f t="shared" si="225"/>
        <v>0</v>
      </c>
      <c r="FS291">
        <v>0</v>
      </c>
      <c r="FX291">
        <v>70</v>
      </c>
      <c r="FY291">
        <v>10</v>
      </c>
      <c r="GA291" t="s">
        <v>3</v>
      </c>
      <c r="GD291">
        <v>0</v>
      </c>
      <c r="GF291">
        <v>1592446890</v>
      </c>
      <c r="GG291">
        <v>2</v>
      </c>
      <c r="GH291">
        <v>1</v>
      </c>
      <c r="GI291">
        <v>-2</v>
      </c>
      <c r="GJ291">
        <v>0</v>
      </c>
      <c r="GK291">
        <f>ROUND(R291*(R12)/100,2)</f>
        <v>0</v>
      </c>
      <c r="GL291">
        <f t="shared" si="226"/>
        <v>0</v>
      </c>
      <c r="GM291">
        <f t="shared" si="227"/>
        <v>64959.12</v>
      </c>
      <c r="GN291">
        <f t="shared" si="228"/>
        <v>0</v>
      </c>
      <c r="GO291">
        <f t="shared" si="229"/>
        <v>0</v>
      </c>
      <c r="GP291">
        <f t="shared" si="230"/>
        <v>64959.12</v>
      </c>
      <c r="GR291">
        <v>0</v>
      </c>
      <c r="GS291">
        <v>3</v>
      </c>
      <c r="GT291">
        <v>0</v>
      </c>
      <c r="GU291" t="s">
        <v>3</v>
      </c>
      <c r="GV291">
        <f t="shared" si="231"/>
        <v>0</v>
      </c>
      <c r="GW291">
        <v>1</v>
      </c>
      <c r="GX291">
        <f t="shared" si="232"/>
        <v>0</v>
      </c>
      <c r="HA291">
        <v>0</v>
      </c>
      <c r="HB291">
        <v>0</v>
      </c>
      <c r="HC291">
        <f t="shared" si="233"/>
        <v>0</v>
      </c>
      <c r="HE291" t="s">
        <v>3</v>
      </c>
      <c r="HF291" t="s">
        <v>3</v>
      </c>
      <c r="HM291" t="s">
        <v>3</v>
      </c>
      <c r="HN291" t="s">
        <v>3</v>
      </c>
      <c r="HO291" t="s">
        <v>3</v>
      </c>
      <c r="HP291" t="s">
        <v>3</v>
      </c>
      <c r="HQ291" t="s">
        <v>3</v>
      </c>
      <c r="IK291">
        <v>0</v>
      </c>
    </row>
    <row r="292" spans="1:245" x14ac:dyDescent="0.2">
      <c r="A292">
        <v>17</v>
      </c>
      <c r="B292">
        <v>1</v>
      </c>
      <c r="D292">
        <f>ROW(EtalonRes!A159)</f>
        <v>159</v>
      </c>
      <c r="E292" t="s">
        <v>246</v>
      </c>
      <c r="F292" t="s">
        <v>247</v>
      </c>
      <c r="G292" t="s">
        <v>248</v>
      </c>
      <c r="H292" t="s">
        <v>32</v>
      </c>
      <c r="I292">
        <f>ROUND(2*4,9)</f>
        <v>8</v>
      </c>
      <c r="J292">
        <v>0</v>
      </c>
      <c r="K292">
        <f>ROUND(2*4,9)</f>
        <v>8</v>
      </c>
      <c r="O292">
        <f t="shared" si="201"/>
        <v>5660.48</v>
      </c>
      <c r="P292">
        <f t="shared" si="202"/>
        <v>323.83999999999997</v>
      </c>
      <c r="Q292">
        <f t="shared" si="203"/>
        <v>0</v>
      </c>
      <c r="R292">
        <f t="shared" si="204"/>
        <v>0</v>
      </c>
      <c r="S292">
        <f t="shared" si="205"/>
        <v>5336.64</v>
      </c>
      <c r="T292">
        <f t="shared" si="206"/>
        <v>0</v>
      </c>
      <c r="U292">
        <f t="shared" si="207"/>
        <v>7.52</v>
      </c>
      <c r="V292">
        <f t="shared" si="208"/>
        <v>0</v>
      </c>
      <c r="W292">
        <f t="shared" si="209"/>
        <v>0</v>
      </c>
      <c r="X292">
        <f t="shared" si="210"/>
        <v>3735.65</v>
      </c>
      <c r="Y292">
        <f t="shared" si="210"/>
        <v>533.66</v>
      </c>
      <c r="AA292">
        <v>1472224561</v>
      </c>
      <c r="AB292">
        <f t="shared" si="211"/>
        <v>707.56</v>
      </c>
      <c r="AC292">
        <f>ROUND(((ES292*2)),6)</f>
        <v>40.479999999999997</v>
      </c>
      <c r="AD292">
        <f>ROUND(((((ET292*2))-((EU292*2)))+AE292),6)</f>
        <v>0</v>
      </c>
      <c r="AE292">
        <f t="shared" si="212"/>
        <v>0</v>
      </c>
      <c r="AF292">
        <f t="shared" si="212"/>
        <v>667.08</v>
      </c>
      <c r="AG292">
        <f t="shared" si="213"/>
        <v>0</v>
      </c>
      <c r="AH292">
        <f t="shared" si="214"/>
        <v>0.94</v>
      </c>
      <c r="AI292">
        <f t="shared" si="214"/>
        <v>0</v>
      </c>
      <c r="AJ292">
        <f t="shared" si="215"/>
        <v>0</v>
      </c>
      <c r="AK292">
        <v>353.78</v>
      </c>
      <c r="AL292">
        <v>20.239999999999998</v>
      </c>
      <c r="AM292">
        <v>0</v>
      </c>
      <c r="AN292">
        <v>0</v>
      </c>
      <c r="AO292">
        <v>333.54</v>
      </c>
      <c r="AP292">
        <v>0</v>
      </c>
      <c r="AQ292">
        <v>0.47</v>
      </c>
      <c r="AR292">
        <v>0</v>
      </c>
      <c r="AS292">
        <v>0</v>
      </c>
      <c r="AT292">
        <v>70</v>
      </c>
      <c r="AU292">
        <v>10</v>
      </c>
      <c r="AV292">
        <v>1</v>
      </c>
      <c r="AW292">
        <v>1</v>
      </c>
      <c r="AZ292">
        <v>1</v>
      </c>
      <c r="BA292">
        <v>1</v>
      </c>
      <c r="BB292">
        <v>1</v>
      </c>
      <c r="BC292">
        <v>1</v>
      </c>
      <c r="BD292" t="s">
        <v>3</v>
      </c>
      <c r="BE292" t="s">
        <v>3</v>
      </c>
      <c r="BF292" t="s">
        <v>3</v>
      </c>
      <c r="BG292" t="s">
        <v>3</v>
      </c>
      <c r="BH292">
        <v>0</v>
      </c>
      <c r="BI292">
        <v>4</v>
      </c>
      <c r="BJ292" t="s">
        <v>249</v>
      </c>
      <c r="BM292">
        <v>0</v>
      </c>
      <c r="BN292">
        <v>0</v>
      </c>
      <c r="BO292" t="s">
        <v>3</v>
      </c>
      <c r="BP292">
        <v>0</v>
      </c>
      <c r="BQ292">
        <v>1</v>
      </c>
      <c r="BR292">
        <v>0</v>
      </c>
      <c r="BS292">
        <v>1</v>
      </c>
      <c r="BT292">
        <v>1</v>
      </c>
      <c r="BU292">
        <v>1</v>
      </c>
      <c r="BV292">
        <v>1</v>
      </c>
      <c r="BW292">
        <v>1</v>
      </c>
      <c r="BX292">
        <v>1</v>
      </c>
      <c r="BY292" t="s">
        <v>3</v>
      </c>
      <c r="BZ292">
        <v>70</v>
      </c>
      <c r="CA292">
        <v>10</v>
      </c>
      <c r="CB292" t="s">
        <v>3</v>
      </c>
      <c r="CE292">
        <v>0</v>
      </c>
      <c r="CF292">
        <v>0</v>
      </c>
      <c r="CG292">
        <v>0</v>
      </c>
      <c r="CM292">
        <v>0</v>
      </c>
      <c r="CN292" t="s">
        <v>3</v>
      </c>
      <c r="CO292">
        <v>0</v>
      </c>
      <c r="CP292">
        <f t="shared" si="216"/>
        <v>5660.4800000000005</v>
      </c>
      <c r="CQ292">
        <f t="shared" si="217"/>
        <v>40.479999999999997</v>
      </c>
      <c r="CR292">
        <f>(((((ET292*2))*BB292-((EU292*2))*BS292)+AE292*BS292)*AV292)</f>
        <v>0</v>
      </c>
      <c r="CS292">
        <f t="shared" si="218"/>
        <v>0</v>
      </c>
      <c r="CT292">
        <f t="shared" si="219"/>
        <v>667.08</v>
      </c>
      <c r="CU292">
        <f t="shared" si="220"/>
        <v>0</v>
      </c>
      <c r="CV292">
        <f t="shared" si="221"/>
        <v>0.94</v>
      </c>
      <c r="CW292">
        <f t="shared" si="222"/>
        <v>0</v>
      </c>
      <c r="CX292">
        <f t="shared" si="222"/>
        <v>0</v>
      </c>
      <c r="CY292">
        <f t="shared" si="223"/>
        <v>3735.6480000000006</v>
      </c>
      <c r="CZ292">
        <f t="shared" si="224"/>
        <v>533.66399999999999</v>
      </c>
      <c r="DC292" t="s">
        <v>3</v>
      </c>
      <c r="DD292" t="s">
        <v>164</v>
      </c>
      <c r="DE292" t="s">
        <v>164</v>
      </c>
      <c r="DF292" t="s">
        <v>164</v>
      </c>
      <c r="DG292" t="s">
        <v>164</v>
      </c>
      <c r="DH292" t="s">
        <v>3</v>
      </c>
      <c r="DI292" t="s">
        <v>164</v>
      </c>
      <c r="DJ292" t="s">
        <v>164</v>
      </c>
      <c r="DK292" t="s">
        <v>3</v>
      </c>
      <c r="DL292" t="s">
        <v>3</v>
      </c>
      <c r="DM292" t="s">
        <v>3</v>
      </c>
      <c r="DN292">
        <v>0</v>
      </c>
      <c r="DO292">
        <v>0</v>
      </c>
      <c r="DP292">
        <v>1</v>
      </c>
      <c r="DQ292">
        <v>1</v>
      </c>
      <c r="DU292">
        <v>16987630</v>
      </c>
      <c r="DV292" t="s">
        <v>32</v>
      </c>
      <c r="DW292" t="s">
        <v>32</v>
      </c>
      <c r="DX292">
        <v>1</v>
      </c>
      <c r="DZ292" t="s">
        <v>3</v>
      </c>
      <c r="EA292" t="s">
        <v>3</v>
      </c>
      <c r="EB292" t="s">
        <v>3</v>
      </c>
      <c r="EC292" t="s">
        <v>3</v>
      </c>
      <c r="EE292">
        <v>1441815344</v>
      </c>
      <c r="EF292">
        <v>1</v>
      </c>
      <c r="EG292" t="s">
        <v>23</v>
      </c>
      <c r="EH292">
        <v>0</v>
      </c>
      <c r="EI292" t="s">
        <v>3</v>
      </c>
      <c r="EJ292">
        <v>4</v>
      </c>
      <c r="EK292">
        <v>0</v>
      </c>
      <c r="EL292" t="s">
        <v>24</v>
      </c>
      <c r="EM292" t="s">
        <v>25</v>
      </c>
      <c r="EO292" t="s">
        <v>3</v>
      </c>
      <c r="EQ292">
        <v>0</v>
      </c>
      <c r="ER292">
        <v>353.78</v>
      </c>
      <c r="ES292">
        <v>20.239999999999998</v>
      </c>
      <c r="ET292">
        <v>0</v>
      </c>
      <c r="EU292">
        <v>0</v>
      </c>
      <c r="EV292">
        <v>333.54</v>
      </c>
      <c r="EW292">
        <v>0.47</v>
      </c>
      <c r="EX292">
        <v>0</v>
      </c>
      <c r="EY292">
        <v>0</v>
      </c>
      <c r="FQ292">
        <v>0</v>
      </c>
      <c r="FR292">
        <f t="shared" si="225"/>
        <v>0</v>
      </c>
      <c r="FS292">
        <v>0</v>
      </c>
      <c r="FX292">
        <v>70</v>
      </c>
      <c r="FY292">
        <v>10</v>
      </c>
      <c r="GA292" t="s">
        <v>3</v>
      </c>
      <c r="GD292">
        <v>0</v>
      </c>
      <c r="GF292">
        <v>-1204453859</v>
      </c>
      <c r="GG292">
        <v>2</v>
      </c>
      <c r="GH292">
        <v>1</v>
      </c>
      <c r="GI292">
        <v>-2</v>
      </c>
      <c r="GJ292">
        <v>0</v>
      </c>
      <c r="GK292">
        <f>ROUND(R292*(R12)/100,2)</f>
        <v>0</v>
      </c>
      <c r="GL292">
        <f t="shared" si="226"/>
        <v>0</v>
      </c>
      <c r="GM292">
        <f t="shared" si="227"/>
        <v>9929.7900000000009</v>
      </c>
      <c r="GN292">
        <f t="shared" si="228"/>
        <v>0</v>
      </c>
      <c r="GO292">
        <f t="shared" si="229"/>
        <v>0</v>
      </c>
      <c r="GP292">
        <f t="shared" si="230"/>
        <v>9929.7900000000009</v>
      </c>
      <c r="GR292">
        <v>0</v>
      </c>
      <c r="GS292">
        <v>3</v>
      </c>
      <c r="GT292">
        <v>0</v>
      </c>
      <c r="GU292" t="s">
        <v>3</v>
      </c>
      <c r="GV292">
        <f t="shared" si="231"/>
        <v>0</v>
      </c>
      <c r="GW292">
        <v>1</v>
      </c>
      <c r="GX292">
        <f t="shared" si="232"/>
        <v>0</v>
      </c>
      <c r="HA292">
        <v>0</v>
      </c>
      <c r="HB292">
        <v>0</v>
      </c>
      <c r="HC292">
        <f t="shared" si="233"/>
        <v>0</v>
      </c>
      <c r="HE292" t="s">
        <v>3</v>
      </c>
      <c r="HF292" t="s">
        <v>3</v>
      </c>
      <c r="HM292" t="s">
        <v>3</v>
      </c>
      <c r="HN292" t="s">
        <v>3</v>
      </c>
      <c r="HO292" t="s">
        <v>3</v>
      </c>
      <c r="HP292" t="s">
        <v>3</v>
      </c>
      <c r="HQ292" t="s">
        <v>3</v>
      </c>
      <c r="IK292">
        <v>0</v>
      </c>
    </row>
    <row r="293" spans="1:245" x14ac:dyDescent="0.2">
      <c r="A293">
        <v>17</v>
      </c>
      <c r="B293">
        <v>1</v>
      </c>
      <c r="D293">
        <f>ROW(EtalonRes!A162)</f>
        <v>162</v>
      </c>
      <c r="E293" t="s">
        <v>250</v>
      </c>
      <c r="F293" t="s">
        <v>251</v>
      </c>
      <c r="G293" t="s">
        <v>252</v>
      </c>
      <c r="H293" t="s">
        <v>37</v>
      </c>
      <c r="I293">
        <f>ROUND(2*4/10,9)</f>
        <v>0.8</v>
      </c>
      <c r="J293">
        <v>0</v>
      </c>
      <c r="K293">
        <f>ROUND(2*4/10,9)</f>
        <v>0.8</v>
      </c>
      <c r="O293">
        <f t="shared" si="201"/>
        <v>14221.02</v>
      </c>
      <c r="P293">
        <f t="shared" si="202"/>
        <v>27.82</v>
      </c>
      <c r="Q293">
        <f t="shared" si="203"/>
        <v>0</v>
      </c>
      <c r="R293">
        <f t="shared" si="204"/>
        <v>0</v>
      </c>
      <c r="S293">
        <f t="shared" si="205"/>
        <v>14193.2</v>
      </c>
      <c r="T293">
        <f t="shared" si="206"/>
        <v>0</v>
      </c>
      <c r="U293">
        <f t="shared" si="207"/>
        <v>20</v>
      </c>
      <c r="V293">
        <f t="shared" si="208"/>
        <v>0</v>
      </c>
      <c r="W293">
        <f t="shared" si="209"/>
        <v>0</v>
      </c>
      <c r="X293">
        <f t="shared" si="210"/>
        <v>9935.24</v>
      </c>
      <c r="Y293">
        <f t="shared" si="210"/>
        <v>1419.32</v>
      </c>
      <c r="AA293">
        <v>1472224561</v>
      </c>
      <c r="AB293">
        <f t="shared" si="211"/>
        <v>17776.28</v>
      </c>
      <c r="AC293">
        <f>ROUND(((ES293*2)),6)</f>
        <v>34.78</v>
      </c>
      <c r="AD293">
        <f>ROUND(((((ET293*2))-((EU293*2)))+AE293),6)</f>
        <v>0</v>
      </c>
      <c r="AE293">
        <f t="shared" si="212"/>
        <v>0</v>
      </c>
      <c r="AF293">
        <f t="shared" si="212"/>
        <v>17741.5</v>
      </c>
      <c r="AG293">
        <f t="shared" si="213"/>
        <v>0</v>
      </c>
      <c r="AH293">
        <f t="shared" si="214"/>
        <v>25</v>
      </c>
      <c r="AI293">
        <f t="shared" si="214"/>
        <v>0</v>
      </c>
      <c r="AJ293">
        <f t="shared" si="215"/>
        <v>0</v>
      </c>
      <c r="AK293">
        <v>8888.14</v>
      </c>
      <c r="AL293">
        <v>17.39</v>
      </c>
      <c r="AM293">
        <v>0</v>
      </c>
      <c r="AN293">
        <v>0</v>
      </c>
      <c r="AO293">
        <v>8870.75</v>
      </c>
      <c r="AP293">
        <v>0</v>
      </c>
      <c r="AQ293">
        <v>12.5</v>
      </c>
      <c r="AR293">
        <v>0</v>
      </c>
      <c r="AS293">
        <v>0</v>
      </c>
      <c r="AT293">
        <v>70</v>
      </c>
      <c r="AU293">
        <v>10</v>
      </c>
      <c r="AV293">
        <v>1</v>
      </c>
      <c r="AW293">
        <v>1</v>
      </c>
      <c r="AZ293">
        <v>1</v>
      </c>
      <c r="BA293">
        <v>1</v>
      </c>
      <c r="BB293">
        <v>1</v>
      </c>
      <c r="BC293">
        <v>1</v>
      </c>
      <c r="BD293" t="s">
        <v>3</v>
      </c>
      <c r="BE293" t="s">
        <v>3</v>
      </c>
      <c r="BF293" t="s">
        <v>3</v>
      </c>
      <c r="BG293" t="s">
        <v>3</v>
      </c>
      <c r="BH293">
        <v>0</v>
      </c>
      <c r="BI293">
        <v>4</v>
      </c>
      <c r="BJ293" t="s">
        <v>253</v>
      </c>
      <c r="BM293">
        <v>0</v>
      </c>
      <c r="BN293">
        <v>0</v>
      </c>
      <c r="BO293" t="s">
        <v>3</v>
      </c>
      <c r="BP293">
        <v>0</v>
      </c>
      <c r="BQ293">
        <v>1</v>
      </c>
      <c r="BR293">
        <v>0</v>
      </c>
      <c r="BS293">
        <v>1</v>
      </c>
      <c r="BT293">
        <v>1</v>
      </c>
      <c r="BU293">
        <v>1</v>
      </c>
      <c r="BV293">
        <v>1</v>
      </c>
      <c r="BW293">
        <v>1</v>
      </c>
      <c r="BX293">
        <v>1</v>
      </c>
      <c r="BY293" t="s">
        <v>3</v>
      </c>
      <c r="BZ293">
        <v>70</v>
      </c>
      <c r="CA293">
        <v>10</v>
      </c>
      <c r="CB293" t="s">
        <v>3</v>
      </c>
      <c r="CE293">
        <v>0</v>
      </c>
      <c r="CF293">
        <v>0</v>
      </c>
      <c r="CG293">
        <v>0</v>
      </c>
      <c r="CM293">
        <v>0</v>
      </c>
      <c r="CN293" t="s">
        <v>3</v>
      </c>
      <c r="CO293">
        <v>0</v>
      </c>
      <c r="CP293">
        <f t="shared" si="216"/>
        <v>14221.02</v>
      </c>
      <c r="CQ293">
        <f t="shared" si="217"/>
        <v>34.78</v>
      </c>
      <c r="CR293">
        <f>(((((ET293*2))*BB293-((EU293*2))*BS293)+AE293*BS293)*AV293)</f>
        <v>0</v>
      </c>
      <c r="CS293">
        <f t="shared" si="218"/>
        <v>0</v>
      </c>
      <c r="CT293">
        <f t="shared" si="219"/>
        <v>17741.5</v>
      </c>
      <c r="CU293">
        <f t="shared" si="220"/>
        <v>0</v>
      </c>
      <c r="CV293">
        <f t="shared" si="221"/>
        <v>25</v>
      </c>
      <c r="CW293">
        <f t="shared" si="222"/>
        <v>0</v>
      </c>
      <c r="CX293">
        <f t="shared" si="222"/>
        <v>0</v>
      </c>
      <c r="CY293">
        <f t="shared" si="223"/>
        <v>9935.24</v>
      </c>
      <c r="CZ293">
        <f t="shared" si="224"/>
        <v>1419.32</v>
      </c>
      <c r="DC293" t="s">
        <v>3</v>
      </c>
      <c r="DD293" t="s">
        <v>164</v>
      </c>
      <c r="DE293" t="s">
        <v>164</v>
      </c>
      <c r="DF293" t="s">
        <v>164</v>
      </c>
      <c r="DG293" t="s">
        <v>164</v>
      </c>
      <c r="DH293" t="s">
        <v>3</v>
      </c>
      <c r="DI293" t="s">
        <v>164</v>
      </c>
      <c r="DJ293" t="s">
        <v>164</v>
      </c>
      <c r="DK293" t="s">
        <v>3</v>
      </c>
      <c r="DL293" t="s">
        <v>3</v>
      </c>
      <c r="DM293" t="s">
        <v>3</v>
      </c>
      <c r="DN293">
        <v>0</v>
      </c>
      <c r="DO293">
        <v>0</v>
      </c>
      <c r="DP293">
        <v>1</v>
      </c>
      <c r="DQ293">
        <v>1</v>
      </c>
      <c r="DU293">
        <v>16987630</v>
      </c>
      <c r="DV293" t="s">
        <v>37</v>
      </c>
      <c r="DW293" t="s">
        <v>37</v>
      </c>
      <c r="DX293">
        <v>10</v>
      </c>
      <c r="DZ293" t="s">
        <v>3</v>
      </c>
      <c r="EA293" t="s">
        <v>3</v>
      </c>
      <c r="EB293" t="s">
        <v>3</v>
      </c>
      <c r="EC293" t="s">
        <v>3</v>
      </c>
      <c r="EE293">
        <v>1441815344</v>
      </c>
      <c r="EF293">
        <v>1</v>
      </c>
      <c r="EG293" t="s">
        <v>23</v>
      </c>
      <c r="EH293">
        <v>0</v>
      </c>
      <c r="EI293" t="s">
        <v>3</v>
      </c>
      <c r="EJ293">
        <v>4</v>
      </c>
      <c r="EK293">
        <v>0</v>
      </c>
      <c r="EL293" t="s">
        <v>24</v>
      </c>
      <c r="EM293" t="s">
        <v>25</v>
      </c>
      <c r="EO293" t="s">
        <v>3</v>
      </c>
      <c r="EQ293">
        <v>0</v>
      </c>
      <c r="ER293">
        <v>8888.14</v>
      </c>
      <c r="ES293">
        <v>17.39</v>
      </c>
      <c r="ET293">
        <v>0</v>
      </c>
      <c r="EU293">
        <v>0</v>
      </c>
      <c r="EV293">
        <v>8870.75</v>
      </c>
      <c r="EW293">
        <v>12.5</v>
      </c>
      <c r="EX293">
        <v>0</v>
      </c>
      <c r="EY293">
        <v>0</v>
      </c>
      <c r="FQ293">
        <v>0</v>
      </c>
      <c r="FR293">
        <f t="shared" si="225"/>
        <v>0</v>
      </c>
      <c r="FS293">
        <v>0</v>
      </c>
      <c r="FX293">
        <v>70</v>
      </c>
      <c r="FY293">
        <v>10</v>
      </c>
      <c r="GA293" t="s">
        <v>3</v>
      </c>
      <c r="GD293">
        <v>0</v>
      </c>
      <c r="GF293">
        <v>1857006097</v>
      </c>
      <c r="GG293">
        <v>2</v>
      </c>
      <c r="GH293">
        <v>1</v>
      </c>
      <c r="GI293">
        <v>-2</v>
      </c>
      <c r="GJ293">
        <v>0</v>
      </c>
      <c r="GK293">
        <f>ROUND(R293*(R12)/100,2)</f>
        <v>0</v>
      </c>
      <c r="GL293">
        <f t="shared" si="226"/>
        <v>0</v>
      </c>
      <c r="GM293">
        <f t="shared" si="227"/>
        <v>25575.58</v>
      </c>
      <c r="GN293">
        <f t="shared" si="228"/>
        <v>0</v>
      </c>
      <c r="GO293">
        <f t="shared" si="229"/>
        <v>0</v>
      </c>
      <c r="GP293">
        <f t="shared" si="230"/>
        <v>25575.58</v>
      </c>
      <c r="GR293">
        <v>0</v>
      </c>
      <c r="GS293">
        <v>3</v>
      </c>
      <c r="GT293">
        <v>0</v>
      </c>
      <c r="GU293" t="s">
        <v>3</v>
      </c>
      <c r="GV293">
        <f t="shared" si="231"/>
        <v>0</v>
      </c>
      <c r="GW293">
        <v>1</v>
      </c>
      <c r="GX293">
        <f t="shared" si="232"/>
        <v>0</v>
      </c>
      <c r="HA293">
        <v>0</v>
      </c>
      <c r="HB293">
        <v>0</v>
      </c>
      <c r="HC293">
        <f t="shared" si="233"/>
        <v>0</v>
      </c>
      <c r="HE293" t="s">
        <v>3</v>
      </c>
      <c r="HF293" t="s">
        <v>3</v>
      </c>
      <c r="HM293" t="s">
        <v>3</v>
      </c>
      <c r="HN293" t="s">
        <v>3</v>
      </c>
      <c r="HO293" t="s">
        <v>3</v>
      </c>
      <c r="HP293" t="s">
        <v>3</v>
      </c>
      <c r="HQ293" t="s">
        <v>3</v>
      </c>
      <c r="IK293">
        <v>0</v>
      </c>
    </row>
    <row r="294" spans="1:245" x14ac:dyDescent="0.2">
      <c r="A294">
        <v>17</v>
      </c>
      <c r="B294">
        <v>1</v>
      </c>
      <c r="D294">
        <f>ROW(EtalonRes!A163)</f>
        <v>163</v>
      </c>
      <c r="E294" t="s">
        <v>3</v>
      </c>
      <c r="F294" t="s">
        <v>254</v>
      </c>
      <c r="G294" t="s">
        <v>255</v>
      </c>
      <c r="H294" t="s">
        <v>20</v>
      </c>
      <c r="I294">
        <f>ROUND((35+10+10)*4/100,9)</f>
        <v>2.2000000000000002</v>
      </c>
      <c r="J294">
        <v>0</v>
      </c>
      <c r="K294">
        <f>ROUND((35+10+10)*4/100,9)</f>
        <v>2.2000000000000002</v>
      </c>
      <c r="O294">
        <f t="shared" si="201"/>
        <v>1092.8699999999999</v>
      </c>
      <c r="P294">
        <f t="shared" si="202"/>
        <v>0</v>
      </c>
      <c r="Q294">
        <f t="shared" si="203"/>
        <v>0</v>
      </c>
      <c r="R294">
        <f t="shared" si="204"/>
        <v>0</v>
      </c>
      <c r="S294">
        <f t="shared" si="205"/>
        <v>1092.8699999999999</v>
      </c>
      <c r="T294">
        <f t="shared" si="206"/>
        <v>0</v>
      </c>
      <c r="U294">
        <f t="shared" si="207"/>
        <v>1.54</v>
      </c>
      <c r="V294">
        <f t="shared" si="208"/>
        <v>0</v>
      </c>
      <c r="W294">
        <f t="shared" si="209"/>
        <v>0</v>
      </c>
      <c r="X294">
        <f t="shared" si="210"/>
        <v>765.01</v>
      </c>
      <c r="Y294">
        <f t="shared" si="210"/>
        <v>109.29</v>
      </c>
      <c r="AA294">
        <v>-1</v>
      </c>
      <c r="AB294">
        <f t="shared" si="211"/>
        <v>496.76</v>
      </c>
      <c r="AC294">
        <f>ROUND((ES294),6)</f>
        <v>0</v>
      </c>
      <c r="AD294">
        <f>ROUND((((ET294)-(EU294))+AE294),6)</f>
        <v>0</v>
      </c>
      <c r="AE294">
        <f>ROUND((EU294),6)</f>
        <v>0</v>
      </c>
      <c r="AF294">
        <f>ROUND((EV294),6)</f>
        <v>496.76</v>
      </c>
      <c r="AG294">
        <f t="shared" si="213"/>
        <v>0</v>
      </c>
      <c r="AH294">
        <f>(EW294)</f>
        <v>0.7</v>
      </c>
      <c r="AI294">
        <f>(EX294)</f>
        <v>0</v>
      </c>
      <c r="AJ294">
        <f t="shared" si="215"/>
        <v>0</v>
      </c>
      <c r="AK294">
        <v>496.76</v>
      </c>
      <c r="AL294">
        <v>0</v>
      </c>
      <c r="AM294">
        <v>0</v>
      </c>
      <c r="AN294">
        <v>0</v>
      </c>
      <c r="AO294">
        <v>496.76</v>
      </c>
      <c r="AP294">
        <v>0</v>
      </c>
      <c r="AQ294">
        <v>0.7</v>
      </c>
      <c r="AR294">
        <v>0</v>
      </c>
      <c r="AS294">
        <v>0</v>
      </c>
      <c r="AT294">
        <v>70</v>
      </c>
      <c r="AU294">
        <v>10</v>
      </c>
      <c r="AV294">
        <v>1</v>
      </c>
      <c r="AW294">
        <v>1</v>
      </c>
      <c r="AZ294">
        <v>1</v>
      </c>
      <c r="BA294">
        <v>1</v>
      </c>
      <c r="BB294">
        <v>1</v>
      </c>
      <c r="BC294">
        <v>1</v>
      </c>
      <c r="BD294" t="s">
        <v>3</v>
      </c>
      <c r="BE294" t="s">
        <v>3</v>
      </c>
      <c r="BF294" t="s">
        <v>3</v>
      </c>
      <c r="BG294" t="s">
        <v>3</v>
      </c>
      <c r="BH294">
        <v>0</v>
      </c>
      <c r="BI294">
        <v>4</v>
      </c>
      <c r="BJ294" t="s">
        <v>256</v>
      </c>
      <c r="BM294">
        <v>0</v>
      </c>
      <c r="BN294">
        <v>0</v>
      </c>
      <c r="BO294" t="s">
        <v>3</v>
      </c>
      <c r="BP294">
        <v>0</v>
      </c>
      <c r="BQ294">
        <v>1</v>
      </c>
      <c r="BR294">
        <v>0</v>
      </c>
      <c r="BS294">
        <v>1</v>
      </c>
      <c r="BT294">
        <v>1</v>
      </c>
      <c r="BU294">
        <v>1</v>
      </c>
      <c r="BV294">
        <v>1</v>
      </c>
      <c r="BW294">
        <v>1</v>
      </c>
      <c r="BX294">
        <v>1</v>
      </c>
      <c r="BY294" t="s">
        <v>3</v>
      </c>
      <c r="BZ294">
        <v>70</v>
      </c>
      <c r="CA294">
        <v>10</v>
      </c>
      <c r="CB294" t="s">
        <v>3</v>
      </c>
      <c r="CE294">
        <v>0</v>
      </c>
      <c r="CF294">
        <v>0</v>
      </c>
      <c r="CG294">
        <v>0</v>
      </c>
      <c r="CM294">
        <v>0</v>
      </c>
      <c r="CN294" t="s">
        <v>3</v>
      </c>
      <c r="CO294">
        <v>0</v>
      </c>
      <c r="CP294">
        <f t="shared" si="216"/>
        <v>1092.8699999999999</v>
      </c>
      <c r="CQ294">
        <f t="shared" si="217"/>
        <v>0</v>
      </c>
      <c r="CR294">
        <f>((((ET294)*BB294-(EU294)*BS294)+AE294*BS294)*AV294)</f>
        <v>0</v>
      </c>
      <c r="CS294">
        <f t="shared" si="218"/>
        <v>0</v>
      </c>
      <c r="CT294">
        <f t="shared" si="219"/>
        <v>496.76</v>
      </c>
      <c r="CU294">
        <f t="shared" si="220"/>
        <v>0</v>
      </c>
      <c r="CV294">
        <f t="shared" si="221"/>
        <v>0.7</v>
      </c>
      <c r="CW294">
        <f t="shared" si="222"/>
        <v>0</v>
      </c>
      <c r="CX294">
        <f t="shared" si="222"/>
        <v>0</v>
      </c>
      <c r="CY294">
        <f t="shared" si="223"/>
        <v>765.0089999999999</v>
      </c>
      <c r="CZ294">
        <f t="shared" si="224"/>
        <v>109.28699999999999</v>
      </c>
      <c r="DC294" t="s">
        <v>3</v>
      </c>
      <c r="DD294" t="s">
        <v>3</v>
      </c>
      <c r="DE294" t="s">
        <v>3</v>
      </c>
      <c r="DF294" t="s">
        <v>3</v>
      </c>
      <c r="DG294" t="s">
        <v>3</v>
      </c>
      <c r="DH294" t="s">
        <v>3</v>
      </c>
      <c r="DI294" t="s">
        <v>3</v>
      </c>
      <c r="DJ294" t="s">
        <v>3</v>
      </c>
      <c r="DK294" t="s">
        <v>3</v>
      </c>
      <c r="DL294" t="s">
        <v>3</v>
      </c>
      <c r="DM294" t="s">
        <v>3</v>
      </c>
      <c r="DN294">
        <v>0</v>
      </c>
      <c r="DO294">
        <v>0</v>
      </c>
      <c r="DP294">
        <v>1</v>
      </c>
      <c r="DQ294">
        <v>1</v>
      </c>
      <c r="DU294">
        <v>1003</v>
      </c>
      <c r="DV294" t="s">
        <v>20</v>
      </c>
      <c r="DW294" t="s">
        <v>20</v>
      </c>
      <c r="DX294">
        <v>100</v>
      </c>
      <c r="DZ294" t="s">
        <v>3</v>
      </c>
      <c r="EA294" t="s">
        <v>3</v>
      </c>
      <c r="EB294" t="s">
        <v>3</v>
      </c>
      <c r="EC294" t="s">
        <v>3</v>
      </c>
      <c r="EE294">
        <v>1441815344</v>
      </c>
      <c r="EF294">
        <v>1</v>
      </c>
      <c r="EG294" t="s">
        <v>23</v>
      </c>
      <c r="EH294">
        <v>0</v>
      </c>
      <c r="EI294" t="s">
        <v>3</v>
      </c>
      <c r="EJ294">
        <v>4</v>
      </c>
      <c r="EK294">
        <v>0</v>
      </c>
      <c r="EL294" t="s">
        <v>24</v>
      </c>
      <c r="EM294" t="s">
        <v>25</v>
      </c>
      <c r="EO294" t="s">
        <v>3</v>
      </c>
      <c r="EQ294">
        <v>1311744</v>
      </c>
      <c r="ER294">
        <v>496.76</v>
      </c>
      <c r="ES294">
        <v>0</v>
      </c>
      <c r="ET294">
        <v>0</v>
      </c>
      <c r="EU294">
        <v>0</v>
      </c>
      <c r="EV294">
        <v>496.76</v>
      </c>
      <c r="EW294">
        <v>0.7</v>
      </c>
      <c r="EX294">
        <v>0</v>
      </c>
      <c r="EY294">
        <v>0</v>
      </c>
      <c r="FQ294">
        <v>0</v>
      </c>
      <c r="FR294">
        <f t="shared" si="225"/>
        <v>0</v>
      </c>
      <c r="FS294">
        <v>0</v>
      </c>
      <c r="FX294">
        <v>70</v>
      </c>
      <c r="FY294">
        <v>10</v>
      </c>
      <c r="GA294" t="s">
        <v>3</v>
      </c>
      <c r="GD294">
        <v>0</v>
      </c>
      <c r="GF294">
        <v>-1307125436</v>
      </c>
      <c r="GG294">
        <v>2</v>
      </c>
      <c r="GH294">
        <v>1</v>
      </c>
      <c r="GI294">
        <v>-2</v>
      </c>
      <c r="GJ294">
        <v>0</v>
      </c>
      <c r="GK294">
        <f>ROUND(R294*(R12)/100,2)</f>
        <v>0</v>
      </c>
      <c r="GL294">
        <f t="shared" si="226"/>
        <v>0</v>
      </c>
      <c r="GM294">
        <f t="shared" si="227"/>
        <v>1967.17</v>
      </c>
      <c r="GN294">
        <f t="shared" si="228"/>
        <v>0</v>
      </c>
      <c r="GO294">
        <f t="shared" si="229"/>
        <v>0</v>
      </c>
      <c r="GP294">
        <f t="shared" si="230"/>
        <v>1967.17</v>
      </c>
      <c r="GR294">
        <v>0</v>
      </c>
      <c r="GS294">
        <v>3</v>
      </c>
      <c r="GT294">
        <v>0</v>
      </c>
      <c r="GU294" t="s">
        <v>3</v>
      </c>
      <c r="GV294">
        <f t="shared" si="231"/>
        <v>0</v>
      </c>
      <c r="GW294">
        <v>1</v>
      </c>
      <c r="GX294">
        <f t="shared" si="232"/>
        <v>0</v>
      </c>
      <c r="HA294">
        <v>0</v>
      </c>
      <c r="HB294">
        <v>0</v>
      </c>
      <c r="HC294">
        <f t="shared" si="233"/>
        <v>0</v>
      </c>
      <c r="HE294" t="s">
        <v>3</v>
      </c>
      <c r="HF294" t="s">
        <v>3</v>
      </c>
      <c r="HM294" t="s">
        <v>3</v>
      </c>
      <c r="HN294" t="s">
        <v>3</v>
      </c>
      <c r="HO294" t="s">
        <v>3</v>
      </c>
      <c r="HP294" t="s">
        <v>3</v>
      </c>
      <c r="HQ294" t="s">
        <v>3</v>
      </c>
      <c r="IK294">
        <v>0</v>
      </c>
    </row>
    <row r="295" spans="1:245" x14ac:dyDescent="0.2">
      <c r="A295">
        <v>17</v>
      </c>
      <c r="B295">
        <v>1</v>
      </c>
      <c r="D295">
        <f>ROW(EtalonRes!A164)</f>
        <v>164</v>
      </c>
      <c r="E295" t="s">
        <v>3</v>
      </c>
      <c r="F295" t="s">
        <v>257</v>
      </c>
      <c r="G295" t="s">
        <v>258</v>
      </c>
      <c r="H295" t="s">
        <v>32</v>
      </c>
      <c r="I295">
        <f>ROUND(1*4,9)</f>
        <v>4</v>
      </c>
      <c r="J295">
        <v>0</v>
      </c>
      <c r="K295">
        <f>ROUND(1*4,9)</f>
        <v>4</v>
      </c>
      <c r="O295">
        <f t="shared" si="201"/>
        <v>6525.92</v>
      </c>
      <c r="P295">
        <f t="shared" si="202"/>
        <v>0</v>
      </c>
      <c r="Q295">
        <f t="shared" si="203"/>
        <v>0</v>
      </c>
      <c r="R295">
        <f t="shared" si="204"/>
        <v>0</v>
      </c>
      <c r="S295">
        <f t="shared" si="205"/>
        <v>6525.92</v>
      </c>
      <c r="T295">
        <f t="shared" si="206"/>
        <v>0</v>
      </c>
      <c r="U295">
        <f t="shared" si="207"/>
        <v>8.48</v>
      </c>
      <c r="V295">
        <f t="shared" si="208"/>
        <v>0</v>
      </c>
      <c r="W295">
        <f t="shared" si="209"/>
        <v>0</v>
      </c>
      <c r="X295">
        <f t="shared" si="210"/>
        <v>4568.1400000000003</v>
      </c>
      <c r="Y295">
        <f t="shared" si="210"/>
        <v>652.59</v>
      </c>
      <c r="AA295">
        <v>-1</v>
      </c>
      <c r="AB295">
        <f t="shared" si="211"/>
        <v>1631.48</v>
      </c>
      <c r="AC295">
        <f>ROUND(((ES295*2)),6)</f>
        <v>0</v>
      </c>
      <c r="AD295">
        <f>ROUND(((((ET295*2))-((EU295*2)))+AE295),6)</f>
        <v>0</v>
      </c>
      <c r="AE295">
        <f>ROUND(((EU295*2)),6)</f>
        <v>0</v>
      </c>
      <c r="AF295">
        <f>ROUND(((EV295*2)),6)</f>
        <v>1631.48</v>
      </c>
      <c r="AG295">
        <f t="shared" si="213"/>
        <v>0</v>
      </c>
      <c r="AH295">
        <f>((EW295*2))</f>
        <v>2.12</v>
      </c>
      <c r="AI295">
        <f>((EX295*2))</f>
        <v>0</v>
      </c>
      <c r="AJ295">
        <f t="shared" si="215"/>
        <v>0</v>
      </c>
      <c r="AK295">
        <v>815.74</v>
      </c>
      <c r="AL295">
        <v>0</v>
      </c>
      <c r="AM295">
        <v>0</v>
      </c>
      <c r="AN295">
        <v>0</v>
      </c>
      <c r="AO295">
        <v>815.74</v>
      </c>
      <c r="AP295">
        <v>0</v>
      </c>
      <c r="AQ295">
        <v>1.06</v>
      </c>
      <c r="AR295">
        <v>0</v>
      </c>
      <c r="AS295">
        <v>0</v>
      </c>
      <c r="AT295">
        <v>70</v>
      </c>
      <c r="AU295">
        <v>10</v>
      </c>
      <c r="AV295">
        <v>1</v>
      </c>
      <c r="AW295">
        <v>1</v>
      </c>
      <c r="AZ295">
        <v>1</v>
      </c>
      <c r="BA295">
        <v>1</v>
      </c>
      <c r="BB295">
        <v>1</v>
      </c>
      <c r="BC295">
        <v>1</v>
      </c>
      <c r="BD295" t="s">
        <v>3</v>
      </c>
      <c r="BE295" t="s">
        <v>3</v>
      </c>
      <c r="BF295" t="s">
        <v>3</v>
      </c>
      <c r="BG295" t="s">
        <v>3</v>
      </c>
      <c r="BH295">
        <v>0</v>
      </c>
      <c r="BI295">
        <v>4</v>
      </c>
      <c r="BJ295" t="s">
        <v>259</v>
      </c>
      <c r="BM295">
        <v>0</v>
      </c>
      <c r="BN295">
        <v>0</v>
      </c>
      <c r="BO295" t="s">
        <v>3</v>
      </c>
      <c r="BP295">
        <v>0</v>
      </c>
      <c r="BQ295">
        <v>1</v>
      </c>
      <c r="BR295">
        <v>0</v>
      </c>
      <c r="BS295">
        <v>1</v>
      </c>
      <c r="BT295">
        <v>1</v>
      </c>
      <c r="BU295">
        <v>1</v>
      </c>
      <c r="BV295">
        <v>1</v>
      </c>
      <c r="BW295">
        <v>1</v>
      </c>
      <c r="BX295">
        <v>1</v>
      </c>
      <c r="BY295" t="s">
        <v>3</v>
      </c>
      <c r="BZ295">
        <v>70</v>
      </c>
      <c r="CA295">
        <v>10</v>
      </c>
      <c r="CB295" t="s">
        <v>3</v>
      </c>
      <c r="CE295">
        <v>0</v>
      </c>
      <c r="CF295">
        <v>0</v>
      </c>
      <c r="CG295">
        <v>0</v>
      </c>
      <c r="CM295">
        <v>0</v>
      </c>
      <c r="CN295" t="s">
        <v>3</v>
      </c>
      <c r="CO295">
        <v>0</v>
      </c>
      <c r="CP295">
        <f t="shared" si="216"/>
        <v>6525.92</v>
      </c>
      <c r="CQ295">
        <f t="shared" si="217"/>
        <v>0</v>
      </c>
      <c r="CR295">
        <f>(((((ET295*2))*BB295-((EU295*2))*BS295)+AE295*BS295)*AV295)</f>
        <v>0</v>
      </c>
      <c r="CS295">
        <f t="shared" si="218"/>
        <v>0</v>
      </c>
      <c r="CT295">
        <f t="shared" si="219"/>
        <v>1631.48</v>
      </c>
      <c r="CU295">
        <f t="shared" si="220"/>
        <v>0</v>
      </c>
      <c r="CV295">
        <f t="shared" si="221"/>
        <v>2.12</v>
      </c>
      <c r="CW295">
        <f t="shared" si="222"/>
        <v>0</v>
      </c>
      <c r="CX295">
        <f t="shared" si="222"/>
        <v>0</v>
      </c>
      <c r="CY295">
        <f t="shared" si="223"/>
        <v>4568.1440000000002</v>
      </c>
      <c r="CZ295">
        <f t="shared" si="224"/>
        <v>652.59199999999998</v>
      </c>
      <c r="DC295" t="s">
        <v>3</v>
      </c>
      <c r="DD295" t="s">
        <v>164</v>
      </c>
      <c r="DE295" t="s">
        <v>164</v>
      </c>
      <c r="DF295" t="s">
        <v>164</v>
      </c>
      <c r="DG295" t="s">
        <v>164</v>
      </c>
      <c r="DH295" t="s">
        <v>3</v>
      </c>
      <c r="DI295" t="s">
        <v>164</v>
      </c>
      <c r="DJ295" t="s">
        <v>164</v>
      </c>
      <c r="DK295" t="s">
        <v>3</v>
      </c>
      <c r="DL295" t="s">
        <v>3</v>
      </c>
      <c r="DM295" t="s">
        <v>3</v>
      </c>
      <c r="DN295">
        <v>0</v>
      </c>
      <c r="DO295">
        <v>0</v>
      </c>
      <c r="DP295">
        <v>1</v>
      </c>
      <c r="DQ295">
        <v>1</v>
      </c>
      <c r="DU295">
        <v>16987630</v>
      </c>
      <c r="DV295" t="s">
        <v>32</v>
      </c>
      <c r="DW295" t="s">
        <v>32</v>
      </c>
      <c r="DX295">
        <v>1</v>
      </c>
      <c r="DZ295" t="s">
        <v>3</v>
      </c>
      <c r="EA295" t="s">
        <v>3</v>
      </c>
      <c r="EB295" t="s">
        <v>3</v>
      </c>
      <c r="EC295" t="s">
        <v>3</v>
      </c>
      <c r="EE295">
        <v>1441815344</v>
      </c>
      <c r="EF295">
        <v>1</v>
      </c>
      <c r="EG295" t="s">
        <v>23</v>
      </c>
      <c r="EH295">
        <v>0</v>
      </c>
      <c r="EI295" t="s">
        <v>3</v>
      </c>
      <c r="EJ295">
        <v>4</v>
      </c>
      <c r="EK295">
        <v>0</v>
      </c>
      <c r="EL295" t="s">
        <v>24</v>
      </c>
      <c r="EM295" t="s">
        <v>25</v>
      </c>
      <c r="EO295" t="s">
        <v>3</v>
      </c>
      <c r="EQ295">
        <v>1311744</v>
      </c>
      <c r="ER295">
        <v>815.74</v>
      </c>
      <c r="ES295">
        <v>0</v>
      </c>
      <c r="ET295">
        <v>0</v>
      </c>
      <c r="EU295">
        <v>0</v>
      </c>
      <c r="EV295">
        <v>815.74</v>
      </c>
      <c r="EW295">
        <v>1.06</v>
      </c>
      <c r="EX295">
        <v>0</v>
      </c>
      <c r="EY295">
        <v>0</v>
      </c>
      <c r="FQ295">
        <v>0</v>
      </c>
      <c r="FR295">
        <f t="shared" si="225"/>
        <v>0</v>
      </c>
      <c r="FS295">
        <v>0</v>
      </c>
      <c r="FX295">
        <v>70</v>
      </c>
      <c r="FY295">
        <v>10</v>
      </c>
      <c r="GA295" t="s">
        <v>3</v>
      </c>
      <c r="GD295">
        <v>0</v>
      </c>
      <c r="GF295">
        <v>-614495757</v>
      </c>
      <c r="GG295">
        <v>2</v>
      </c>
      <c r="GH295">
        <v>1</v>
      </c>
      <c r="GI295">
        <v>-2</v>
      </c>
      <c r="GJ295">
        <v>0</v>
      </c>
      <c r="GK295">
        <f>ROUND(R295*(R12)/100,2)</f>
        <v>0</v>
      </c>
      <c r="GL295">
        <f t="shared" si="226"/>
        <v>0</v>
      </c>
      <c r="GM295">
        <f t="shared" si="227"/>
        <v>11746.65</v>
      </c>
      <c r="GN295">
        <f t="shared" si="228"/>
        <v>0</v>
      </c>
      <c r="GO295">
        <f t="shared" si="229"/>
        <v>0</v>
      </c>
      <c r="GP295">
        <f t="shared" si="230"/>
        <v>11746.65</v>
      </c>
      <c r="GR295">
        <v>0</v>
      </c>
      <c r="GS295">
        <v>3</v>
      </c>
      <c r="GT295">
        <v>0</v>
      </c>
      <c r="GU295" t="s">
        <v>3</v>
      </c>
      <c r="GV295">
        <f t="shared" si="231"/>
        <v>0</v>
      </c>
      <c r="GW295">
        <v>1</v>
      </c>
      <c r="GX295">
        <f t="shared" si="232"/>
        <v>0</v>
      </c>
      <c r="HA295">
        <v>0</v>
      </c>
      <c r="HB295">
        <v>0</v>
      </c>
      <c r="HC295">
        <f t="shared" si="233"/>
        <v>0</v>
      </c>
      <c r="HE295" t="s">
        <v>3</v>
      </c>
      <c r="HF295" t="s">
        <v>3</v>
      </c>
      <c r="HM295" t="s">
        <v>3</v>
      </c>
      <c r="HN295" t="s">
        <v>3</v>
      </c>
      <c r="HO295" t="s">
        <v>3</v>
      </c>
      <c r="HP295" t="s">
        <v>3</v>
      </c>
      <c r="HQ295" t="s">
        <v>3</v>
      </c>
      <c r="IK295">
        <v>0</v>
      </c>
    </row>
    <row r="297" spans="1:245" x14ac:dyDescent="0.2">
      <c r="A297" s="2">
        <v>51</v>
      </c>
      <c r="B297" s="2">
        <f>B284</f>
        <v>1</v>
      </c>
      <c r="C297" s="2">
        <f>A284</f>
        <v>5</v>
      </c>
      <c r="D297" s="2">
        <f>ROW(A284)</f>
        <v>284</v>
      </c>
      <c r="E297" s="2"/>
      <c r="F297" s="2" t="str">
        <f>IF(F284&lt;&gt;"",F284,"")</f>
        <v>Новый подраздел</v>
      </c>
      <c r="G297" s="2" t="str">
        <f>IF(G284&lt;&gt;"",G284,"")</f>
        <v>Система УУТЭ</v>
      </c>
      <c r="H297" s="2">
        <v>0</v>
      </c>
      <c r="I297" s="2"/>
      <c r="J297" s="2"/>
      <c r="K297" s="2"/>
      <c r="L297" s="2"/>
      <c r="M297" s="2"/>
      <c r="N297" s="2"/>
      <c r="O297" s="2">
        <f t="shared" ref="O297:T297" si="234">ROUND(AB297,2)</f>
        <v>74841.66</v>
      </c>
      <c r="P297" s="2">
        <f t="shared" si="234"/>
        <v>964.14</v>
      </c>
      <c r="Q297" s="2">
        <f t="shared" si="234"/>
        <v>0</v>
      </c>
      <c r="R297" s="2">
        <f t="shared" si="234"/>
        <v>0</v>
      </c>
      <c r="S297" s="2">
        <f t="shared" si="234"/>
        <v>73877.52</v>
      </c>
      <c r="T297" s="2">
        <f t="shared" si="234"/>
        <v>0</v>
      </c>
      <c r="U297" s="2">
        <f>AH297</f>
        <v>95.76</v>
      </c>
      <c r="V297" s="2">
        <f>AI297</f>
        <v>0</v>
      </c>
      <c r="W297" s="2">
        <f>ROUND(AJ297,2)</f>
        <v>0</v>
      </c>
      <c r="X297" s="2">
        <f>ROUND(AK297,2)</f>
        <v>51714.27</v>
      </c>
      <c r="Y297" s="2">
        <f>ROUND(AL297,2)</f>
        <v>7387.75</v>
      </c>
      <c r="Z297" s="2"/>
      <c r="AA297" s="2"/>
      <c r="AB297" s="2">
        <f>ROUND(SUMIF(AA288:AA295,"=1472224561",O288:O295),2)</f>
        <v>74841.66</v>
      </c>
      <c r="AC297" s="2">
        <f>ROUND(SUMIF(AA288:AA295,"=1472224561",P288:P295),2)</f>
        <v>964.14</v>
      </c>
      <c r="AD297" s="2">
        <f>ROUND(SUMIF(AA288:AA295,"=1472224561",Q288:Q295),2)</f>
        <v>0</v>
      </c>
      <c r="AE297" s="2">
        <f>ROUND(SUMIF(AA288:AA295,"=1472224561",R288:R295),2)</f>
        <v>0</v>
      </c>
      <c r="AF297" s="2">
        <f>ROUND(SUMIF(AA288:AA295,"=1472224561",S288:S295),2)</f>
        <v>73877.52</v>
      </c>
      <c r="AG297" s="2">
        <f>ROUND(SUMIF(AA288:AA295,"=1472224561",T288:T295),2)</f>
        <v>0</v>
      </c>
      <c r="AH297" s="2">
        <f>SUMIF(AA288:AA295,"=1472224561",U288:U295)</f>
        <v>95.76</v>
      </c>
      <c r="AI297" s="2">
        <f>SUMIF(AA288:AA295,"=1472224561",V288:V295)</f>
        <v>0</v>
      </c>
      <c r="AJ297" s="2">
        <f>ROUND(SUMIF(AA288:AA295,"=1472224561",W288:W295),2)</f>
        <v>0</v>
      </c>
      <c r="AK297" s="2">
        <f>ROUND(SUMIF(AA288:AA295,"=1472224561",X288:X295),2)</f>
        <v>51714.27</v>
      </c>
      <c r="AL297" s="2">
        <f>ROUND(SUMIF(AA288:AA295,"=1472224561",Y288:Y295),2)</f>
        <v>7387.75</v>
      </c>
      <c r="AM297" s="2"/>
      <c r="AN297" s="2"/>
      <c r="AO297" s="2">
        <f t="shared" ref="AO297:BD297" si="235">ROUND(BX297,2)</f>
        <v>0</v>
      </c>
      <c r="AP297" s="2">
        <f t="shared" si="235"/>
        <v>0</v>
      </c>
      <c r="AQ297" s="2">
        <f t="shared" si="235"/>
        <v>0</v>
      </c>
      <c r="AR297" s="2">
        <f t="shared" si="235"/>
        <v>133943.67999999999</v>
      </c>
      <c r="AS297" s="2">
        <f t="shared" si="235"/>
        <v>0</v>
      </c>
      <c r="AT297" s="2">
        <f t="shared" si="235"/>
        <v>0</v>
      </c>
      <c r="AU297" s="2">
        <f t="shared" si="235"/>
        <v>133943.67999999999</v>
      </c>
      <c r="AV297" s="2">
        <f t="shared" si="235"/>
        <v>964.14</v>
      </c>
      <c r="AW297" s="2">
        <f t="shared" si="235"/>
        <v>964.14</v>
      </c>
      <c r="AX297" s="2">
        <f t="shared" si="235"/>
        <v>0</v>
      </c>
      <c r="AY297" s="2">
        <f t="shared" si="235"/>
        <v>964.14</v>
      </c>
      <c r="AZ297" s="2">
        <f t="shared" si="235"/>
        <v>0</v>
      </c>
      <c r="BA297" s="2">
        <f t="shared" si="235"/>
        <v>0</v>
      </c>
      <c r="BB297" s="2">
        <f t="shared" si="235"/>
        <v>0</v>
      </c>
      <c r="BC297" s="2">
        <f t="shared" si="235"/>
        <v>0</v>
      </c>
      <c r="BD297" s="2">
        <f t="shared" si="235"/>
        <v>0</v>
      </c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>
        <f>ROUND(SUMIF(AA288:AA295,"=1472224561",FQ288:FQ295),2)</f>
        <v>0</v>
      </c>
      <c r="BY297" s="2">
        <f>ROUND(SUMIF(AA288:AA295,"=1472224561",FR288:FR295),2)</f>
        <v>0</v>
      </c>
      <c r="BZ297" s="2">
        <f>ROUND(SUMIF(AA288:AA295,"=1472224561",GL288:GL295),2)</f>
        <v>0</v>
      </c>
      <c r="CA297" s="2">
        <f>ROUND(SUMIF(AA288:AA295,"=1472224561",GM288:GM295),2)</f>
        <v>133943.67999999999</v>
      </c>
      <c r="CB297" s="2">
        <f>ROUND(SUMIF(AA288:AA295,"=1472224561",GN288:GN295),2)</f>
        <v>0</v>
      </c>
      <c r="CC297" s="2">
        <f>ROUND(SUMIF(AA288:AA295,"=1472224561",GO288:GO295),2)</f>
        <v>0</v>
      </c>
      <c r="CD297" s="2">
        <f>ROUND(SUMIF(AA288:AA295,"=1472224561",GP288:GP295),2)</f>
        <v>133943.67999999999</v>
      </c>
      <c r="CE297" s="2">
        <f>AC297-BX297</f>
        <v>964.14</v>
      </c>
      <c r="CF297" s="2">
        <f>AC297-BY297</f>
        <v>964.14</v>
      </c>
      <c r="CG297" s="2">
        <f>BX297-BZ297</f>
        <v>0</v>
      </c>
      <c r="CH297" s="2">
        <f>AC297-BX297-BY297+BZ297</f>
        <v>964.14</v>
      </c>
      <c r="CI297" s="2">
        <f>BY297-BZ297</f>
        <v>0</v>
      </c>
      <c r="CJ297" s="2">
        <f>ROUND(SUMIF(AA288:AA295,"=1472224561",GX288:GX295),2)</f>
        <v>0</v>
      </c>
      <c r="CK297" s="2">
        <f>ROUND(SUMIF(AA288:AA295,"=1472224561",GY288:GY295),2)</f>
        <v>0</v>
      </c>
      <c r="CL297" s="2">
        <f>ROUND(SUMIF(AA288:AA295,"=1472224561",GZ288:GZ295),2)</f>
        <v>0</v>
      </c>
      <c r="CM297" s="2">
        <f>ROUND(SUMIF(AA288:AA295,"=1472224561",HD288:HD295),2)</f>
        <v>0</v>
      </c>
      <c r="CN297" s="2"/>
      <c r="CO297" s="2"/>
      <c r="CP297" s="2"/>
      <c r="CQ297" s="2"/>
      <c r="CR297" s="2"/>
      <c r="CS297" s="2"/>
      <c r="CT297" s="2"/>
      <c r="CU297" s="2"/>
      <c r="CV297" s="2"/>
      <c r="CW297" s="2"/>
      <c r="CX297" s="2"/>
      <c r="CY297" s="2"/>
      <c r="CZ297" s="2"/>
      <c r="DA297" s="2"/>
      <c r="DB297" s="2"/>
      <c r="DC297" s="2"/>
      <c r="DD297" s="2"/>
      <c r="DE297" s="2"/>
      <c r="DF297" s="2"/>
      <c r="DG297" s="3"/>
      <c r="DH297" s="3"/>
      <c r="DI297" s="3"/>
      <c r="DJ297" s="3"/>
      <c r="DK297" s="3"/>
      <c r="DL297" s="3"/>
      <c r="DM297" s="3"/>
      <c r="DN297" s="3"/>
      <c r="DO297" s="3"/>
      <c r="DP297" s="3"/>
      <c r="DQ297" s="3"/>
      <c r="DR297" s="3"/>
      <c r="DS297" s="3"/>
      <c r="DT297" s="3"/>
      <c r="DU297" s="3"/>
      <c r="DV297" s="3"/>
      <c r="DW297" s="3"/>
      <c r="DX297" s="3"/>
      <c r="DY297" s="3"/>
      <c r="DZ297" s="3"/>
      <c r="EA297" s="3"/>
      <c r="EB297" s="3"/>
      <c r="EC297" s="3"/>
      <c r="ED297" s="3"/>
      <c r="EE297" s="3"/>
      <c r="EF297" s="3"/>
      <c r="EG297" s="3"/>
      <c r="EH297" s="3"/>
      <c r="EI297" s="3"/>
      <c r="EJ297" s="3"/>
      <c r="EK297" s="3"/>
      <c r="EL297" s="3"/>
      <c r="EM297" s="3"/>
      <c r="EN297" s="3"/>
      <c r="EO297" s="3"/>
      <c r="EP297" s="3"/>
      <c r="EQ297" s="3"/>
      <c r="ER297" s="3"/>
      <c r="ES297" s="3"/>
      <c r="ET297" s="3"/>
      <c r="EU297" s="3"/>
      <c r="EV297" s="3"/>
      <c r="EW297" s="3"/>
      <c r="EX297" s="3"/>
      <c r="EY297" s="3"/>
      <c r="EZ297" s="3"/>
      <c r="FA297" s="3"/>
      <c r="FB297" s="3"/>
      <c r="FC297" s="3"/>
      <c r="FD297" s="3"/>
      <c r="FE297" s="3"/>
      <c r="FF297" s="3"/>
      <c r="FG297" s="3"/>
      <c r="FH297" s="3"/>
      <c r="FI297" s="3"/>
      <c r="FJ297" s="3"/>
      <c r="FK297" s="3"/>
      <c r="FL297" s="3"/>
      <c r="FM297" s="3"/>
      <c r="FN297" s="3"/>
      <c r="FO297" s="3"/>
      <c r="FP297" s="3"/>
      <c r="FQ297" s="3"/>
      <c r="FR297" s="3"/>
      <c r="FS297" s="3"/>
      <c r="FT297" s="3"/>
      <c r="FU297" s="3"/>
      <c r="FV297" s="3"/>
      <c r="FW297" s="3"/>
      <c r="FX297" s="3"/>
      <c r="FY297" s="3"/>
      <c r="FZ297" s="3"/>
      <c r="GA297" s="3"/>
      <c r="GB297" s="3"/>
      <c r="GC297" s="3"/>
      <c r="GD297" s="3"/>
      <c r="GE297" s="3"/>
      <c r="GF297" s="3"/>
      <c r="GG297" s="3"/>
      <c r="GH297" s="3"/>
      <c r="GI297" s="3"/>
      <c r="GJ297" s="3"/>
      <c r="GK297" s="3"/>
      <c r="GL297" s="3"/>
      <c r="GM297" s="3"/>
      <c r="GN297" s="3"/>
      <c r="GO297" s="3"/>
      <c r="GP297" s="3"/>
      <c r="GQ297" s="3"/>
      <c r="GR297" s="3"/>
      <c r="GS297" s="3"/>
      <c r="GT297" s="3"/>
      <c r="GU297" s="3"/>
      <c r="GV297" s="3"/>
      <c r="GW297" s="3"/>
      <c r="GX297" s="3">
        <v>0</v>
      </c>
    </row>
    <row r="299" spans="1:245" x14ac:dyDescent="0.2">
      <c r="A299" s="4">
        <v>50</v>
      </c>
      <c r="B299" s="4">
        <v>0</v>
      </c>
      <c r="C299" s="4">
        <v>0</v>
      </c>
      <c r="D299" s="4">
        <v>1</v>
      </c>
      <c r="E299" s="4">
        <v>201</v>
      </c>
      <c r="F299" s="4">
        <f>ROUND(Source!O297,O299)</f>
        <v>74841.66</v>
      </c>
      <c r="G299" s="4" t="s">
        <v>46</v>
      </c>
      <c r="H299" s="4" t="s">
        <v>47</v>
      </c>
      <c r="I299" s="4"/>
      <c r="J299" s="4"/>
      <c r="K299" s="4">
        <v>201</v>
      </c>
      <c r="L299" s="4">
        <v>1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14221.02</v>
      </c>
      <c r="X299" s="4">
        <v>1</v>
      </c>
      <c r="Y299" s="4">
        <v>14221.02</v>
      </c>
      <c r="Z299" s="4"/>
      <c r="AA299" s="4"/>
      <c r="AB299" s="4"/>
    </row>
    <row r="300" spans="1:245" x14ac:dyDescent="0.2">
      <c r="A300" s="4">
        <v>50</v>
      </c>
      <c r="B300" s="4">
        <v>0</v>
      </c>
      <c r="C300" s="4">
        <v>0</v>
      </c>
      <c r="D300" s="4">
        <v>1</v>
      </c>
      <c r="E300" s="4">
        <v>202</v>
      </c>
      <c r="F300" s="4">
        <f>ROUND(Source!P297,O300)</f>
        <v>964.14</v>
      </c>
      <c r="G300" s="4" t="s">
        <v>48</v>
      </c>
      <c r="H300" s="4" t="s">
        <v>49</v>
      </c>
      <c r="I300" s="4"/>
      <c r="J300" s="4"/>
      <c r="K300" s="4">
        <v>202</v>
      </c>
      <c r="L300" s="4">
        <v>2</v>
      </c>
      <c r="M300" s="4">
        <v>3</v>
      </c>
      <c r="N300" s="4" t="s">
        <v>3</v>
      </c>
      <c r="O300" s="4">
        <v>2</v>
      </c>
      <c r="P300" s="4"/>
      <c r="Q300" s="4"/>
      <c r="R300" s="4"/>
      <c r="S300" s="4"/>
      <c r="T300" s="4"/>
      <c r="U300" s="4"/>
      <c r="V300" s="4"/>
      <c r="W300" s="4">
        <v>27.82</v>
      </c>
      <c r="X300" s="4">
        <v>1</v>
      </c>
      <c r="Y300" s="4">
        <v>27.82</v>
      </c>
      <c r="Z300" s="4"/>
      <c r="AA300" s="4"/>
      <c r="AB300" s="4"/>
    </row>
    <row r="301" spans="1:245" x14ac:dyDescent="0.2">
      <c r="A301" s="4">
        <v>50</v>
      </c>
      <c r="B301" s="4">
        <v>0</v>
      </c>
      <c r="C301" s="4">
        <v>0</v>
      </c>
      <c r="D301" s="4">
        <v>1</v>
      </c>
      <c r="E301" s="4">
        <v>222</v>
      </c>
      <c r="F301" s="4">
        <f>ROUND(Source!AO297,O301)</f>
        <v>0</v>
      </c>
      <c r="G301" s="4" t="s">
        <v>50</v>
      </c>
      <c r="H301" s="4" t="s">
        <v>51</v>
      </c>
      <c r="I301" s="4"/>
      <c r="J301" s="4"/>
      <c r="K301" s="4">
        <v>222</v>
      </c>
      <c r="L301" s="4">
        <v>3</v>
      </c>
      <c r="M301" s="4">
        <v>3</v>
      </c>
      <c r="N301" s="4" t="s">
        <v>3</v>
      </c>
      <c r="O301" s="4">
        <v>2</v>
      </c>
      <c r="P301" s="4"/>
      <c r="Q301" s="4"/>
      <c r="R301" s="4"/>
      <c r="S301" s="4"/>
      <c r="T301" s="4"/>
      <c r="U301" s="4"/>
      <c r="V301" s="4"/>
      <c r="W301" s="4">
        <v>0</v>
      </c>
      <c r="X301" s="4">
        <v>1</v>
      </c>
      <c r="Y301" s="4">
        <v>0</v>
      </c>
      <c r="Z301" s="4"/>
      <c r="AA301" s="4"/>
      <c r="AB301" s="4"/>
    </row>
    <row r="302" spans="1:245" x14ac:dyDescent="0.2">
      <c r="A302" s="4">
        <v>50</v>
      </c>
      <c r="B302" s="4">
        <v>0</v>
      </c>
      <c r="C302" s="4">
        <v>0</v>
      </c>
      <c r="D302" s="4">
        <v>1</v>
      </c>
      <c r="E302" s="4">
        <v>225</v>
      </c>
      <c r="F302" s="4">
        <f>ROUND(Source!AV297,O302)</f>
        <v>964.14</v>
      </c>
      <c r="G302" s="4" t="s">
        <v>52</v>
      </c>
      <c r="H302" s="4" t="s">
        <v>53</v>
      </c>
      <c r="I302" s="4"/>
      <c r="J302" s="4"/>
      <c r="K302" s="4">
        <v>225</v>
      </c>
      <c r="L302" s="4">
        <v>4</v>
      </c>
      <c r="M302" s="4">
        <v>3</v>
      </c>
      <c r="N302" s="4" t="s">
        <v>3</v>
      </c>
      <c r="O302" s="4">
        <v>2</v>
      </c>
      <c r="P302" s="4"/>
      <c r="Q302" s="4"/>
      <c r="R302" s="4"/>
      <c r="S302" s="4"/>
      <c r="T302" s="4"/>
      <c r="U302" s="4"/>
      <c r="V302" s="4"/>
      <c r="W302" s="4">
        <v>27.82</v>
      </c>
      <c r="X302" s="4">
        <v>1</v>
      </c>
      <c r="Y302" s="4">
        <v>27.82</v>
      </c>
      <c r="Z302" s="4"/>
      <c r="AA302" s="4"/>
      <c r="AB302" s="4"/>
    </row>
    <row r="303" spans="1:245" x14ac:dyDescent="0.2">
      <c r="A303" s="4">
        <v>50</v>
      </c>
      <c r="B303" s="4">
        <v>0</v>
      </c>
      <c r="C303" s="4">
        <v>0</v>
      </c>
      <c r="D303" s="4">
        <v>1</v>
      </c>
      <c r="E303" s="4">
        <v>226</v>
      </c>
      <c r="F303" s="4">
        <f>ROUND(Source!AW297,O303)</f>
        <v>964.14</v>
      </c>
      <c r="G303" s="4" t="s">
        <v>54</v>
      </c>
      <c r="H303" s="4" t="s">
        <v>55</v>
      </c>
      <c r="I303" s="4"/>
      <c r="J303" s="4"/>
      <c r="K303" s="4">
        <v>226</v>
      </c>
      <c r="L303" s="4">
        <v>5</v>
      </c>
      <c r="M303" s="4">
        <v>3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>
        <v>27.82</v>
      </c>
      <c r="X303" s="4">
        <v>1</v>
      </c>
      <c r="Y303" s="4">
        <v>27.82</v>
      </c>
      <c r="Z303" s="4"/>
      <c r="AA303" s="4"/>
      <c r="AB303" s="4"/>
    </row>
    <row r="304" spans="1:245" x14ac:dyDescent="0.2">
      <c r="A304" s="4">
        <v>50</v>
      </c>
      <c r="B304" s="4">
        <v>0</v>
      </c>
      <c r="C304" s="4">
        <v>0</v>
      </c>
      <c r="D304" s="4">
        <v>1</v>
      </c>
      <c r="E304" s="4">
        <v>227</v>
      </c>
      <c r="F304" s="4">
        <f>ROUND(Source!AX297,O304)</f>
        <v>0</v>
      </c>
      <c r="G304" s="4" t="s">
        <v>56</v>
      </c>
      <c r="H304" s="4" t="s">
        <v>57</v>
      </c>
      <c r="I304" s="4"/>
      <c r="J304" s="4"/>
      <c r="K304" s="4">
        <v>227</v>
      </c>
      <c r="L304" s="4">
        <v>6</v>
      </c>
      <c r="M304" s="4">
        <v>3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>
        <v>0</v>
      </c>
      <c r="X304" s="4">
        <v>1</v>
      </c>
      <c r="Y304" s="4">
        <v>0</v>
      </c>
      <c r="Z304" s="4"/>
      <c r="AA304" s="4"/>
      <c r="AB304" s="4"/>
    </row>
    <row r="305" spans="1:28" x14ac:dyDescent="0.2">
      <c r="A305" s="4">
        <v>50</v>
      </c>
      <c r="B305" s="4">
        <v>0</v>
      </c>
      <c r="C305" s="4">
        <v>0</v>
      </c>
      <c r="D305" s="4">
        <v>1</v>
      </c>
      <c r="E305" s="4">
        <v>228</v>
      </c>
      <c r="F305" s="4">
        <f>ROUND(Source!AY297,O305)</f>
        <v>964.14</v>
      </c>
      <c r="G305" s="4" t="s">
        <v>58</v>
      </c>
      <c r="H305" s="4" t="s">
        <v>59</v>
      </c>
      <c r="I305" s="4"/>
      <c r="J305" s="4"/>
      <c r="K305" s="4">
        <v>228</v>
      </c>
      <c r="L305" s="4">
        <v>7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27.82</v>
      </c>
      <c r="X305" s="4">
        <v>1</v>
      </c>
      <c r="Y305" s="4">
        <v>27.82</v>
      </c>
      <c r="Z305" s="4"/>
      <c r="AA305" s="4"/>
      <c r="AB305" s="4"/>
    </row>
    <row r="306" spans="1:28" x14ac:dyDescent="0.2">
      <c r="A306" s="4">
        <v>50</v>
      </c>
      <c r="B306" s="4">
        <v>0</v>
      </c>
      <c r="C306" s="4">
        <v>0</v>
      </c>
      <c r="D306" s="4">
        <v>1</v>
      </c>
      <c r="E306" s="4">
        <v>216</v>
      </c>
      <c r="F306" s="4">
        <f>ROUND(Source!AP297,O306)</f>
        <v>0</v>
      </c>
      <c r="G306" s="4" t="s">
        <v>60</v>
      </c>
      <c r="H306" s="4" t="s">
        <v>61</v>
      </c>
      <c r="I306" s="4"/>
      <c r="J306" s="4"/>
      <c r="K306" s="4">
        <v>216</v>
      </c>
      <c r="L306" s="4">
        <v>8</v>
      </c>
      <c r="M306" s="4">
        <v>3</v>
      </c>
      <c r="N306" s="4" t="s">
        <v>3</v>
      </c>
      <c r="O306" s="4">
        <v>2</v>
      </c>
      <c r="P306" s="4"/>
      <c r="Q306" s="4"/>
      <c r="R306" s="4"/>
      <c r="S306" s="4"/>
      <c r="T306" s="4"/>
      <c r="U306" s="4"/>
      <c r="V306" s="4"/>
      <c r="W306" s="4">
        <v>0</v>
      </c>
      <c r="X306" s="4">
        <v>1</v>
      </c>
      <c r="Y306" s="4">
        <v>0</v>
      </c>
      <c r="Z306" s="4"/>
      <c r="AA306" s="4"/>
      <c r="AB306" s="4"/>
    </row>
    <row r="307" spans="1:28" x14ac:dyDescent="0.2">
      <c r="A307" s="4">
        <v>50</v>
      </c>
      <c r="B307" s="4">
        <v>0</v>
      </c>
      <c r="C307" s="4">
        <v>0</v>
      </c>
      <c r="D307" s="4">
        <v>1</v>
      </c>
      <c r="E307" s="4">
        <v>223</v>
      </c>
      <c r="F307" s="4">
        <f>ROUND(Source!AQ297,O307)</f>
        <v>0</v>
      </c>
      <c r="G307" s="4" t="s">
        <v>62</v>
      </c>
      <c r="H307" s="4" t="s">
        <v>63</v>
      </c>
      <c r="I307" s="4"/>
      <c r="J307" s="4"/>
      <c r="K307" s="4">
        <v>223</v>
      </c>
      <c r="L307" s="4">
        <v>9</v>
      </c>
      <c r="M307" s="4">
        <v>3</v>
      </c>
      <c r="N307" s="4" t="s">
        <v>3</v>
      </c>
      <c r="O307" s="4">
        <v>2</v>
      </c>
      <c r="P307" s="4"/>
      <c r="Q307" s="4"/>
      <c r="R307" s="4"/>
      <c r="S307" s="4"/>
      <c r="T307" s="4"/>
      <c r="U307" s="4"/>
      <c r="V307" s="4"/>
      <c r="W307" s="4">
        <v>0</v>
      </c>
      <c r="X307" s="4">
        <v>1</v>
      </c>
      <c r="Y307" s="4">
        <v>0</v>
      </c>
      <c r="Z307" s="4"/>
      <c r="AA307" s="4"/>
      <c r="AB307" s="4"/>
    </row>
    <row r="308" spans="1:28" x14ac:dyDescent="0.2">
      <c r="A308" s="4">
        <v>50</v>
      </c>
      <c r="B308" s="4">
        <v>0</v>
      </c>
      <c r="C308" s="4">
        <v>0</v>
      </c>
      <c r="D308" s="4">
        <v>1</v>
      </c>
      <c r="E308" s="4">
        <v>229</v>
      </c>
      <c r="F308" s="4">
        <f>ROUND(Source!AZ297,O308)</f>
        <v>0</v>
      </c>
      <c r="G308" s="4" t="s">
        <v>64</v>
      </c>
      <c r="H308" s="4" t="s">
        <v>65</v>
      </c>
      <c r="I308" s="4"/>
      <c r="J308" s="4"/>
      <c r="K308" s="4">
        <v>229</v>
      </c>
      <c r="L308" s="4">
        <v>10</v>
      </c>
      <c r="M308" s="4">
        <v>3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>
        <v>0</v>
      </c>
      <c r="X308" s="4">
        <v>1</v>
      </c>
      <c r="Y308" s="4">
        <v>0</v>
      </c>
      <c r="Z308" s="4"/>
      <c r="AA308" s="4"/>
      <c r="AB308" s="4"/>
    </row>
    <row r="309" spans="1:28" x14ac:dyDescent="0.2">
      <c r="A309" s="4">
        <v>50</v>
      </c>
      <c r="B309" s="4">
        <v>0</v>
      </c>
      <c r="C309" s="4">
        <v>0</v>
      </c>
      <c r="D309" s="4">
        <v>1</v>
      </c>
      <c r="E309" s="4">
        <v>203</v>
      </c>
      <c r="F309" s="4">
        <f>ROUND(Source!Q297,O309)</f>
        <v>0</v>
      </c>
      <c r="G309" s="4" t="s">
        <v>66</v>
      </c>
      <c r="H309" s="4" t="s">
        <v>67</v>
      </c>
      <c r="I309" s="4"/>
      <c r="J309" s="4"/>
      <c r="K309" s="4">
        <v>203</v>
      </c>
      <c r="L309" s="4">
        <v>11</v>
      </c>
      <c r="M309" s="4">
        <v>3</v>
      </c>
      <c r="N309" s="4" t="s">
        <v>3</v>
      </c>
      <c r="O309" s="4">
        <v>2</v>
      </c>
      <c r="P309" s="4"/>
      <c r="Q309" s="4"/>
      <c r="R309" s="4"/>
      <c r="S309" s="4"/>
      <c r="T309" s="4"/>
      <c r="U309" s="4"/>
      <c r="V309" s="4"/>
      <c r="W309" s="4">
        <v>0</v>
      </c>
      <c r="X309" s="4">
        <v>1</v>
      </c>
      <c r="Y309" s="4">
        <v>0</v>
      </c>
      <c r="Z309" s="4"/>
      <c r="AA309" s="4"/>
      <c r="AB309" s="4"/>
    </row>
    <row r="310" spans="1:28" x14ac:dyDescent="0.2">
      <c r="A310" s="4">
        <v>50</v>
      </c>
      <c r="B310" s="4">
        <v>0</v>
      </c>
      <c r="C310" s="4">
        <v>0</v>
      </c>
      <c r="D310" s="4">
        <v>1</v>
      </c>
      <c r="E310" s="4">
        <v>231</v>
      </c>
      <c r="F310" s="4">
        <f>ROUND(Source!BB297,O310)</f>
        <v>0</v>
      </c>
      <c r="G310" s="4" t="s">
        <v>68</v>
      </c>
      <c r="H310" s="4" t="s">
        <v>69</v>
      </c>
      <c r="I310" s="4"/>
      <c r="J310" s="4"/>
      <c r="K310" s="4">
        <v>231</v>
      </c>
      <c r="L310" s="4">
        <v>12</v>
      </c>
      <c r="M310" s="4">
        <v>3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>
        <v>0</v>
      </c>
      <c r="X310" s="4">
        <v>1</v>
      </c>
      <c r="Y310" s="4">
        <v>0</v>
      </c>
      <c r="Z310" s="4"/>
      <c r="AA310" s="4"/>
      <c r="AB310" s="4"/>
    </row>
    <row r="311" spans="1:28" x14ac:dyDescent="0.2">
      <c r="A311" s="4">
        <v>50</v>
      </c>
      <c r="B311" s="4">
        <v>0</v>
      </c>
      <c r="C311" s="4">
        <v>0</v>
      </c>
      <c r="D311" s="4">
        <v>1</v>
      </c>
      <c r="E311" s="4">
        <v>204</v>
      </c>
      <c r="F311" s="4">
        <f>ROUND(Source!R297,O311)</f>
        <v>0</v>
      </c>
      <c r="G311" s="4" t="s">
        <v>70</v>
      </c>
      <c r="H311" s="4" t="s">
        <v>71</v>
      </c>
      <c r="I311" s="4"/>
      <c r="J311" s="4"/>
      <c r="K311" s="4">
        <v>204</v>
      </c>
      <c r="L311" s="4">
        <v>13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0</v>
      </c>
      <c r="X311" s="4">
        <v>1</v>
      </c>
      <c r="Y311" s="4">
        <v>0</v>
      </c>
      <c r="Z311" s="4"/>
      <c r="AA311" s="4"/>
      <c r="AB311" s="4"/>
    </row>
    <row r="312" spans="1:28" x14ac:dyDescent="0.2">
      <c r="A312" s="4">
        <v>50</v>
      </c>
      <c r="B312" s="4">
        <v>0</v>
      </c>
      <c r="C312" s="4">
        <v>0</v>
      </c>
      <c r="D312" s="4">
        <v>1</v>
      </c>
      <c r="E312" s="4">
        <v>205</v>
      </c>
      <c r="F312" s="4">
        <f>ROUND(Source!S297,O312)</f>
        <v>73877.52</v>
      </c>
      <c r="G312" s="4" t="s">
        <v>72</v>
      </c>
      <c r="H312" s="4" t="s">
        <v>73</v>
      </c>
      <c r="I312" s="4"/>
      <c r="J312" s="4"/>
      <c r="K312" s="4">
        <v>205</v>
      </c>
      <c r="L312" s="4">
        <v>14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>
        <v>14193.2</v>
      </c>
      <c r="X312" s="4">
        <v>1</v>
      </c>
      <c r="Y312" s="4">
        <v>14193.2</v>
      </c>
      <c r="Z312" s="4"/>
      <c r="AA312" s="4"/>
      <c r="AB312" s="4"/>
    </row>
    <row r="313" spans="1:28" x14ac:dyDescent="0.2">
      <c r="A313" s="4">
        <v>50</v>
      </c>
      <c r="B313" s="4">
        <v>0</v>
      </c>
      <c r="C313" s="4">
        <v>0</v>
      </c>
      <c r="D313" s="4">
        <v>1</v>
      </c>
      <c r="E313" s="4">
        <v>232</v>
      </c>
      <c r="F313" s="4">
        <f>ROUND(Source!BC297,O313)</f>
        <v>0</v>
      </c>
      <c r="G313" s="4" t="s">
        <v>74</v>
      </c>
      <c r="H313" s="4" t="s">
        <v>75</v>
      </c>
      <c r="I313" s="4"/>
      <c r="J313" s="4"/>
      <c r="K313" s="4">
        <v>232</v>
      </c>
      <c r="L313" s="4">
        <v>15</v>
      </c>
      <c r="M313" s="4">
        <v>3</v>
      </c>
      <c r="N313" s="4" t="s">
        <v>3</v>
      </c>
      <c r="O313" s="4">
        <v>2</v>
      </c>
      <c r="P313" s="4"/>
      <c r="Q313" s="4"/>
      <c r="R313" s="4"/>
      <c r="S313" s="4"/>
      <c r="T313" s="4"/>
      <c r="U313" s="4"/>
      <c r="V313" s="4"/>
      <c r="W313" s="4">
        <v>0</v>
      </c>
      <c r="X313" s="4">
        <v>1</v>
      </c>
      <c r="Y313" s="4">
        <v>0</v>
      </c>
      <c r="Z313" s="4"/>
      <c r="AA313" s="4"/>
      <c r="AB313" s="4"/>
    </row>
    <row r="314" spans="1:28" x14ac:dyDescent="0.2">
      <c r="A314" s="4">
        <v>50</v>
      </c>
      <c r="B314" s="4">
        <v>0</v>
      </c>
      <c r="C314" s="4">
        <v>0</v>
      </c>
      <c r="D314" s="4">
        <v>1</v>
      </c>
      <c r="E314" s="4">
        <v>214</v>
      </c>
      <c r="F314" s="4">
        <f>ROUND(Source!AS297,O314)</f>
        <v>0</v>
      </c>
      <c r="G314" s="4" t="s">
        <v>76</v>
      </c>
      <c r="H314" s="4" t="s">
        <v>77</v>
      </c>
      <c r="I314" s="4"/>
      <c r="J314" s="4"/>
      <c r="K314" s="4">
        <v>214</v>
      </c>
      <c r="L314" s="4">
        <v>16</v>
      </c>
      <c r="M314" s="4">
        <v>3</v>
      </c>
      <c r="N314" s="4" t="s">
        <v>3</v>
      </c>
      <c r="O314" s="4">
        <v>2</v>
      </c>
      <c r="P314" s="4"/>
      <c r="Q314" s="4"/>
      <c r="R314" s="4"/>
      <c r="S314" s="4"/>
      <c r="T314" s="4"/>
      <c r="U314" s="4"/>
      <c r="V314" s="4"/>
      <c r="W314" s="4">
        <v>0</v>
      </c>
      <c r="X314" s="4">
        <v>1</v>
      </c>
      <c r="Y314" s="4">
        <v>0</v>
      </c>
      <c r="Z314" s="4"/>
      <c r="AA314" s="4"/>
      <c r="AB314" s="4"/>
    </row>
    <row r="315" spans="1:28" x14ac:dyDescent="0.2">
      <c r="A315" s="4">
        <v>50</v>
      </c>
      <c r="B315" s="4">
        <v>0</v>
      </c>
      <c r="C315" s="4">
        <v>0</v>
      </c>
      <c r="D315" s="4">
        <v>1</v>
      </c>
      <c r="E315" s="4">
        <v>215</v>
      </c>
      <c r="F315" s="4">
        <f>ROUND(Source!AT297,O315)</f>
        <v>0</v>
      </c>
      <c r="G315" s="4" t="s">
        <v>78</v>
      </c>
      <c r="H315" s="4" t="s">
        <v>79</v>
      </c>
      <c r="I315" s="4"/>
      <c r="J315" s="4"/>
      <c r="K315" s="4">
        <v>215</v>
      </c>
      <c r="L315" s="4">
        <v>17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0</v>
      </c>
      <c r="X315" s="4">
        <v>1</v>
      </c>
      <c r="Y315" s="4">
        <v>0</v>
      </c>
      <c r="Z315" s="4"/>
      <c r="AA315" s="4"/>
      <c r="AB315" s="4"/>
    </row>
    <row r="316" spans="1:28" x14ac:dyDescent="0.2">
      <c r="A316" s="4">
        <v>50</v>
      </c>
      <c r="B316" s="4">
        <v>0</v>
      </c>
      <c r="C316" s="4">
        <v>0</v>
      </c>
      <c r="D316" s="4">
        <v>1</v>
      </c>
      <c r="E316" s="4">
        <v>217</v>
      </c>
      <c r="F316" s="4">
        <f>ROUND(Source!AU297,O316)</f>
        <v>133943.67999999999</v>
      </c>
      <c r="G316" s="4" t="s">
        <v>80</v>
      </c>
      <c r="H316" s="4" t="s">
        <v>81</v>
      </c>
      <c r="I316" s="4"/>
      <c r="J316" s="4"/>
      <c r="K316" s="4">
        <v>217</v>
      </c>
      <c r="L316" s="4">
        <v>18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25575.58</v>
      </c>
      <c r="X316" s="4">
        <v>1</v>
      </c>
      <c r="Y316" s="4">
        <v>25575.58</v>
      </c>
      <c r="Z316" s="4"/>
      <c r="AA316" s="4"/>
      <c r="AB316" s="4"/>
    </row>
    <row r="317" spans="1:28" x14ac:dyDescent="0.2">
      <c r="A317" s="4">
        <v>50</v>
      </c>
      <c r="B317" s="4">
        <v>0</v>
      </c>
      <c r="C317" s="4">
        <v>0</v>
      </c>
      <c r="D317" s="4">
        <v>1</v>
      </c>
      <c r="E317" s="4">
        <v>230</v>
      </c>
      <c r="F317" s="4">
        <f>ROUND(Source!BA297,O317)</f>
        <v>0</v>
      </c>
      <c r="G317" s="4" t="s">
        <v>82</v>
      </c>
      <c r="H317" s="4" t="s">
        <v>83</v>
      </c>
      <c r="I317" s="4"/>
      <c r="J317" s="4"/>
      <c r="K317" s="4">
        <v>230</v>
      </c>
      <c r="L317" s="4">
        <v>19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0</v>
      </c>
      <c r="X317" s="4">
        <v>1</v>
      </c>
      <c r="Y317" s="4">
        <v>0</v>
      </c>
      <c r="Z317" s="4"/>
      <c r="AA317" s="4"/>
      <c r="AB317" s="4"/>
    </row>
    <row r="318" spans="1:28" x14ac:dyDescent="0.2">
      <c r="A318" s="4">
        <v>50</v>
      </c>
      <c r="B318" s="4">
        <v>0</v>
      </c>
      <c r="C318" s="4">
        <v>0</v>
      </c>
      <c r="D318" s="4">
        <v>1</v>
      </c>
      <c r="E318" s="4">
        <v>206</v>
      </c>
      <c r="F318" s="4">
        <f>ROUND(Source!T297,O318)</f>
        <v>0</v>
      </c>
      <c r="G318" s="4" t="s">
        <v>84</v>
      </c>
      <c r="H318" s="4" t="s">
        <v>85</v>
      </c>
      <c r="I318" s="4"/>
      <c r="J318" s="4"/>
      <c r="K318" s="4">
        <v>206</v>
      </c>
      <c r="L318" s="4">
        <v>20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0</v>
      </c>
      <c r="X318" s="4">
        <v>1</v>
      </c>
      <c r="Y318" s="4">
        <v>0</v>
      </c>
      <c r="Z318" s="4"/>
      <c r="AA318" s="4"/>
      <c r="AB318" s="4"/>
    </row>
    <row r="319" spans="1:28" x14ac:dyDescent="0.2">
      <c r="A319" s="4">
        <v>50</v>
      </c>
      <c r="B319" s="4">
        <v>0</v>
      </c>
      <c r="C319" s="4">
        <v>0</v>
      </c>
      <c r="D319" s="4">
        <v>1</v>
      </c>
      <c r="E319" s="4">
        <v>207</v>
      </c>
      <c r="F319" s="4">
        <f>Source!U297</f>
        <v>95.76</v>
      </c>
      <c r="G319" s="4" t="s">
        <v>86</v>
      </c>
      <c r="H319" s="4" t="s">
        <v>87</v>
      </c>
      <c r="I319" s="4"/>
      <c r="J319" s="4"/>
      <c r="K319" s="4">
        <v>207</v>
      </c>
      <c r="L319" s="4">
        <v>21</v>
      </c>
      <c r="M319" s="4">
        <v>3</v>
      </c>
      <c r="N319" s="4" t="s">
        <v>3</v>
      </c>
      <c r="O319" s="4">
        <v>-1</v>
      </c>
      <c r="P319" s="4"/>
      <c r="Q319" s="4"/>
      <c r="R319" s="4"/>
      <c r="S319" s="4"/>
      <c r="T319" s="4"/>
      <c r="U319" s="4"/>
      <c r="V319" s="4"/>
      <c r="W319" s="4">
        <v>20</v>
      </c>
      <c r="X319" s="4">
        <v>1</v>
      </c>
      <c r="Y319" s="4">
        <v>20</v>
      </c>
      <c r="Z319" s="4"/>
      <c r="AA319" s="4"/>
      <c r="AB319" s="4"/>
    </row>
    <row r="320" spans="1:28" x14ac:dyDescent="0.2">
      <c r="A320" s="4">
        <v>50</v>
      </c>
      <c r="B320" s="4">
        <v>0</v>
      </c>
      <c r="C320" s="4">
        <v>0</v>
      </c>
      <c r="D320" s="4">
        <v>1</v>
      </c>
      <c r="E320" s="4">
        <v>208</v>
      </c>
      <c r="F320" s="4">
        <f>Source!V297</f>
        <v>0</v>
      </c>
      <c r="G320" s="4" t="s">
        <v>88</v>
      </c>
      <c r="H320" s="4" t="s">
        <v>89</v>
      </c>
      <c r="I320" s="4"/>
      <c r="J320" s="4"/>
      <c r="K320" s="4">
        <v>208</v>
      </c>
      <c r="L320" s="4">
        <v>22</v>
      </c>
      <c r="M320" s="4">
        <v>3</v>
      </c>
      <c r="N320" s="4" t="s">
        <v>3</v>
      </c>
      <c r="O320" s="4">
        <v>-1</v>
      </c>
      <c r="P320" s="4"/>
      <c r="Q320" s="4"/>
      <c r="R320" s="4"/>
      <c r="S320" s="4"/>
      <c r="T320" s="4"/>
      <c r="U320" s="4"/>
      <c r="V320" s="4"/>
      <c r="W320" s="4">
        <v>0</v>
      </c>
      <c r="X320" s="4">
        <v>1</v>
      </c>
      <c r="Y320" s="4">
        <v>0</v>
      </c>
      <c r="Z320" s="4"/>
      <c r="AA320" s="4"/>
      <c r="AB320" s="4"/>
    </row>
    <row r="321" spans="1:245" x14ac:dyDescent="0.2">
      <c r="A321" s="4">
        <v>50</v>
      </c>
      <c r="B321" s="4">
        <v>0</v>
      </c>
      <c r="C321" s="4">
        <v>0</v>
      </c>
      <c r="D321" s="4">
        <v>1</v>
      </c>
      <c r="E321" s="4">
        <v>209</v>
      </c>
      <c r="F321" s="4">
        <f>ROUND(Source!W297,O321)</f>
        <v>0</v>
      </c>
      <c r="G321" s="4" t="s">
        <v>90</v>
      </c>
      <c r="H321" s="4" t="s">
        <v>91</v>
      </c>
      <c r="I321" s="4"/>
      <c r="J321" s="4"/>
      <c r="K321" s="4">
        <v>209</v>
      </c>
      <c r="L321" s="4">
        <v>23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0</v>
      </c>
      <c r="X321" s="4">
        <v>1</v>
      </c>
      <c r="Y321" s="4">
        <v>0</v>
      </c>
      <c r="Z321" s="4"/>
      <c r="AA321" s="4"/>
      <c r="AB321" s="4"/>
    </row>
    <row r="322" spans="1:245" x14ac:dyDescent="0.2">
      <c r="A322" s="4">
        <v>50</v>
      </c>
      <c r="B322" s="4">
        <v>0</v>
      </c>
      <c r="C322" s="4">
        <v>0</v>
      </c>
      <c r="D322" s="4">
        <v>1</v>
      </c>
      <c r="E322" s="4">
        <v>233</v>
      </c>
      <c r="F322" s="4">
        <f>ROUND(Source!BD297,O322)</f>
        <v>0</v>
      </c>
      <c r="G322" s="4" t="s">
        <v>92</v>
      </c>
      <c r="H322" s="4" t="s">
        <v>93</v>
      </c>
      <c r="I322" s="4"/>
      <c r="J322" s="4"/>
      <c r="K322" s="4">
        <v>233</v>
      </c>
      <c r="L322" s="4">
        <v>24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0</v>
      </c>
      <c r="X322" s="4">
        <v>1</v>
      </c>
      <c r="Y322" s="4">
        <v>0</v>
      </c>
      <c r="Z322" s="4"/>
      <c r="AA322" s="4"/>
      <c r="AB322" s="4"/>
    </row>
    <row r="323" spans="1:245" x14ac:dyDescent="0.2">
      <c r="A323" s="4">
        <v>50</v>
      </c>
      <c r="B323" s="4">
        <v>0</v>
      </c>
      <c r="C323" s="4">
        <v>0</v>
      </c>
      <c r="D323" s="4">
        <v>1</v>
      </c>
      <c r="E323" s="4">
        <v>210</v>
      </c>
      <c r="F323" s="4">
        <f>ROUND(Source!X297,O323)</f>
        <v>51714.27</v>
      </c>
      <c r="G323" s="4" t="s">
        <v>94</v>
      </c>
      <c r="H323" s="4" t="s">
        <v>95</v>
      </c>
      <c r="I323" s="4"/>
      <c r="J323" s="4"/>
      <c r="K323" s="4">
        <v>210</v>
      </c>
      <c r="L323" s="4">
        <v>25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9935.24</v>
      </c>
      <c r="X323" s="4">
        <v>1</v>
      </c>
      <c r="Y323" s="4">
        <v>9935.24</v>
      </c>
      <c r="Z323" s="4"/>
      <c r="AA323" s="4"/>
      <c r="AB323" s="4"/>
    </row>
    <row r="324" spans="1:245" x14ac:dyDescent="0.2">
      <c r="A324" s="4">
        <v>50</v>
      </c>
      <c r="B324" s="4">
        <v>0</v>
      </c>
      <c r="C324" s="4">
        <v>0</v>
      </c>
      <c r="D324" s="4">
        <v>1</v>
      </c>
      <c r="E324" s="4">
        <v>211</v>
      </c>
      <c r="F324" s="4">
        <f>ROUND(Source!Y297,O324)</f>
        <v>7387.75</v>
      </c>
      <c r="G324" s="4" t="s">
        <v>96</v>
      </c>
      <c r="H324" s="4" t="s">
        <v>97</v>
      </c>
      <c r="I324" s="4"/>
      <c r="J324" s="4"/>
      <c r="K324" s="4">
        <v>211</v>
      </c>
      <c r="L324" s="4">
        <v>26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1419.32</v>
      </c>
      <c r="X324" s="4">
        <v>1</v>
      </c>
      <c r="Y324" s="4">
        <v>1419.32</v>
      </c>
      <c r="Z324" s="4"/>
      <c r="AA324" s="4"/>
      <c r="AB324" s="4"/>
    </row>
    <row r="325" spans="1:245" x14ac:dyDescent="0.2">
      <c r="A325" s="4">
        <v>50</v>
      </c>
      <c r="B325" s="4">
        <v>0</v>
      </c>
      <c r="C325" s="4">
        <v>0</v>
      </c>
      <c r="D325" s="4">
        <v>1</v>
      </c>
      <c r="E325" s="4">
        <v>224</v>
      </c>
      <c r="F325" s="4">
        <f>ROUND(Source!AR297,O325)</f>
        <v>133943.67999999999</v>
      </c>
      <c r="G325" s="4" t="s">
        <v>98</v>
      </c>
      <c r="H325" s="4" t="s">
        <v>99</v>
      </c>
      <c r="I325" s="4"/>
      <c r="J325" s="4"/>
      <c r="K325" s="4">
        <v>224</v>
      </c>
      <c r="L325" s="4">
        <v>27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25575.58</v>
      </c>
      <c r="X325" s="4">
        <v>1</v>
      </c>
      <c r="Y325" s="4">
        <v>25575.58</v>
      </c>
      <c r="Z325" s="4"/>
      <c r="AA325" s="4"/>
      <c r="AB325" s="4"/>
    </row>
    <row r="327" spans="1:245" x14ac:dyDescent="0.2">
      <c r="A327" s="1">
        <v>5</v>
      </c>
      <c r="B327" s="1">
        <v>1</v>
      </c>
      <c r="C327" s="1"/>
      <c r="D327" s="1">
        <f>ROW(A378)</f>
        <v>378</v>
      </c>
      <c r="E327" s="1"/>
      <c r="F327" s="1" t="s">
        <v>15</v>
      </c>
      <c r="G327" s="1" t="s">
        <v>260</v>
      </c>
      <c r="H327" s="1" t="s">
        <v>3</v>
      </c>
      <c r="I327" s="1">
        <v>0</v>
      </c>
      <c r="J327" s="1"/>
      <c r="K327" s="1">
        <v>0</v>
      </c>
      <c r="L327" s="1"/>
      <c r="M327" s="1" t="s">
        <v>3</v>
      </c>
      <c r="N327" s="1"/>
      <c r="O327" s="1"/>
      <c r="P327" s="1"/>
      <c r="Q327" s="1"/>
      <c r="R327" s="1"/>
      <c r="S327" s="1">
        <v>0</v>
      </c>
      <c r="T327" s="1"/>
      <c r="U327" s="1" t="s">
        <v>3</v>
      </c>
      <c r="V327" s="1">
        <v>0</v>
      </c>
      <c r="W327" s="1"/>
      <c r="X327" s="1"/>
      <c r="Y327" s="1"/>
      <c r="Z327" s="1"/>
      <c r="AA327" s="1"/>
      <c r="AB327" s="1" t="s">
        <v>3</v>
      </c>
      <c r="AC327" s="1" t="s">
        <v>3</v>
      </c>
      <c r="AD327" s="1" t="s">
        <v>3</v>
      </c>
      <c r="AE327" s="1" t="s">
        <v>3</v>
      </c>
      <c r="AF327" s="1" t="s">
        <v>3</v>
      </c>
      <c r="AG327" s="1" t="s">
        <v>3</v>
      </c>
      <c r="AH327" s="1"/>
      <c r="AI327" s="1"/>
      <c r="AJ327" s="1"/>
      <c r="AK327" s="1"/>
      <c r="AL327" s="1"/>
      <c r="AM327" s="1"/>
      <c r="AN327" s="1"/>
      <c r="AO327" s="1"/>
      <c r="AP327" s="1" t="s">
        <v>3</v>
      </c>
      <c r="AQ327" s="1" t="s">
        <v>3</v>
      </c>
      <c r="AR327" s="1" t="s">
        <v>3</v>
      </c>
      <c r="AS327" s="1"/>
      <c r="AT327" s="1"/>
      <c r="AU327" s="1"/>
      <c r="AV327" s="1"/>
      <c r="AW327" s="1"/>
      <c r="AX327" s="1"/>
      <c r="AY327" s="1"/>
      <c r="AZ327" s="1" t="s">
        <v>3</v>
      </c>
      <c r="BA327" s="1"/>
      <c r="BB327" s="1" t="s">
        <v>3</v>
      </c>
      <c r="BC327" s="1" t="s">
        <v>3</v>
      </c>
      <c r="BD327" s="1" t="s">
        <v>3</v>
      </c>
      <c r="BE327" s="1" t="s">
        <v>3</v>
      </c>
      <c r="BF327" s="1" t="s">
        <v>3</v>
      </c>
      <c r="BG327" s="1" t="s">
        <v>3</v>
      </c>
      <c r="BH327" s="1" t="s">
        <v>3</v>
      </c>
      <c r="BI327" s="1" t="s">
        <v>3</v>
      </c>
      <c r="BJ327" s="1" t="s">
        <v>3</v>
      </c>
      <c r="BK327" s="1" t="s">
        <v>3</v>
      </c>
      <c r="BL327" s="1" t="s">
        <v>3</v>
      </c>
      <c r="BM327" s="1" t="s">
        <v>3</v>
      </c>
      <c r="BN327" s="1" t="s">
        <v>3</v>
      </c>
      <c r="BO327" s="1" t="s">
        <v>3</v>
      </c>
      <c r="BP327" s="1" t="s">
        <v>3</v>
      </c>
      <c r="BQ327" s="1"/>
      <c r="BR327" s="1"/>
      <c r="BS327" s="1"/>
      <c r="BT327" s="1"/>
      <c r="BU327" s="1"/>
      <c r="BV327" s="1"/>
      <c r="BW327" s="1"/>
      <c r="BX327" s="1">
        <v>0</v>
      </c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>
        <v>0</v>
      </c>
    </row>
    <row r="329" spans="1:245" x14ac:dyDescent="0.2">
      <c r="A329" s="2">
        <v>52</v>
      </c>
      <c r="B329" s="2">
        <f t="shared" ref="B329:G329" si="236">B378</f>
        <v>1</v>
      </c>
      <c r="C329" s="2">
        <f t="shared" si="236"/>
        <v>5</v>
      </c>
      <c r="D329" s="2">
        <f t="shared" si="236"/>
        <v>327</v>
      </c>
      <c r="E329" s="2">
        <f t="shared" si="236"/>
        <v>0</v>
      </c>
      <c r="F329" s="2" t="str">
        <f t="shared" si="236"/>
        <v>Новый подраздел</v>
      </c>
      <c r="G329" s="2" t="str">
        <f t="shared" si="236"/>
        <v>Отопление</v>
      </c>
      <c r="H329" s="2"/>
      <c r="I329" s="2"/>
      <c r="J329" s="2"/>
      <c r="K329" s="2"/>
      <c r="L329" s="2"/>
      <c r="M329" s="2"/>
      <c r="N329" s="2"/>
      <c r="O329" s="2">
        <f t="shared" ref="O329:AT329" si="237">O378</f>
        <v>47306.99</v>
      </c>
      <c r="P329" s="2">
        <f t="shared" si="237"/>
        <v>74.23</v>
      </c>
      <c r="Q329" s="2">
        <f t="shared" si="237"/>
        <v>521.20000000000005</v>
      </c>
      <c r="R329" s="2">
        <f t="shared" si="237"/>
        <v>194.79</v>
      </c>
      <c r="S329" s="2">
        <f t="shared" si="237"/>
        <v>46711.56</v>
      </c>
      <c r="T329" s="2">
        <f t="shared" si="237"/>
        <v>0</v>
      </c>
      <c r="U329" s="2">
        <f t="shared" si="237"/>
        <v>80.541839999999993</v>
      </c>
      <c r="V329" s="2">
        <f t="shared" si="237"/>
        <v>0</v>
      </c>
      <c r="W329" s="2">
        <f t="shared" si="237"/>
        <v>0</v>
      </c>
      <c r="X329" s="2">
        <f t="shared" si="237"/>
        <v>32698.1</v>
      </c>
      <c r="Y329" s="2">
        <f t="shared" si="237"/>
        <v>4671.17</v>
      </c>
      <c r="Z329" s="2">
        <f t="shared" si="237"/>
        <v>0</v>
      </c>
      <c r="AA329" s="2">
        <f t="shared" si="237"/>
        <v>0</v>
      </c>
      <c r="AB329" s="2">
        <f t="shared" si="237"/>
        <v>47306.99</v>
      </c>
      <c r="AC329" s="2">
        <f t="shared" si="237"/>
        <v>74.23</v>
      </c>
      <c r="AD329" s="2">
        <f t="shared" si="237"/>
        <v>521.20000000000005</v>
      </c>
      <c r="AE329" s="2">
        <f t="shared" si="237"/>
        <v>194.79</v>
      </c>
      <c r="AF329" s="2">
        <f t="shared" si="237"/>
        <v>46711.56</v>
      </c>
      <c r="AG329" s="2">
        <f t="shared" si="237"/>
        <v>0</v>
      </c>
      <c r="AH329" s="2">
        <f t="shared" si="237"/>
        <v>80.541839999999993</v>
      </c>
      <c r="AI329" s="2">
        <f t="shared" si="237"/>
        <v>0</v>
      </c>
      <c r="AJ329" s="2">
        <f t="shared" si="237"/>
        <v>0</v>
      </c>
      <c r="AK329" s="2">
        <f t="shared" si="237"/>
        <v>32698.1</v>
      </c>
      <c r="AL329" s="2">
        <f t="shared" si="237"/>
        <v>4671.17</v>
      </c>
      <c r="AM329" s="2">
        <f t="shared" si="237"/>
        <v>0</v>
      </c>
      <c r="AN329" s="2">
        <f t="shared" si="237"/>
        <v>0</v>
      </c>
      <c r="AO329" s="2">
        <f t="shared" si="237"/>
        <v>0</v>
      </c>
      <c r="AP329" s="2">
        <f t="shared" si="237"/>
        <v>0</v>
      </c>
      <c r="AQ329" s="2">
        <f t="shared" si="237"/>
        <v>0</v>
      </c>
      <c r="AR329" s="2">
        <f t="shared" si="237"/>
        <v>84886.64</v>
      </c>
      <c r="AS329" s="2">
        <f t="shared" si="237"/>
        <v>0</v>
      </c>
      <c r="AT329" s="2">
        <f t="shared" si="237"/>
        <v>0</v>
      </c>
      <c r="AU329" s="2">
        <f t="shared" ref="AU329:BZ329" si="238">AU378</f>
        <v>84886.64</v>
      </c>
      <c r="AV329" s="2">
        <f t="shared" si="238"/>
        <v>74.23</v>
      </c>
      <c r="AW329" s="2">
        <f t="shared" si="238"/>
        <v>74.23</v>
      </c>
      <c r="AX329" s="2">
        <f t="shared" si="238"/>
        <v>0</v>
      </c>
      <c r="AY329" s="2">
        <f t="shared" si="238"/>
        <v>74.23</v>
      </c>
      <c r="AZ329" s="2">
        <f t="shared" si="238"/>
        <v>0</v>
      </c>
      <c r="BA329" s="2">
        <f t="shared" si="238"/>
        <v>0</v>
      </c>
      <c r="BB329" s="2">
        <f t="shared" si="238"/>
        <v>0</v>
      </c>
      <c r="BC329" s="2">
        <f t="shared" si="238"/>
        <v>0</v>
      </c>
      <c r="BD329" s="2">
        <f t="shared" si="238"/>
        <v>0</v>
      </c>
      <c r="BE329" s="2">
        <f t="shared" si="238"/>
        <v>0</v>
      </c>
      <c r="BF329" s="2">
        <f t="shared" si="238"/>
        <v>0</v>
      </c>
      <c r="BG329" s="2">
        <f t="shared" si="238"/>
        <v>0</v>
      </c>
      <c r="BH329" s="2">
        <f t="shared" si="238"/>
        <v>0</v>
      </c>
      <c r="BI329" s="2">
        <f t="shared" si="238"/>
        <v>0</v>
      </c>
      <c r="BJ329" s="2">
        <f t="shared" si="238"/>
        <v>0</v>
      </c>
      <c r="BK329" s="2">
        <f t="shared" si="238"/>
        <v>0</v>
      </c>
      <c r="BL329" s="2">
        <f t="shared" si="238"/>
        <v>0</v>
      </c>
      <c r="BM329" s="2">
        <f t="shared" si="238"/>
        <v>0</v>
      </c>
      <c r="BN329" s="2">
        <f t="shared" si="238"/>
        <v>0</v>
      </c>
      <c r="BO329" s="2">
        <f t="shared" si="238"/>
        <v>0</v>
      </c>
      <c r="BP329" s="2">
        <f t="shared" si="238"/>
        <v>0</v>
      </c>
      <c r="BQ329" s="2">
        <f t="shared" si="238"/>
        <v>0</v>
      </c>
      <c r="BR329" s="2">
        <f t="shared" si="238"/>
        <v>0</v>
      </c>
      <c r="BS329" s="2">
        <f t="shared" si="238"/>
        <v>0</v>
      </c>
      <c r="BT329" s="2">
        <f t="shared" si="238"/>
        <v>0</v>
      </c>
      <c r="BU329" s="2">
        <f t="shared" si="238"/>
        <v>0</v>
      </c>
      <c r="BV329" s="2">
        <f t="shared" si="238"/>
        <v>0</v>
      </c>
      <c r="BW329" s="2">
        <f t="shared" si="238"/>
        <v>0</v>
      </c>
      <c r="BX329" s="2">
        <f t="shared" si="238"/>
        <v>0</v>
      </c>
      <c r="BY329" s="2">
        <f t="shared" si="238"/>
        <v>0</v>
      </c>
      <c r="BZ329" s="2">
        <f t="shared" si="238"/>
        <v>0</v>
      </c>
      <c r="CA329" s="2">
        <f t="shared" ref="CA329:DF329" si="239">CA378</f>
        <v>84886.64</v>
      </c>
      <c r="CB329" s="2">
        <f t="shared" si="239"/>
        <v>0</v>
      </c>
      <c r="CC329" s="2">
        <f t="shared" si="239"/>
        <v>0</v>
      </c>
      <c r="CD329" s="2">
        <f t="shared" si="239"/>
        <v>84886.64</v>
      </c>
      <c r="CE329" s="2">
        <f t="shared" si="239"/>
        <v>74.23</v>
      </c>
      <c r="CF329" s="2">
        <f t="shared" si="239"/>
        <v>74.23</v>
      </c>
      <c r="CG329" s="2">
        <f t="shared" si="239"/>
        <v>0</v>
      </c>
      <c r="CH329" s="2">
        <f t="shared" si="239"/>
        <v>74.23</v>
      </c>
      <c r="CI329" s="2">
        <f t="shared" si="239"/>
        <v>0</v>
      </c>
      <c r="CJ329" s="2">
        <f t="shared" si="239"/>
        <v>0</v>
      </c>
      <c r="CK329" s="2">
        <f t="shared" si="239"/>
        <v>0</v>
      </c>
      <c r="CL329" s="2">
        <f t="shared" si="239"/>
        <v>0</v>
      </c>
      <c r="CM329" s="2">
        <f t="shared" si="239"/>
        <v>0</v>
      </c>
      <c r="CN329" s="2">
        <f t="shared" si="239"/>
        <v>0</v>
      </c>
      <c r="CO329" s="2">
        <f t="shared" si="239"/>
        <v>0</v>
      </c>
      <c r="CP329" s="2">
        <f t="shared" si="239"/>
        <v>0</v>
      </c>
      <c r="CQ329" s="2">
        <f t="shared" si="239"/>
        <v>0</v>
      </c>
      <c r="CR329" s="2">
        <f t="shared" si="239"/>
        <v>0</v>
      </c>
      <c r="CS329" s="2">
        <f t="shared" si="239"/>
        <v>0</v>
      </c>
      <c r="CT329" s="2">
        <f t="shared" si="239"/>
        <v>0</v>
      </c>
      <c r="CU329" s="2">
        <f t="shared" si="239"/>
        <v>0</v>
      </c>
      <c r="CV329" s="2">
        <f t="shared" si="239"/>
        <v>0</v>
      </c>
      <c r="CW329" s="2">
        <f t="shared" si="239"/>
        <v>0</v>
      </c>
      <c r="CX329" s="2">
        <f t="shared" si="239"/>
        <v>0</v>
      </c>
      <c r="CY329" s="2">
        <f t="shared" si="239"/>
        <v>0</v>
      </c>
      <c r="CZ329" s="2">
        <f t="shared" si="239"/>
        <v>0</v>
      </c>
      <c r="DA329" s="2">
        <f t="shared" si="239"/>
        <v>0</v>
      </c>
      <c r="DB329" s="2">
        <f t="shared" si="239"/>
        <v>0</v>
      </c>
      <c r="DC329" s="2">
        <f t="shared" si="239"/>
        <v>0</v>
      </c>
      <c r="DD329" s="2">
        <f t="shared" si="239"/>
        <v>0</v>
      </c>
      <c r="DE329" s="2">
        <f t="shared" si="239"/>
        <v>0</v>
      </c>
      <c r="DF329" s="2">
        <f t="shared" si="239"/>
        <v>0</v>
      </c>
      <c r="DG329" s="3">
        <f t="shared" ref="DG329:EL329" si="240">DG378</f>
        <v>0</v>
      </c>
      <c r="DH329" s="3">
        <f t="shared" si="240"/>
        <v>0</v>
      </c>
      <c r="DI329" s="3">
        <f t="shared" si="240"/>
        <v>0</v>
      </c>
      <c r="DJ329" s="3">
        <f t="shared" si="240"/>
        <v>0</v>
      </c>
      <c r="DK329" s="3">
        <f t="shared" si="240"/>
        <v>0</v>
      </c>
      <c r="DL329" s="3">
        <f t="shared" si="240"/>
        <v>0</v>
      </c>
      <c r="DM329" s="3">
        <f t="shared" si="240"/>
        <v>0</v>
      </c>
      <c r="DN329" s="3">
        <f t="shared" si="240"/>
        <v>0</v>
      </c>
      <c r="DO329" s="3">
        <f t="shared" si="240"/>
        <v>0</v>
      </c>
      <c r="DP329" s="3">
        <f t="shared" si="240"/>
        <v>0</v>
      </c>
      <c r="DQ329" s="3">
        <f t="shared" si="240"/>
        <v>0</v>
      </c>
      <c r="DR329" s="3">
        <f t="shared" si="240"/>
        <v>0</v>
      </c>
      <c r="DS329" s="3">
        <f t="shared" si="240"/>
        <v>0</v>
      </c>
      <c r="DT329" s="3">
        <f t="shared" si="240"/>
        <v>0</v>
      </c>
      <c r="DU329" s="3">
        <f t="shared" si="240"/>
        <v>0</v>
      </c>
      <c r="DV329" s="3">
        <f t="shared" si="240"/>
        <v>0</v>
      </c>
      <c r="DW329" s="3">
        <f t="shared" si="240"/>
        <v>0</v>
      </c>
      <c r="DX329" s="3">
        <f t="shared" si="240"/>
        <v>0</v>
      </c>
      <c r="DY329" s="3">
        <f t="shared" si="240"/>
        <v>0</v>
      </c>
      <c r="DZ329" s="3">
        <f t="shared" si="240"/>
        <v>0</v>
      </c>
      <c r="EA329" s="3">
        <f t="shared" si="240"/>
        <v>0</v>
      </c>
      <c r="EB329" s="3">
        <f t="shared" si="240"/>
        <v>0</v>
      </c>
      <c r="EC329" s="3">
        <f t="shared" si="240"/>
        <v>0</v>
      </c>
      <c r="ED329" s="3">
        <f t="shared" si="240"/>
        <v>0</v>
      </c>
      <c r="EE329" s="3">
        <f t="shared" si="240"/>
        <v>0</v>
      </c>
      <c r="EF329" s="3">
        <f t="shared" si="240"/>
        <v>0</v>
      </c>
      <c r="EG329" s="3">
        <f t="shared" si="240"/>
        <v>0</v>
      </c>
      <c r="EH329" s="3">
        <f t="shared" si="240"/>
        <v>0</v>
      </c>
      <c r="EI329" s="3">
        <f t="shared" si="240"/>
        <v>0</v>
      </c>
      <c r="EJ329" s="3">
        <f t="shared" si="240"/>
        <v>0</v>
      </c>
      <c r="EK329" s="3">
        <f t="shared" si="240"/>
        <v>0</v>
      </c>
      <c r="EL329" s="3">
        <f t="shared" si="240"/>
        <v>0</v>
      </c>
      <c r="EM329" s="3">
        <f t="shared" ref="EM329:FR329" si="241">EM378</f>
        <v>0</v>
      </c>
      <c r="EN329" s="3">
        <f t="shared" si="241"/>
        <v>0</v>
      </c>
      <c r="EO329" s="3">
        <f t="shared" si="241"/>
        <v>0</v>
      </c>
      <c r="EP329" s="3">
        <f t="shared" si="241"/>
        <v>0</v>
      </c>
      <c r="EQ329" s="3">
        <f t="shared" si="241"/>
        <v>0</v>
      </c>
      <c r="ER329" s="3">
        <f t="shared" si="241"/>
        <v>0</v>
      </c>
      <c r="ES329" s="3">
        <f t="shared" si="241"/>
        <v>0</v>
      </c>
      <c r="ET329" s="3">
        <f t="shared" si="241"/>
        <v>0</v>
      </c>
      <c r="EU329" s="3">
        <f t="shared" si="241"/>
        <v>0</v>
      </c>
      <c r="EV329" s="3">
        <f t="shared" si="241"/>
        <v>0</v>
      </c>
      <c r="EW329" s="3">
        <f t="shared" si="241"/>
        <v>0</v>
      </c>
      <c r="EX329" s="3">
        <f t="shared" si="241"/>
        <v>0</v>
      </c>
      <c r="EY329" s="3">
        <f t="shared" si="241"/>
        <v>0</v>
      </c>
      <c r="EZ329" s="3">
        <f t="shared" si="241"/>
        <v>0</v>
      </c>
      <c r="FA329" s="3">
        <f t="shared" si="241"/>
        <v>0</v>
      </c>
      <c r="FB329" s="3">
        <f t="shared" si="241"/>
        <v>0</v>
      </c>
      <c r="FC329" s="3">
        <f t="shared" si="241"/>
        <v>0</v>
      </c>
      <c r="FD329" s="3">
        <f t="shared" si="241"/>
        <v>0</v>
      </c>
      <c r="FE329" s="3">
        <f t="shared" si="241"/>
        <v>0</v>
      </c>
      <c r="FF329" s="3">
        <f t="shared" si="241"/>
        <v>0</v>
      </c>
      <c r="FG329" s="3">
        <f t="shared" si="241"/>
        <v>0</v>
      </c>
      <c r="FH329" s="3">
        <f t="shared" si="241"/>
        <v>0</v>
      </c>
      <c r="FI329" s="3">
        <f t="shared" si="241"/>
        <v>0</v>
      </c>
      <c r="FJ329" s="3">
        <f t="shared" si="241"/>
        <v>0</v>
      </c>
      <c r="FK329" s="3">
        <f t="shared" si="241"/>
        <v>0</v>
      </c>
      <c r="FL329" s="3">
        <f t="shared" si="241"/>
        <v>0</v>
      </c>
      <c r="FM329" s="3">
        <f t="shared" si="241"/>
        <v>0</v>
      </c>
      <c r="FN329" s="3">
        <f t="shared" si="241"/>
        <v>0</v>
      </c>
      <c r="FO329" s="3">
        <f t="shared" si="241"/>
        <v>0</v>
      </c>
      <c r="FP329" s="3">
        <f t="shared" si="241"/>
        <v>0</v>
      </c>
      <c r="FQ329" s="3">
        <f t="shared" si="241"/>
        <v>0</v>
      </c>
      <c r="FR329" s="3">
        <f t="shared" si="241"/>
        <v>0</v>
      </c>
      <c r="FS329" s="3">
        <f t="shared" ref="FS329:GX329" si="242">FS378</f>
        <v>0</v>
      </c>
      <c r="FT329" s="3">
        <f t="shared" si="242"/>
        <v>0</v>
      </c>
      <c r="FU329" s="3">
        <f t="shared" si="242"/>
        <v>0</v>
      </c>
      <c r="FV329" s="3">
        <f t="shared" si="242"/>
        <v>0</v>
      </c>
      <c r="FW329" s="3">
        <f t="shared" si="242"/>
        <v>0</v>
      </c>
      <c r="FX329" s="3">
        <f t="shared" si="242"/>
        <v>0</v>
      </c>
      <c r="FY329" s="3">
        <f t="shared" si="242"/>
        <v>0</v>
      </c>
      <c r="FZ329" s="3">
        <f t="shared" si="242"/>
        <v>0</v>
      </c>
      <c r="GA329" s="3">
        <f t="shared" si="242"/>
        <v>0</v>
      </c>
      <c r="GB329" s="3">
        <f t="shared" si="242"/>
        <v>0</v>
      </c>
      <c r="GC329" s="3">
        <f t="shared" si="242"/>
        <v>0</v>
      </c>
      <c r="GD329" s="3">
        <f t="shared" si="242"/>
        <v>0</v>
      </c>
      <c r="GE329" s="3">
        <f t="shared" si="242"/>
        <v>0</v>
      </c>
      <c r="GF329" s="3">
        <f t="shared" si="242"/>
        <v>0</v>
      </c>
      <c r="GG329" s="3">
        <f t="shared" si="242"/>
        <v>0</v>
      </c>
      <c r="GH329" s="3">
        <f t="shared" si="242"/>
        <v>0</v>
      </c>
      <c r="GI329" s="3">
        <f t="shared" si="242"/>
        <v>0</v>
      </c>
      <c r="GJ329" s="3">
        <f t="shared" si="242"/>
        <v>0</v>
      </c>
      <c r="GK329" s="3">
        <f t="shared" si="242"/>
        <v>0</v>
      </c>
      <c r="GL329" s="3">
        <f t="shared" si="242"/>
        <v>0</v>
      </c>
      <c r="GM329" s="3">
        <f t="shared" si="242"/>
        <v>0</v>
      </c>
      <c r="GN329" s="3">
        <f t="shared" si="242"/>
        <v>0</v>
      </c>
      <c r="GO329" s="3">
        <f t="shared" si="242"/>
        <v>0</v>
      </c>
      <c r="GP329" s="3">
        <f t="shared" si="242"/>
        <v>0</v>
      </c>
      <c r="GQ329" s="3">
        <f t="shared" si="242"/>
        <v>0</v>
      </c>
      <c r="GR329" s="3">
        <f t="shared" si="242"/>
        <v>0</v>
      </c>
      <c r="GS329" s="3">
        <f t="shared" si="242"/>
        <v>0</v>
      </c>
      <c r="GT329" s="3">
        <f t="shared" si="242"/>
        <v>0</v>
      </c>
      <c r="GU329" s="3">
        <f t="shared" si="242"/>
        <v>0</v>
      </c>
      <c r="GV329" s="3">
        <f t="shared" si="242"/>
        <v>0</v>
      </c>
      <c r="GW329" s="3">
        <f t="shared" si="242"/>
        <v>0</v>
      </c>
      <c r="GX329" s="3">
        <f t="shared" si="242"/>
        <v>0</v>
      </c>
    </row>
    <row r="331" spans="1:245" x14ac:dyDescent="0.2">
      <c r="A331">
        <v>19</v>
      </c>
      <c r="B331">
        <v>1</v>
      </c>
      <c r="F331" t="s">
        <v>3</v>
      </c>
      <c r="G331" t="s">
        <v>261</v>
      </c>
      <c r="H331" t="s">
        <v>3</v>
      </c>
      <c r="AA331">
        <v>1</v>
      </c>
      <c r="IK331">
        <v>0</v>
      </c>
    </row>
    <row r="332" spans="1:245" x14ac:dyDescent="0.2">
      <c r="A332">
        <v>17</v>
      </c>
      <c r="B332">
        <v>1</v>
      </c>
      <c r="D332">
        <f>ROW(EtalonRes!A167)</f>
        <v>167</v>
      </c>
      <c r="E332" t="s">
        <v>262</v>
      </c>
      <c r="F332" t="s">
        <v>263</v>
      </c>
      <c r="G332" t="s">
        <v>264</v>
      </c>
      <c r="H332" t="s">
        <v>32</v>
      </c>
      <c r="I332">
        <f>ROUND((4+6)*3,9)</f>
        <v>30</v>
      </c>
      <c r="J332">
        <v>0</v>
      </c>
      <c r="K332">
        <f>ROUND((4+6)*3,9)</f>
        <v>30</v>
      </c>
      <c r="O332">
        <f t="shared" ref="O332:O345" si="243">ROUND(CP332,2)</f>
        <v>9871.7999999999993</v>
      </c>
      <c r="P332">
        <f t="shared" ref="P332:P345" si="244">ROUND(CQ332*I332,2)</f>
        <v>14.1</v>
      </c>
      <c r="Q332">
        <f t="shared" ref="Q332:Q345" si="245">ROUND(CR332*I332,2)</f>
        <v>75.900000000000006</v>
      </c>
      <c r="R332">
        <f t="shared" ref="R332:R345" si="246">ROUND(CS332*I332,2)</f>
        <v>0.9</v>
      </c>
      <c r="S332">
        <f t="shared" ref="S332:S345" si="247">ROUND(CT332*I332,2)</f>
        <v>9781.7999999999993</v>
      </c>
      <c r="T332">
        <f t="shared" ref="T332:T345" si="248">ROUND(CU332*I332,2)</f>
        <v>0</v>
      </c>
      <c r="U332">
        <f t="shared" ref="U332:U345" si="249">CV332*I332</f>
        <v>17.399999999999999</v>
      </c>
      <c r="V332">
        <f t="shared" ref="V332:V345" si="250">CW332*I332</f>
        <v>0</v>
      </c>
      <c r="W332">
        <f t="shared" ref="W332:W345" si="251">ROUND(CX332*I332,2)</f>
        <v>0</v>
      </c>
      <c r="X332">
        <f t="shared" ref="X332:X345" si="252">ROUND(CY332,2)</f>
        <v>6847.26</v>
      </c>
      <c r="Y332">
        <f t="shared" ref="Y332:Y345" si="253">ROUND(CZ332,2)</f>
        <v>978.18</v>
      </c>
      <c r="AA332">
        <v>1472224561</v>
      </c>
      <c r="AB332">
        <f t="shared" ref="AB332:AB345" si="254">ROUND((AC332+AD332+AF332),6)</f>
        <v>329.06</v>
      </c>
      <c r="AC332">
        <f>ROUND((ES332),6)</f>
        <v>0.47</v>
      </c>
      <c r="AD332">
        <f>ROUND((((ET332)-(EU332))+AE332),6)</f>
        <v>2.5299999999999998</v>
      </c>
      <c r="AE332">
        <f t="shared" ref="AE332:AF335" si="255">ROUND((EU332),6)</f>
        <v>0.03</v>
      </c>
      <c r="AF332">
        <f t="shared" si="255"/>
        <v>326.06</v>
      </c>
      <c r="AG332">
        <f t="shared" ref="AG332:AG345" si="256">ROUND((AP332),6)</f>
        <v>0</v>
      </c>
      <c r="AH332">
        <f t="shared" ref="AH332:AI335" si="257">(EW332)</f>
        <v>0.57999999999999996</v>
      </c>
      <c r="AI332">
        <f t="shared" si="257"/>
        <v>0</v>
      </c>
      <c r="AJ332">
        <f t="shared" ref="AJ332:AJ345" si="258">(AS332)</f>
        <v>0</v>
      </c>
      <c r="AK332">
        <v>329.06</v>
      </c>
      <c r="AL332">
        <v>0.47</v>
      </c>
      <c r="AM332">
        <v>2.5299999999999998</v>
      </c>
      <c r="AN332">
        <v>0.03</v>
      </c>
      <c r="AO332">
        <v>326.06</v>
      </c>
      <c r="AP332">
        <v>0</v>
      </c>
      <c r="AQ332">
        <v>0.57999999999999996</v>
      </c>
      <c r="AR332">
        <v>0</v>
      </c>
      <c r="AS332">
        <v>0</v>
      </c>
      <c r="AT332">
        <v>70</v>
      </c>
      <c r="AU332">
        <v>10</v>
      </c>
      <c r="AV332">
        <v>1</v>
      </c>
      <c r="AW332">
        <v>1</v>
      </c>
      <c r="AZ332">
        <v>1</v>
      </c>
      <c r="BA332">
        <v>1</v>
      </c>
      <c r="BB332">
        <v>1</v>
      </c>
      <c r="BC332">
        <v>1</v>
      </c>
      <c r="BD332" t="s">
        <v>3</v>
      </c>
      <c r="BE332" t="s">
        <v>3</v>
      </c>
      <c r="BF332" t="s">
        <v>3</v>
      </c>
      <c r="BG332" t="s">
        <v>3</v>
      </c>
      <c r="BH332">
        <v>0</v>
      </c>
      <c r="BI332">
        <v>4</v>
      </c>
      <c r="BJ332" t="s">
        <v>265</v>
      </c>
      <c r="BM332">
        <v>0</v>
      </c>
      <c r="BN332">
        <v>0</v>
      </c>
      <c r="BO332" t="s">
        <v>3</v>
      </c>
      <c r="BP332">
        <v>0</v>
      </c>
      <c r="BQ332">
        <v>1</v>
      </c>
      <c r="BR332">
        <v>0</v>
      </c>
      <c r="BS332">
        <v>1</v>
      </c>
      <c r="BT332">
        <v>1</v>
      </c>
      <c r="BU332">
        <v>1</v>
      </c>
      <c r="BV332">
        <v>1</v>
      </c>
      <c r="BW332">
        <v>1</v>
      </c>
      <c r="BX332">
        <v>1</v>
      </c>
      <c r="BY332" t="s">
        <v>3</v>
      </c>
      <c r="BZ332">
        <v>70</v>
      </c>
      <c r="CA332">
        <v>10</v>
      </c>
      <c r="CB332" t="s">
        <v>3</v>
      </c>
      <c r="CE332">
        <v>0</v>
      </c>
      <c r="CF332">
        <v>0</v>
      </c>
      <c r="CG332">
        <v>0</v>
      </c>
      <c r="CM332">
        <v>0</v>
      </c>
      <c r="CN332" t="s">
        <v>3</v>
      </c>
      <c r="CO332">
        <v>0</v>
      </c>
      <c r="CP332">
        <f t="shared" ref="CP332:CP345" si="259">(P332+Q332+S332)</f>
        <v>9871.7999999999993</v>
      </c>
      <c r="CQ332">
        <f t="shared" ref="CQ332:CQ345" si="260">(AC332*BC332*AW332)</f>
        <v>0.47</v>
      </c>
      <c r="CR332">
        <f>((((ET332)*BB332-(EU332)*BS332)+AE332*BS332)*AV332)</f>
        <v>2.5299999999999998</v>
      </c>
      <c r="CS332">
        <f t="shared" ref="CS332:CS345" si="261">(AE332*BS332*AV332)</f>
        <v>0.03</v>
      </c>
      <c r="CT332">
        <f t="shared" ref="CT332:CT345" si="262">(AF332*BA332*AV332)</f>
        <v>326.06</v>
      </c>
      <c r="CU332">
        <f t="shared" ref="CU332:CU345" si="263">AG332</f>
        <v>0</v>
      </c>
      <c r="CV332">
        <f t="shared" ref="CV332:CV345" si="264">(AH332*AV332)</f>
        <v>0.57999999999999996</v>
      </c>
      <c r="CW332">
        <f t="shared" ref="CW332:CW345" si="265">AI332</f>
        <v>0</v>
      </c>
      <c r="CX332">
        <f t="shared" ref="CX332:CX345" si="266">AJ332</f>
        <v>0</v>
      </c>
      <c r="CY332">
        <f t="shared" ref="CY332:CY345" si="267">((S332*BZ332)/100)</f>
        <v>6847.26</v>
      </c>
      <c r="CZ332">
        <f t="shared" ref="CZ332:CZ345" si="268">((S332*CA332)/100)</f>
        <v>978.18</v>
      </c>
      <c r="DC332" t="s">
        <v>3</v>
      </c>
      <c r="DD332" t="s">
        <v>3</v>
      </c>
      <c r="DE332" t="s">
        <v>3</v>
      </c>
      <c r="DF332" t="s">
        <v>3</v>
      </c>
      <c r="DG332" t="s">
        <v>3</v>
      </c>
      <c r="DH332" t="s">
        <v>3</v>
      </c>
      <c r="DI332" t="s">
        <v>3</v>
      </c>
      <c r="DJ332" t="s">
        <v>3</v>
      </c>
      <c r="DK332" t="s">
        <v>3</v>
      </c>
      <c r="DL332" t="s">
        <v>3</v>
      </c>
      <c r="DM332" t="s">
        <v>3</v>
      </c>
      <c r="DN332">
        <v>0</v>
      </c>
      <c r="DO332">
        <v>0</v>
      </c>
      <c r="DP332">
        <v>1</v>
      </c>
      <c r="DQ332">
        <v>1</v>
      </c>
      <c r="DU332">
        <v>16987630</v>
      </c>
      <c r="DV332" t="s">
        <v>32</v>
      </c>
      <c r="DW332" t="s">
        <v>32</v>
      </c>
      <c r="DX332">
        <v>1</v>
      </c>
      <c r="DZ332" t="s">
        <v>3</v>
      </c>
      <c r="EA332" t="s">
        <v>3</v>
      </c>
      <c r="EB332" t="s">
        <v>3</v>
      </c>
      <c r="EC332" t="s">
        <v>3</v>
      </c>
      <c r="EE332">
        <v>1441815344</v>
      </c>
      <c r="EF332">
        <v>1</v>
      </c>
      <c r="EG332" t="s">
        <v>23</v>
      </c>
      <c r="EH332">
        <v>0</v>
      </c>
      <c r="EI332" t="s">
        <v>3</v>
      </c>
      <c r="EJ332">
        <v>4</v>
      </c>
      <c r="EK332">
        <v>0</v>
      </c>
      <c r="EL332" t="s">
        <v>24</v>
      </c>
      <c r="EM332" t="s">
        <v>25</v>
      </c>
      <c r="EO332" t="s">
        <v>3</v>
      </c>
      <c r="EQ332">
        <v>0</v>
      </c>
      <c r="ER332">
        <v>329.06</v>
      </c>
      <c r="ES332">
        <v>0.47</v>
      </c>
      <c r="ET332">
        <v>2.5299999999999998</v>
      </c>
      <c r="EU332">
        <v>0.03</v>
      </c>
      <c r="EV332">
        <v>326.06</v>
      </c>
      <c r="EW332">
        <v>0.57999999999999996</v>
      </c>
      <c r="EX332">
        <v>0</v>
      </c>
      <c r="EY332">
        <v>0</v>
      </c>
      <c r="FQ332">
        <v>0</v>
      </c>
      <c r="FR332">
        <f t="shared" ref="FR332:FR345" si="269">ROUND(IF(BI332=3,GM332,0),2)</f>
        <v>0</v>
      </c>
      <c r="FS332">
        <v>0</v>
      </c>
      <c r="FX332">
        <v>70</v>
      </c>
      <c r="FY332">
        <v>10</v>
      </c>
      <c r="GA332" t="s">
        <v>3</v>
      </c>
      <c r="GD332">
        <v>0</v>
      </c>
      <c r="GF332">
        <v>2134684417</v>
      </c>
      <c r="GG332">
        <v>2</v>
      </c>
      <c r="GH332">
        <v>1</v>
      </c>
      <c r="GI332">
        <v>-2</v>
      </c>
      <c r="GJ332">
        <v>0</v>
      </c>
      <c r="GK332">
        <f>ROUND(R332*(R12)/100,2)</f>
        <v>0.97</v>
      </c>
      <c r="GL332">
        <f t="shared" ref="GL332:GL345" si="270">ROUND(IF(AND(BH332=3,BI332=3,FS332&lt;&gt;0),P332,0),2)</f>
        <v>0</v>
      </c>
      <c r="GM332">
        <f t="shared" ref="GM332:GM345" si="271">ROUND(O332+X332+Y332+GK332,2)+GX332</f>
        <v>17698.21</v>
      </c>
      <c r="GN332">
        <f t="shared" ref="GN332:GN345" si="272">IF(OR(BI332=0,BI332=1),GM332-GX332,0)</f>
        <v>0</v>
      </c>
      <c r="GO332">
        <f t="shared" ref="GO332:GO345" si="273">IF(BI332=2,GM332-GX332,0)</f>
        <v>0</v>
      </c>
      <c r="GP332">
        <f t="shared" ref="GP332:GP345" si="274">IF(BI332=4,GM332-GX332,0)</f>
        <v>17698.21</v>
      </c>
      <c r="GR332">
        <v>0</v>
      </c>
      <c r="GS332">
        <v>3</v>
      </c>
      <c r="GT332">
        <v>0</v>
      </c>
      <c r="GU332" t="s">
        <v>3</v>
      </c>
      <c r="GV332">
        <f t="shared" ref="GV332:GV345" si="275">ROUND((GT332),6)</f>
        <v>0</v>
      </c>
      <c r="GW332">
        <v>1</v>
      </c>
      <c r="GX332">
        <f t="shared" ref="GX332:GX345" si="276">ROUND(HC332*I332,2)</f>
        <v>0</v>
      </c>
      <c r="HA332">
        <v>0</v>
      </c>
      <c r="HB332">
        <v>0</v>
      </c>
      <c r="HC332">
        <f t="shared" ref="HC332:HC345" si="277">GV332*GW332</f>
        <v>0</v>
      </c>
      <c r="HE332" t="s">
        <v>3</v>
      </c>
      <c r="HF332" t="s">
        <v>3</v>
      </c>
      <c r="HM332" t="s">
        <v>3</v>
      </c>
      <c r="HN332" t="s">
        <v>3</v>
      </c>
      <c r="HO332" t="s">
        <v>3</v>
      </c>
      <c r="HP332" t="s">
        <v>3</v>
      </c>
      <c r="HQ332" t="s">
        <v>3</v>
      </c>
      <c r="IK332">
        <v>0</v>
      </c>
    </row>
    <row r="333" spans="1:245" x14ac:dyDescent="0.2">
      <c r="A333">
        <v>17</v>
      </c>
      <c r="B333">
        <v>1</v>
      </c>
      <c r="D333">
        <f>ROW(EtalonRes!A170)</f>
        <v>170</v>
      </c>
      <c r="E333" t="s">
        <v>266</v>
      </c>
      <c r="F333" t="s">
        <v>267</v>
      </c>
      <c r="G333" t="s">
        <v>268</v>
      </c>
      <c r="H333" t="s">
        <v>32</v>
      </c>
      <c r="I333">
        <f>ROUND((1+2)*3,9)</f>
        <v>9</v>
      </c>
      <c r="J333">
        <v>0</v>
      </c>
      <c r="K333">
        <f>ROUND((1+2)*3,9)</f>
        <v>9</v>
      </c>
      <c r="O333">
        <f t="shared" si="243"/>
        <v>4607.55</v>
      </c>
      <c r="P333">
        <f t="shared" si="244"/>
        <v>8.4600000000000009</v>
      </c>
      <c r="Q333">
        <f t="shared" si="245"/>
        <v>45.54</v>
      </c>
      <c r="R333">
        <f t="shared" si="246"/>
        <v>0.63</v>
      </c>
      <c r="S333">
        <f t="shared" si="247"/>
        <v>4553.55</v>
      </c>
      <c r="T333">
        <f t="shared" si="248"/>
        <v>0</v>
      </c>
      <c r="U333">
        <f t="shared" si="249"/>
        <v>8.1</v>
      </c>
      <c r="V333">
        <f t="shared" si="250"/>
        <v>0</v>
      </c>
      <c r="W333">
        <f t="shared" si="251"/>
        <v>0</v>
      </c>
      <c r="X333">
        <f t="shared" si="252"/>
        <v>3187.49</v>
      </c>
      <c r="Y333">
        <f t="shared" si="253"/>
        <v>455.36</v>
      </c>
      <c r="AA333">
        <v>1472224561</v>
      </c>
      <c r="AB333">
        <f t="shared" si="254"/>
        <v>511.95</v>
      </c>
      <c r="AC333">
        <f>ROUND((ES333),6)</f>
        <v>0.94</v>
      </c>
      <c r="AD333">
        <f>ROUND((((ET333)-(EU333))+AE333),6)</f>
        <v>5.0599999999999996</v>
      </c>
      <c r="AE333">
        <f t="shared" si="255"/>
        <v>7.0000000000000007E-2</v>
      </c>
      <c r="AF333">
        <f t="shared" si="255"/>
        <v>505.95</v>
      </c>
      <c r="AG333">
        <f t="shared" si="256"/>
        <v>0</v>
      </c>
      <c r="AH333">
        <f t="shared" si="257"/>
        <v>0.9</v>
      </c>
      <c r="AI333">
        <f t="shared" si="257"/>
        <v>0</v>
      </c>
      <c r="AJ333">
        <f t="shared" si="258"/>
        <v>0</v>
      </c>
      <c r="AK333">
        <v>511.95</v>
      </c>
      <c r="AL333">
        <v>0.94</v>
      </c>
      <c r="AM333">
        <v>5.0599999999999996</v>
      </c>
      <c r="AN333">
        <v>7.0000000000000007E-2</v>
      </c>
      <c r="AO333">
        <v>505.95</v>
      </c>
      <c r="AP333">
        <v>0</v>
      </c>
      <c r="AQ333">
        <v>0.9</v>
      </c>
      <c r="AR333">
        <v>0</v>
      </c>
      <c r="AS333">
        <v>0</v>
      </c>
      <c r="AT333">
        <v>70</v>
      </c>
      <c r="AU333">
        <v>10</v>
      </c>
      <c r="AV333">
        <v>1</v>
      </c>
      <c r="AW333">
        <v>1</v>
      </c>
      <c r="AZ333">
        <v>1</v>
      </c>
      <c r="BA333">
        <v>1</v>
      </c>
      <c r="BB333">
        <v>1</v>
      </c>
      <c r="BC333">
        <v>1</v>
      </c>
      <c r="BD333" t="s">
        <v>3</v>
      </c>
      <c r="BE333" t="s">
        <v>3</v>
      </c>
      <c r="BF333" t="s">
        <v>3</v>
      </c>
      <c r="BG333" t="s">
        <v>3</v>
      </c>
      <c r="BH333">
        <v>0</v>
      </c>
      <c r="BI333">
        <v>4</v>
      </c>
      <c r="BJ333" t="s">
        <v>269</v>
      </c>
      <c r="BM333">
        <v>0</v>
      </c>
      <c r="BN333">
        <v>0</v>
      </c>
      <c r="BO333" t="s">
        <v>3</v>
      </c>
      <c r="BP333">
        <v>0</v>
      </c>
      <c r="BQ333">
        <v>1</v>
      </c>
      <c r="BR333">
        <v>0</v>
      </c>
      <c r="BS333">
        <v>1</v>
      </c>
      <c r="BT333">
        <v>1</v>
      </c>
      <c r="BU333">
        <v>1</v>
      </c>
      <c r="BV333">
        <v>1</v>
      </c>
      <c r="BW333">
        <v>1</v>
      </c>
      <c r="BX333">
        <v>1</v>
      </c>
      <c r="BY333" t="s">
        <v>3</v>
      </c>
      <c r="BZ333">
        <v>70</v>
      </c>
      <c r="CA333">
        <v>10</v>
      </c>
      <c r="CB333" t="s">
        <v>3</v>
      </c>
      <c r="CE333">
        <v>0</v>
      </c>
      <c r="CF333">
        <v>0</v>
      </c>
      <c r="CG333">
        <v>0</v>
      </c>
      <c r="CM333">
        <v>0</v>
      </c>
      <c r="CN333" t="s">
        <v>3</v>
      </c>
      <c r="CO333">
        <v>0</v>
      </c>
      <c r="CP333">
        <f t="shared" si="259"/>
        <v>4607.55</v>
      </c>
      <c r="CQ333">
        <f t="shared" si="260"/>
        <v>0.94</v>
      </c>
      <c r="CR333">
        <f>((((ET333)*BB333-(EU333)*BS333)+AE333*BS333)*AV333)</f>
        <v>5.0599999999999996</v>
      </c>
      <c r="CS333">
        <f t="shared" si="261"/>
        <v>7.0000000000000007E-2</v>
      </c>
      <c r="CT333">
        <f t="shared" si="262"/>
        <v>505.95</v>
      </c>
      <c r="CU333">
        <f t="shared" si="263"/>
        <v>0</v>
      </c>
      <c r="CV333">
        <f t="shared" si="264"/>
        <v>0.9</v>
      </c>
      <c r="CW333">
        <f t="shared" si="265"/>
        <v>0</v>
      </c>
      <c r="CX333">
        <f t="shared" si="266"/>
        <v>0</v>
      </c>
      <c r="CY333">
        <f t="shared" si="267"/>
        <v>3187.4850000000001</v>
      </c>
      <c r="CZ333">
        <f t="shared" si="268"/>
        <v>455.35500000000002</v>
      </c>
      <c r="DC333" t="s">
        <v>3</v>
      </c>
      <c r="DD333" t="s">
        <v>3</v>
      </c>
      <c r="DE333" t="s">
        <v>3</v>
      </c>
      <c r="DF333" t="s">
        <v>3</v>
      </c>
      <c r="DG333" t="s">
        <v>3</v>
      </c>
      <c r="DH333" t="s">
        <v>3</v>
      </c>
      <c r="DI333" t="s">
        <v>3</v>
      </c>
      <c r="DJ333" t="s">
        <v>3</v>
      </c>
      <c r="DK333" t="s">
        <v>3</v>
      </c>
      <c r="DL333" t="s">
        <v>3</v>
      </c>
      <c r="DM333" t="s">
        <v>3</v>
      </c>
      <c r="DN333">
        <v>0</v>
      </c>
      <c r="DO333">
        <v>0</v>
      </c>
      <c r="DP333">
        <v>1</v>
      </c>
      <c r="DQ333">
        <v>1</v>
      </c>
      <c r="DU333">
        <v>16987630</v>
      </c>
      <c r="DV333" t="s">
        <v>32</v>
      </c>
      <c r="DW333" t="s">
        <v>32</v>
      </c>
      <c r="DX333">
        <v>1</v>
      </c>
      <c r="DZ333" t="s">
        <v>3</v>
      </c>
      <c r="EA333" t="s">
        <v>3</v>
      </c>
      <c r="EB333" t="s">
        <v>3</v>
      </c>
      <c r="EC333" t="s">
        <v>3</v>
      </c>
      <c r="EE333">
        <v>1441815344</v>
      </c>
      <c r="EF333">
        <v>1</v>
      </c>
      <c r="EG333" t="s">
        <v>23</v>
      </c>
      <c r="EH333">
        <v>0</v>
      </c>
      <c r="EI333" t="s">
        <v>3</v>
      </c>
      <c r="EJ333">
        <v>4</v>
      </c>
      <c r="EK333">
        <v>0</v>
      </c>
      <c r="EL333" t="s">
        <v>24</v>
      </c>
      <c r="EM333" t="s">
        <v>25</v>
      </c>
      <c r="EO333" t="s">
        <v>3</v>
      </c>
      <c r="EQ333">
        <v>0</v>
      </c>
      <c r="ER333">
        <v>511.95</v>
      </c>
      <c r="ES333">
        <v>0.94</v>
      </c>
      <c r="ET333">
        <v>5.0599999999999996</v>
      </c>
      <c r="EU333">
        <v>7.0000000000000007E-2</v>
      </c>
      <c r="EV333">
        <v>505.95</v>
      </c>
      <c r="EW333">
        <v>0.9</v>
      </c>
      <c r="EX333">
        <v>0</v>
      </c>
      <c r="EY333">
        <v>0</v>
      </c>
      <c r="FQ333">
        <v>0</v>
      </c>
      <c r="FR333">
        <f t="shared" si="269"/>
        <v>0</v>
      </c>
      <c r="FS333">
        <v>0</v>
      </c>
      <c r="FX333">
        <v>70</v>
      </c>
      <c r="FY333">
        <v>10</v>
      </c>
      <c r="GA333" t="s">
        <v>3</v>
      </c>
      <c r="GD333">
        <v>0</v>
      </c>
      <c r="GF333">
        <v>597674671</v>
      </c>
      <c r="GG333">
        <v>2</v>
      </c>
      <c r="GH333">
        <v>1</v>
      </c>
      <c r="GI333">
        <v>-2</v>
      </c>
      <c r="GJ333">
        <v>0</v>
      </c>
      <c r="GK333">
        <f>ROUND(R333*(R12)/100,2)</f>
        <v>0.68</v>
      </c>
      <c r="GL333">
        <f t="shared" si="270"/>
        <v>0</v>
      </c>
      <c r="GM333">
        <f t="shared" si="271"/>
        <v>8251.08</v>
      </c>
      <c r="GN333">
        <f t="shared" si="272"/>
        <v>0</v>
      </c>
      <c r="GO333">
        <f t="shared" si="273"/>
        <v>0</v>
      </c>
      <c r="GP333">
        <f t="shared" si="274"/>
        <v>8251.08</v>
      </c>
      <c r="GR333">
        <v>0</v>
      </c>
      <c r="GS333">
        <v>3</v>
      </c>
      <c r="GT333">
        <v>0</v>
      </c>
      <c r="GU333" t="s">
        <v>3</v>
      </c>
      <c r="GV333">
        <f t="shared" si="275"/>
        <v>0</v>
      </c>
      <c r="GW333">
        <v>1</v>
      </c>
      <c r="GX333">
        <f t="shared" si="276"/>
        <v>0</v>
      </c>
      <c r="HA333">
        <v>0</v>
      </c>
      <c r="HB333">
        <v>0</v>
      </c>
      <c r="HC333">
        <f t="shared" si="277"/>
        <v>0</v>
      </c>
      <c r="HE333" t="s">
        <v>3</v>
      </c>
      <c r="HF333" t="s">
        <v>3</v>
      </c>
      <c r="HM333" t="s">
        <v>3</v>
      </c>
      <c r="HN333" t="s">
        <v>3</v>
      </c>
      <c r="HO333" t="s">
        <v>3</v>
      </c>
      <c r="HP333" t="s">
        <v>3</v>
      </c>
      <c r="HQ333" t="s">
        <v>3</v>
      </c>
      <c r="IK333">
        <v>0</v>
      </c>
    </row>
    <row r="334" spans="1:245" x14ac:dyDescent="0.2">
      <c r="A334">
        <v>17</v>
      </c>
      <c r="B334">
        <v>1</v>
      </c>
      <c r="D334">
        <f>ROW(EtalonRes!A173)</f>
        <v>173</v>
      </c>
      <c r="E334" t="s">
        <v>270</v>
      </c>
      <c r="F334" t="s">
        <v>271</v>
      </c>
      <c r="G334" t="s">
        <v>272</v>
      </c>
      <c r="H334" t="s">
        <v>37</v>
      </c>
      <c r="I334">
        <f>ROUND(12*3/10,9)</f>
        <v>3.6</v>
      </c>
      <c r="J334">
        <v>0</v>
      </c>
      <c r="K334">
        <f>ROUND(12*3/10,9)</f>
        <v>3.6</v>
      </c>
      <c r="O334">
        <f t="shared" si="243"/>
        <v>3784.39</v>
      </c>
      <c r="P334">
        <f t="shared" si="244"/>
        <v>6.01</v>
      </c>
      <c r="Q334">
        <f t="shared" si="245"/>
        <v>14.72</v>
      </c>
      <c r="R334">
        <f t="shared" si="246"/>
        <v>0.22</v>
      </c>
      <c r="S334">
        <f t="shared" si="247"/>
        <v>3763.66</v>
      </c>
      <c r="T334">
        <f t="shared" si="248"/>
        <v>0</v>
      </c>
      <c r="U334">
        <f t="shared" si="249"/>
        <v>6.6240000000000006</v>
      </c>
      <c r="V334">
        <f t="shared" si="250"/>
        <v>0</v>
      </c>
      <c r="W334">
        <f t="shared" si="251"/>
        <v>0</v>
      </c>
      <c r="X334">
        <f t="shared" si="252"/>
        <v>2634.56</v>
      </c>
      <c r="Y334">
        <f t="shared" si="253"/>
        <v>376.37</v>
      </c>
      <c r="AA334">
        <v>1472224561</v>
      </c>
      <c r="AB334">
        <f t="shared" si="254"/>
        <v>1051.22</v>
      </c>
      <c r="AC334">
        <f>ROUND((ES334),6)</f>
        <v>1.67</v>
      </c>
      <c r="AD334">
        <f>ROUND((((ET334)-(EU334))+AE334),6)</f>
        <v>4.09</v>
      </c>
      <c r="AE334">
        <f t="shared" si="255"/>
        <v>0.06</v>
      </c>
      <c r="AF334">
        <f t="shared" si="255"/>
        <v>1045.46</v>
      </c>
      <c r="AG334">
        <f t="shared" si="256"/>
        <v>0</v>
      </c>
      <c r="AH334">
        <f t="shared" si="257"/>
        <v>1.84</v>
      </c>
      <c r="AI334">
        <f t="shared" si="257"/>
        <v>0</v>
      </c>
      <c r="AJ334">
        <f t="shared" si="258"/>
        <v>0</v>
      </c>
      <c r="AK334">
        <v>1051.22</v>
      </c>
      <c r="AL334">
        <v>1.67</v>
      </c>
      <c r="AM334">
        <v>4.09</v>
      </c>
      <c r="AN334">
        <v>0.06</v>
      </c>
      <c r="AO334">
        <v>1045.46</v>
      </c>
      <c r="AP334">
        <v>0</v>
      </c>
      <c r="AQ334">
        <v>1.84</v>
      </c>
      <c r="AR334">
        <v>0</v>
      </c>
      <c r="AS334">
        <v>0</v>
      </c>
      <c r="AT334">
        <v>70</v>
      </c>
      <c r="AU334">
        <v>10</v>
      </c>
      <c r="AV334">
        <v>1</v>
      </c>
      <c r="AW334">
        <v>1</v>
      </c>
      <c r="AZ334">
        <v>1</v>
      </c>
      <c r="BA334">
        <v>1</v>
      </c>
      <c r="BB334">
        <v>1</v>
      </c>
      <c r="BC334">
        <v>1</v>
      </c>
      <c r="BD334" t="s">
        <v>3</v>
      </c>
      <c r="BE334" t="s">
        <v>3</v>
      </c>
      <c r="BF334" t="s">
        <v>3</v>
      </c>
      <c r="BG334" t="s">
        <v>3</v>
      </c>
      <c r="BH334">
        <v>0</v>
      </c>
      <c r="BI334">
        <v>4</v>
      </c>
      <c r="BJ334" t="s">
        <v>273</v>
      </c>
      <c r="BM334">
        <v>0</v>
      </c>
      <c r="BN334">
        <v>0</v>
      </c>
      <c r="BO334" t="s">
        <v>3</v>
      </c>
      <c r="BP334">
        <v>0</v>
      </c>
      <c r="BQ334">
        <v>1</v>
      </c>
      <c r="BR334">
        <v>0</v>
      </c>
      <c r="BS334">
        <v>1</v>
      </c>
      <c r="BT334">
        <v>1</v>
      </c>
      <c r="BU334">
        <v>1</v>
      </c>
      <c r="BV334">
        <v>1</v>
      </c>
      <c r="BW334">
        <v>1</v>
      </c>
      <c r="BX334">
        <v>1</v>
      </c>
      <c r="BY334" t="s">
        <v>3</v>
      </c>
      <c r="BZ334">
        <v>70</v>
      </c>
      <c r="CA334">
        <v>10</v>
      </c>
      <c r="CB334" t="s">
        <v>3</v>
      </c>
      <c r="CE334">
        <v>0</v>
      </c>
      <c r="CF334">
        <v>0</v>
      </c>
      <c r="CG334">
        <v>0</v>
      </c>
      <c r="CM334">
        <v>0</v>
      </c>
      <c r="CN334" t="s">
        <v>3</v>
      </c>
      <c r="CO334">
        <v>0</v>
      </c>
      <c r="CP334">
        <f t="shared" si="259"/>
        <v>3784.39</v>
      </c>
      <c r="CQ334">
        <f t="shared" si="260"/>
        <v>1.67</v>
      </c>
      <c r="CR334">
        <f>((((ET334)*BB334-(EU334)*BS334)+AE334*BS334)*AV334)</f>
        <v>4.09</v>
      </c>
      <c r="CS334">
        <f t="shared" si="261"/>
        <v>0.06</v>
      </c>
      <c r="CT334">
        <f t="shared" si="262"/>
        <v>1045.46</v>
      </c>
      <c r="CU334">
        <f t="shared" si="263"/>
        <v>0</v>
      </c>
      <c r="CV334">
        <f t="shared" si="264"/>
        <v>1.84</v>
      </c>
      <c r="CW334">
        <f t="shared" si="265"/>
        <v>0</v>
      </c>
      <c r="CX334">
        <f t="shared" si="266"/>
        <v>0</v>
      </c>
      <c r="CY334">
        <f t="shared" si="267"/>
        <v>2634.5619999999999</v>
      </c>
      <c r="CZ334">
        <f t="shared" si="268"/>
        <v>376.36599999999999</v>
      </c>
      <c r="DC334" t="s">
        <v>3</v>
      </c>
      <c r="DD334" t="s">
        <v>3</v>
      </c>
      <c r="DE334" t="s">
        <v>3</v>
      </c>
      <c r="DF334" t="s">
        <v>3</v>
      </c>
      <c r="DG334" t="s">
        <v>3</v>
      </c>
      <c r="DH334" t="s">
        <v>3</v>
      </c>
      <c r="DI334" t="s">
        <v>3</v>
      </c>
      <c r="DJ334" t="s">
        <v>3</v>
      </c>
      <c r="DK334" t="s">
        <v>3</v>
      </c>
      <c r="DL334" t="s">
        <v>3</v>
      </c>
      <c r="DM334" t="s">
        <v>3</v>
      </c>
      <c r="DN334">
        <v>0</v>
      </c>
      <c r="DO334">
        <v>0</v>
      </c>
      <c r="DP334">
        <v>1</v>
      </c>
      <c r="DQ334">
        <v>1</v>
      </c>
      <c r="DU334">
        <v>16987630</v>
      </c>
      <c r="DV334" t="s">
        <v>37</v>
      </c>
      <c r="DW334" t="s">
        <v>37</v>
      </c>
      <c r="DX334">
        <v>10</v>
      </c>
      <c r="DZ334" t="s">
        <v>3</v>
      </c>
      <c r="EA334" t="s">
        <v>3</v>
      </c>
      <c r="EB334" t="s">
        <v>3</v>
      </c>
      <c r="EC334" t="s">
        <v>3</v>
      </c>
      <c r="EE334">
        <v>1441815344</v>
      </c>
      <c r="EF334">
        <v>1</v>
      </c>
      <c r="EG334" t="s">
        <v>23</v>
      </c>
      <c r="EH334">
        <v>0</v>
      </c>
      <c r="EI334" t="s">
        <v>3</v>
      </c>
      <c r="EJ334">
        <v>4</v>
      </c>
      <c r="EK334">
        <v>0</v>
      </c>
      <c r="EL334" t="s">
        <v>24</v>
      </c>
      <c r="EM334" t="s">
        <v>25</v>
      </c>
      <c r="EO334" t="s">
        <v>3</v>
      </c>
      <c r="EQ334">
        <v>0</v>
      </c>
      <c r="ER334">
        <v>1051.22</v>
      </c>
      <c r="ES334">
        <v>1.67</v>
      </c>
      <c r="ET334">
        <v>4.09</v>
      </c>
      <c r="EU334">
        <v>0.06</v>
      </c>
      <c r="EV334">
        <v>1045.46</v>
      </c>
      <c r="EW334">
        <v>1.84</v>
      </c>
      <c r="EX334">
        <v>0</v>
      </c>
      <c r="EY334">
        <v>0</v>
      </c>
      <c r="FQ334">
        <v>0</v>
      </c>
      <c r="FR334">
        <f t="shared" si="269"/>
        <v>0</v>
      </c>
      <c r="FS334">
        <v>0</v>
      </c>
      <c r="FX334">
        <v>70</v>
      </c>
      <c r="FY334">
        <v>10</v>
      </c>
      <c r="GA334" t="s">
        <v>3</v>
      </c>
      <c r="GD334">
        <v>0</v>
      </c>
      <c r="GF334">
        <v>373109242</v>
      </c>
      <c r="GG334">
        <v>2</v>
      </c>
      <c r="GH334">
        <v>1</v>
      </c>
      <c r="GI334">
        <v>-2</v>
      </c>
      <c r="GJ334">
        <v>0</v>
      </c>
      <c r="GK334">
        <f>ROUND(R334*(R12)/100,2)</f>
        <v>0.24</v>
      </c>
      <c r="GL334">
        <f t="shared" si="270"/>
        <v>0</v>
      </c>
      <c r="GM334">
        <f t="shared" si="271"/>
        <v>6795.56</v>
      </c>
      <c r="GN334">
        <f t="shared" si="272"/>
        <v>0</v>
      </c>
      <c r="GO334">
        <f t="shared" si="273"/>
        <v>0</v>
      </c>
      <c r="GP334">
        <f t="shared" si="274"/>
        <v>6795.56</v>
      </c>
      <c r="GR334">
        <v>0</v>
      </c>
      <c r="GS334">
        <v>3</v>
      </c>
      <c r="GT334">
        <v>0</v>
      </c>
      <c r="GU334" t="s">
        <v>3</v>
      </c>
      <c r="GV334">
        <f t="shared" si="275"/>
        <v>0</v>
      </c>
      <c r="GW334">
        <v>1</v>
      </c>
      <c r="GX334">
        <f t="shared" si="276"/>
        <v>0</v>
      </c>
      <c r="HA334">
        <v>0</v>
      </c>
      <c r="HB334">
        <v>0</v>
      </c>
      <c r="HC334">
        <f t="shared" si="277"/>
        <v>0</v>
      </c>
      <c r="HE334" t="s">
        <v>3</v>
      </c>
      <c r="HF334" t="s">
        <v>3</v>
      </c>
      <c r="HM334" t="s">
        <v>3</v>
      </c>
      <c r="HN334" t="s">
        <v>3</v>
      </c>
      <c r="HO334" t="s">
        <v>3</v>
      </c>
      <c r="HP334" t="s">
        <v>3</v>
      </c>
      <c r="HQ334" t="s">
        <v>3</v>
      </c>
      <c r="IK334">
        <v>0</v>
      </c>
    </row>
    <row r="335" spans="1:245" x14ac:dyDescent="0.2">
      <c r="A335">
        <v>17</v>
      </c>
      <c r="B335">
        <v>1</v>
      </c>
      <c r="D335">
        <f>ROW(EtalonRes!A176)</f>
        <v>176</v>
      </c>
      <c r="E335" t="s">
        <v>274</v>
      </c>
      <c r="F335" t="s">
        <v>271</v>
      </c>
      <c r="G335" t="s">
        <v>272</v>
      </c>
      <c r="H335" t="s">
        <v>37</v>
      </c>
      <c r="I335">
        <f>ROUND(15*3/10,9)</f>
        <v>4.5</v>
      </c>
      <c r="J335">
        <v>0</v>
      </c>
      <c r="K335">
        <f>ROUND(15*3/10,9)</f>
        <v>4.5</v>
      </c>
      <c r="O335">
        <f t="shared" si="243"/>
        <v>4730.5</v>
      </c>
      <c r="P335">
        <f t="shared" si="244"/>
        <v>7.52</v>
      </c>
      <c r="Q335">
        <f t="shared" si="245"/>
        <v>18.41</v>
      </c>
      <c r="R335">
        <f t="shared" si="246"/>
        <v>0.27</v>
      </c>
      <c r="S335">
        <f t="shared" si="247"/>
        <v>4704.57</v>
      </c>
      <c r="T335">
        <f t="shared" si="248"/>
        <v>0</v>
      </c>
      <c r="U335">
        <f t="shared" si="249"/>
        <v>8.2800000000000011</v>
      </c>
      <c r="V335">
        <f t="shared" si="250"/>
        <v>0</v>
      </c>
      <c r="W335">
        <f t="shared" si="251"/>
        <v>0</v>
      </c>
      <c r="X335">
        <f t="shared" si="252"/>
        <v>3293.2</v>
      </c>
      <c r="Y335">
        <f t="shared" si="253"/>
        <v>470.46</v>
      </c>
      <c r="AA335">
        <v>1472224561</v>
      </c>
      <c r="AB335">
        <f t="shared" si="254"/>
        <v>1051.22</v>
      </c>
      <c r="AC335">
        <f>ROUND((ES335),6)</f>
        <v>1.67</v>
      </c>
      <c r="AD335">
        <f>ROUND((((ET335)-(EU335))+AE335),6)</f>
        <v>4.09</v>
      </c>
      <c r="AE335">
        <f t="shared" si="255"/>
        <v>0.06</v>
      </c>
      <c r="AF335">
        <f t="shared" si="255"/>
        <v>1045.46</v>
      </c>
      <c r="AG335">
        <f t="shared" si="256"/>
        <v>0</v>
      </c>
      <c r="AH335">
        <f t="shared" si="257"/>
        <v>1.84</v>
      </c>
      <c r="AI335">
        <f t="shared" si="257"/>
        <v>0</v>
      </c>
      <c r="AJ335">
        <f t="shared" si="258"/>
        <v>0</v>
      </c>
      <c r="AK335">
        <v>1051.22</v>
      </c>
      <c r="AL335">
        <v>1.67</v>
      </c>
      <c r="AM335">
        <v>4.09</v>
      </c>
      <c r="AN335">
        <v>0.06</v>
      </c>
      <c r="AO335">
        <v>1045.46</v>
      </c>
      <c r="AP335">
        <v>0</v>
      </c>
      <c r="AQ335">
        <v>1.84</v>
      </c>
      <c r="AR335">
        <v>0</v>
      </c>
      <c r="AS335">
        <v>0</v>
      </c>
      <c r="AT335">
        <v>70</v>
      </c>
      <c r="AU335">
        <v>10</v>
      </c>
      <c r="AV335">
        <v>1</v>
      </c>
      <c r="AW335">
        <v>1</v>
      </c>
      <c r="AZ335">
        <v>1</v>
      </c>
      <c r="BA335">
        <v>1</v>
      </c>
      <c r="BB335">
        <v>1</v>
      </c>
      <c r="BC335">
        <v>1</v>
      </c>
      <c r="BD335" t="s">
        <v>3</v>
      </c>
      <c r="BE335" t="s">
        <v>3</v>
      </c>
      <c r="BF335" t="s">
        <v>3</v>
      </c>
      <c r="BG335" t="s">
        <v>3</v>
      </c>
      <c r="BH335">
        <v>0</v>
      </c>
      <c r="BI335">
        <v>4</v>
      </c>
      <c r="BJ335" t="s">
        <v>273</v>
      </c>
      <c r="BM335">
        <v>0</v>
      </c>
      <c r="BN335">
        <v>0</v>
      </c>
      <c r="BO335" t="s">
        <v>3</v>
      </c>
      <c r="BP335">
        <v>0</v>
      </c>
      <c r="BQ335">
        <v>1</v>
      </c>
      <c r="BR335">
        <v>0</v>
      </c>
      <c r="BS335">
        <v>1</v>
      </c>
      <c r="BT335">
        <v>1</v>
      </c>
      <c r="BU335">
        <v>1</v>
      </c>
      <c r="BV335">
        <v>1</v>
      </c>
      <c r="BW335">
        <v>1</v>
      </c>
      <c r="BX335">
        <v>1</v>
      </c>
      <c r="BY335" t="s">
        <v>3</v>
      </c>
      <c r="BZ335">
        <v>70</v>
      </c>
      <c r="CA335">
        <v>10</v>
      </c>
      <c r="CB335" t="s">
        <v>3</v>
      </c>
      <c r="CE335">
        <v>0</v>
      </c>
      <c r="CF335">
        <v>0</v>
      </c>
      <c r="CG335">
        <v>0</v>
      </c>
      <c r="CM335">
        <v>0</v>
      </c>
      <c r="CN335" t="s">
        <v>3</v>
      </c>
      <c r="CO335">
        <v>0</v>
      </c>
      <c r="CP335">
        <f t="shared" si="259"/>
        <v>4730.5</v>
      </c>
      <c r="CQ335">
        <f t="shared" si="260"/>
        <v>1.67</v>
      </c>
      <c r="CR335">
        <f>((((ET335)*BB335-(EU335)*BS335)+AE335*BS335)*AV335)</f>
        <v>4.09</v>
      </c>
      <c r="CS335">
        <f t="shared" si="261"/>
        <v>0.06</v>
      </c>
      <c r="CT335">
        <f t="shared" si="262"/>
        <v>1045.46</v>
      </c>
      <c r="CU335">
        <f t="shared" si="263"/>
        <v>0</v>
      </c>
      <c r="CV335">
        <f t="shared" si="264"/>
        <v>1.84</v>
      </c>
      <c r="CW335">
        <f t="shared" si="265"/>
        <v>0</v>
      </c>
      <c r="CX335">
        <f t="shared" si="266"/>
        <v>0</v>
      </c>
      <c r="CY335">
        <f t="shared" si="267"/>
        <v>3293.1989999999996</v>
      </c>
      <c r="CZ335">
        <f t="shared" si="268"/>
        <v>470.45699999999999</v>
      </c>
      <c r="DC335" t="s">
        <v>3</v>
      </c>
      <c r="DD335" t="s">
        <v>3</v>
      </c>
      <c r="DE335" t="s">
        <v>3</v>
      </c>
      <c r="DF335" t="s">
        <v>3</v>
      </c>
      <c r="DG335" t="s">
        <v>3</v>
      </c>
      <c r="DH335" t="s">
        <v>3</v>
      </c>
      <c r="DI335" t="s">
        <v>3</v>
      </c>
      <c r="DJ335" t="s">
        <v>3</v>
      </c>
      <c r="DK335" t="s">
        <v>3</v>
      </c>
      <c r="DL335" t="s">
        <v>3</v>
      </c>
      <c r="DM335" t="s">
        <v>3</v>
      </c>
      <c r="DN335">
        <v>0</v>
      </c>
      <c r="DO335">
        <v>0</v>
      </c>
      <c r="DP335">
        <v>1</v>
      </c>
      <c r="DQ335">
        <v>1</v>
      </c>
      <c r="DU335">
        <v>16987630</v>
      </c>
      <c r="DV335" t="s">
        <v>37</v>
      </c>
      <c r="DW335" t="s">
        <v>37</v>
      </c>
      <c r="DX335">
        <v>10</v>
      </c>
      <c r="DZ335" t="s">
        <v>3</v>
      </c>
      <c r="EA335" t="s">
        <v>3</v>
      </c>
      <c r="EB335" t="s">
        <v>3</v>
      </c>
      <c r="EC335" t="s">
        <v>3</v>
      </c>
      <c r="EE335">
        <v>1441815344</v>
      </c>
      <c r="EF335">
        <v>1</v>
      </c>
      <c r="EG335" t="s">
        <v>23</v>
      </c>
      <c r="EH335">
        <v>0</v>
      </c>
      <c r="EI335" t="s">
        <v>3</v>
      </c>
      <c r="EJ335">
        <v>4</v>
      </c>
      <c r="EK335">
        <v>0</v>
      </c>
      <c r="EL335" t="s">
        <v>24</v>
      </c>
      <c r="EM335" t="s">
        <v>25</v>
      </c>
      <c r="EO335" t="s">
        <v>3</v>
      </c>
      <c r="EQ335">
        <v>0</v>
      </c>
      <c r="ER335">
        <v>1051.22</v>
      </c>
      <c r="ES335">
        <v>1.67</v>
      </c>
      <c r="ET335">
        <v>4.09</v>
      </c>
      <c r="EU335">
        <v>0.06</v>
      </c>
      <c r="EV335">
        <v>1045.46</v>
      </c>
      <c r="EW335">
        <v>1.84</v>
      </c>
      <c r="EX335">
        <v>0</v>
      </c>
      <c r="EY335">
        <v>0</v>
      </c>
      <c r="FQ335">
        <v>0</v>
      </c>
      <c r="FR335">
        <f t="shared" si="269"/>
        <v>0</v>
      </c>
      <c r="FS335">
        <v>0</v>
      </c>
      <c r="FX335">
        <v>70</v>
      </c>
      <c r="FY335">
        <v>10</v>
      </c>
      <c r="GA335" t="s">
        <v>3</v>
      </c>
      <c r="GD335">
        <v>0</v>
      </c>
      <c r="GF335">
        <v>373109242</v>
      </c>
      <c r="GG335">
        <v>2</v>
      </c>
      <c r="GH335">
        <v>1</v>
      </c>
      <c r="GI335">
        <v>-2</v>
      </c>
      <c r="GJ335">
        <v>0</v>
      </c>
      <c r="GK335">
        <f>ROUND(R335*(R12)/100,2)</f>
        <v>0.28999999999999998</v>
      </c>
      <c r="GL335">
        <f t="shared" si="270"/>
        <v>0</v>
      </c>
      <c r="GM335">
        <f t="shared" si="271"/>
        <v>8494.4500000000007</v>
      </c>
      <c r="GN335">
        <f t="shared" si="272"/>
        <v>0</v>
      </c>
      <c r="GO335">
        <f t="shared" si="273"/>
        <v>0</v>
      </c>
      <c r="GP335">
        <f t="shared" si="274"/>
        <v>8494.4500000000007</v>
      </c>
      <c r="GR335">
        <v>0</v>
      </c>
      <c r="GS335">
        <v>3</v>
      </c>
      <c r="GT335">
        <v>0</v>
      </c>
      <c r="GU335" t="s">
        <v>3</v>
      </c>
      <c r="GV335">
        <f t="shared" si="275"/>
        <v>0</v>
      </c>
      <c r="GW335">
        <v>1</v>
      </c>
      <c r="GX335">
        <f t="shared" si="276"/>
        <v>0</v>
      </c>
      <c r="HA335">
        <v>0</v>
      </c>
      <c r="HB335">
        <v>0</v>
      </c>
      <c r="HC335">
        <f t="shared" si="277"/>
        <v>0</v>
      </c>
      <c r="HE335" t="s">
        <v>3</v>
      </c>
      <c r="HF335" t="s">
        <v>3</v>
      </c>
      <c r="HM335" t="s">
        <v>3</v>
      </c>
      <c r="HN335" t="s">
        <v>3</v>
      </c>
      <c r="HO335" t="s">
        <v>3</v>
      </c>
      <c r="HP335" t="s">
        <v>3</v>
      </c>
      <c r="HQ335" t="s">
        <v>3</v>
      </c>
      <c r="IK335">
        <v>0</v>
      </c>
    </row>
    <row r="336" spans="1:245" x14ac:dyDescent="0.2">
      <c r="A336">
        <v>17</v>
      </c>
      <c r="B336">
        <v>1</v>
      </c>
      <c r="D336">
        <f>ROW(EtalonRes!A179)</f>
        <v>179</v>
      </c>
      <c r="E336" t="s">
        <v>275</v>
      </c>
      <c r="F336" t="s">
        <v>276</v>
      </c>
      <c r="G336" t="s">
        <v>277</v>
      </c>
      <c r="H336" t="s">
        <v>37</v>
      </c>
      <c r="I336">
        <f>ROUND(15*3/10,9)</f>
        <v>4.5</v>
      </c>
      <c r="J336">
        <v>0</v>
      </c>
      <c r="K336">
        <f>ROUND(15*3/10,9)</f>
        <v>4.5</v>
      </c>
      <c r="O336">
        <f t="shared" si="243"/>
        <v>2603.2600000000002</v>
      </c>
      <c r="P336">
        <f t="shared" si="244"/>
        <v>6.98</v>
      </c>
      <c r="Q336">
        <f t="shared" si="245"/>
        <v>16.649999999999999</v>
      </c>
      <c r="R336">
        <f t="shared" si="246"/>
        <v>0.23</v>
      </c>
      <c r="S336">
        <f t="shared" si="247"/>
        <v>2579.63</v>
      </c>
      <c r="T336">
        <f t="shared" si="248"/>
        <v>0</v>
      </c>
      <c r="U336">
        <f t="shared" si="249"/>
        <v>4.5</v>
      </c>
      <c r="V336">
        <f t="shared" si="250"/>
        <v>0</v>
      </c>
      <c r="W336">
        <f t="shared" si="251"/>
        <v>0</v>
      </c>
      <c r="X336">
        <f t="shared" si="252"/>
        <v>1805.74</v>
      </c>
      <c r="Y336">
        <f t="shared" si="253"/>
        <v>257.95999999999998</v>
      </c>
      <c r="AA336">
        <v>1472224561</v>
      </c>
      <c r="AB336">
        <f t="shared" si="254"/>
        <v>578.5</v>
      </c>
      <c r="AC336">
        <f>ROUND(((ES336*5)),6)</f>
        <v>1.55</v>
      </c>
      <c r="AD336">
        <f>ROUND(((((ET336*5))-((EU336*5)))+AE336),6)</f>
        <v>3.7</v>
      </c>
      <c r="AE336">
        <f>ROUND(((EU336*5)),6)</f>
        <v>0.05</v>
      </c>
      <c r="AF336">
        <f>ROUND(((EV336*5)),6)</f>
        <v>573.25</v>
      </c>
      <c r="AG336">
        <f t="shared" si="256"/>
        <v>0</v>
      </c>
      <c r="AH336">
        <f>((EW336*5))</f>
        <v>1</v>
      </c>
      <c r="AI336">
        <f>((EX336*5))</f>
        <v>0</v>
      </c>
      <c r="AJ336">
        <f t="shared" si="258"/>
        <v>0</v>
      </c>
      <c r="AK336">
        <v>115.7</v>
      </c>
      <c r="AL336">
        <v>0.31</v>
      </c>
      <c r="AM336">
        <v>0.74</v>
      </c>
      <c r="AN336">
        <v>0.01</v>
      </c>
      <c r="AO336">
        <v>114.65</v>
      </c>
      <c r="AP336">
        <v>0</v>
      </c>
      <c r="AQ336">
        <v>0.2</v>
      </c>
      <c r="AR336">
        <v>0</v>
      </c>
      <c r="AS336">
        <v>0</v>
      </c>
      <c r="AT336">
        <v>70</v>
      </c>
      <c r="AU336">
        <v>10</v>
      </c>
      <c r="AV336">
        <v>1</v>
      </c>
      <c r="AW336">
        <v>1</v>
      </c>
      <c r="AZ336">
        <v>1</v>
      </c>
      <c r="BA336">
        <v>1</v>
      </c>
      <c r="BB336">
        <v>1</v>
      </c>
      <c r="BC336">
        <v>1</v>
      </c>
      <c r="BD336" t="s">
        <v>3</v>
      </c>
      <c r="BE336" t="s">
        <v>3</v>
      </c>
      <c r="BF336" t="s">
        <v>3</v>
      </c>
      <c r="BG336" t="s">
        <v>3</v>
      </c>
      <c r="BH336">
        <v>0</v>
      </c>
      <c r="BI336">
        <v>4</v>
      </c>
      <c r="BJ336" t="s">
        <v>278</v>
      </c>
      <c r="BM336">
        <v>0</v>
      </c>
      <c r="BN336">
        <v>0</v>
      </c>
      <c r="BO336" t="s">
        <v>3</v>
      </c>
      <c r="BP336">
        <v>0</v>
      </c>
      <c r="BQ336">
        <v>1</v>
      </c>
      <c r="BR336">
        <v>0</v>
      </c>
      <c r="BS336">
        <v>1</v>
      </c>
      <c r="BT336">
        <v>1</v>
      </c>
      <c r="BU336">
        <v>1</v>
      </c>
      <c r="BV336">
        <v>1</v>
      </c>
      <c r="BW336">
        <v>1</v>
      </c>
      <c r="BX336">
        <v>1</v>
      </c>
      <c r="BY336" t="s">
        <v>3</v>
      </c>
      <c r="BZ336">
        <v>70</v>
      </c>
      <c r="CA336">
        <v>10</v>
      </c>
      <c r="CB336" t="s">
        <v>3</v>
      </c>
      <c r="CE336">
        <v>0</v>
      </c>
      <c r="CF336">
        <v>0</v>
      </c>
      <c r="CG336">
        <v>0</v>
      </c>
      <c r="CM336">
        <v>0</v>
      </c>
      <c r="CN336" t="s">
        <v>3</v>
      </c>
      <c r="CO336">
        <v>0</v>
      </c>
      <c r="CP336">
        <f t="shared" si="259"/>
        <v>2603.2600000000002</v>
      </c>
      <c r="CQ336">
        <f t="shared" si="260"/>
        <v>1.55</v>
      </c>
      <c r="CR336">
        <f>(((((ET336*5))*BB336-((EU336*5))*BS336)+AE336*BS336)*AV336)</f>
        <v>3.7</v>
      </c>
      <c r="CS336">
        <f t="shared" si="261"/>
        <v>0.05</v>
      </c>
      <c r="CT336">
        <f t="shared" si="262"/>
        <v>573.25</v>
      </c>
      <c r="CU336">
        <f t="shared" si="263"/>
        <v>0</v>
      </c>
      <c r="CV336">
        <f t="shared" si="264"/>
        <v>1</v>
      </c>
      <c r="CW336">
        <f t="shared" si="265"/>
        <v>0</v>
      </c>
      <c r="CX336">
        <f t="shared" si="266"/>
        <v>0</v>
      </c>
      <c r="CY336">
        <f t="shared" si="267"/>
        <v>1805.741</v>
      </c>
      <c r="CZ336">
        <f t="shared" si="268"/>
        <v>257.96300000000002</v>
      </c>
      <c r="DC336" t="s">
        <v>3</v>
      </c>
      <c r="DD336" t="s">
        <v>279</v>
      </c>
      <c r="DE336" t="s">
        <v>279</v>
      </c>
      <c r="DF336" t="s">
        <v>279</v>
      </c>
      <c r="DG336" t="s">
        <v>279</v>
      </c>
      <c r="DH336" t="s">
        <v>3</v>
      </c>
      <c r="DI336" t="s">
        <v>279</v>
      </c>
      <c r="DJ336" t="s">
        <v>279</v>
      </c>
      <c r="DK336" t="s">
        <v>3</v>
      </c>
      <c r="DL336" t="s">
        <v>3</v>
      </c>
      <c r="DM336" t="s">
        <v>3</v>
      </c>
      <c r="DN336">
        <v>0</v>
      </c>
      <c r="DO336">
        <v>0</v>
      </c>
      <c r="DP336">
        <v>1</v>
      </c>
      <c r="DQ336">
        <v>1</v>
      </c>
      <c r="DU336">
        <v>16987630</v>
      </c>
      <c r="DV336" t="s">
        <v>37</v>
      </c>
      <c r="DW336" t="s">
        <v>37</v>
      </c>
      <c r="DX336">
        <v>10</v>
      </c>
      <c r="DZ336" t="s">
        <v>3</v>
      </c>
      <c r="EA336" t="s">
        <v>3</v>
      </c>
      <c r="EB336" t="s">
        <v>3</v>
      </c>
      <c r="EC336" t="s">
        <v>3</v>
      </c>
      <c r="EE336">
        <v>1441815344</v>
      </c>
      <c r="EF336">
        <v>1</v>
      </c>
      <c r="EG336" t="s">
        <v>23</v>
      </c>
      <c r="EH336">
        <v>0</v>
      </c>
      <c r="EI336" t="s">
        <v>3</v>
      </c>
      <c r="EJ336">
        <v>4</v>
      </c>
      <c r="EK336">
        <v>0</v>
      </c>
      <c r="EL336" t="s">
        <v>24</v>
      </c>
      <c r="EM336" t="s">
        <v>25</v>
      </c>
      <c r="EO336" t="s">
        <v>3</v>
      </c>
      <c r="EQ336">
        <v>0</v>
      </c>
      <c r="ER336">
        <v>115.7</v>
      </c>
      <c r="ES336">
        <v>0.31</v>
      </c>
      <c r="ET336">
        <v>0.74</v>
      </c>
      <c r="EU336">
        <v>0.01</v>
      </c>
      <c r="EV336">
        <v>114.65</v>
      </c>
      <c r="EW336">
        <v>0.2</v>
      </c>
      <c r="EX336">
        <v>0</v>
      </c>
      <c r="EY336">
        <v>0</v>
      </c>
      <c r="FQ336">
        <v>0</v>
      </c>
      <c r="FR336">
        <f t="shared" si="269"/>
        <v>0</v>
      </c>
      <c r="FS336">
        <v>0</v>
      </c>
      <c r="FX336">
        <v>70</v>
      </c>
      <c r="FY336">
        <v>10</v>
      </c>
      <c r="GA336" t="s">
        <v>3</v>
      </c>
      <c r="GD336">
        <v>0</v>
      </c>
      <c r="GF336">
        <v>-565925046</v>
      </c>
      <c r="GG336">
        <v>2</v>
      </c>
      <c r="GH336">
        <v>1</v>
      </c>
      <c r="GI336">
        <v>-2</v>
      </c>
      <c r="GJ336">
        <v>0</v>
      </c>
      <c r="GK336">
        <f>ROUND(R336*(R12)/100,2)</f>
        <v>0.25</v>
      </c>
      <c r="GL336">
        <f t="shared" si="270"/>
        <v>0</v>
      </c>
      <c r="GM336">
        <f t="shared" si="271"/>
        <v>4667.21</v>
      </c>
      <c r="GN336">
        <f t="shared" si="272"/>
        <v>0</v>
      </c>
      <c r="GO336">
        <f t="shared" si="273"/>
        <v>0</v>
      </c>
      <c r="GP336">
        <f t="shared" si="274"/>
        <v>4667.21</v>
      </c>
      <c r="GR336">
        <v>0</v>
      </c>
      <c r="GS336">
        <v>3</v>
      </c>
      <c r="GT336">
        <v>0</v>
      </c>
      <c r="GU336" t="s">
        <v>3</v>
      </c>
      <c r="GV336">
        <f t="shared" si="275"/>
        <v>0</v>
      </c>
      <c r="GW336">
        <v>1</v>
      </c>
      <c r="GX336">
        <f t="shared" si="276"/>
        <v>0</v>
      </c>
      <c r="HA336">
        <v>0</v>
      </c>
      <c r="HB336">
        <v>0</v>
      </c>
      <c r="HC336">
        <f t="shared" si="277"/>
        <v>0</v>
      </c>
      <c r="HE336" t="s">
        <v>3</v>
      </c>
      <c r="HF336" t="s">
        <v>3</v>
      </c>
      <c r="HM336" t="s">
        <v>3</v>
      </c>
      <c r="HN336" t="s">
        <v>3</v>
      </c>
      <c r="HO336" t="s">
        <v>3</v>
      </c>
      <c r="HP336" t="s">
        <v>3</v>
      </c>
      <c r="HQ336" t="s">
        <v>3</v>
      </c>
      <c r="IK336">
        <v>0</v>
      </c>
    </row>
    <row r="337" spans="1:245" x14ac:dyDescent="0.2">
      <c r="A337">
        <v>17</v>
      </c>
      <c r="B337">
        <v>1</v>
      </c>
      <c r="D337">
        <f>ROW(EtalonRes!A181)</f>
        <v>181</v>
      </c>
      <c r="E337" t="s">
        <v>3</v>
      </c>
      <c r="F337" t="s">
        <v>280</v>
      </c>
      <c r="G337" t="s">
        <v>281</v>
      </c>
      <c r="H337" t="s">
        <v>32</v>
      </c>
      <c r="I337">
        <f>ROUND(24*3,9)</f>
        <v>72</v>
      </c>
      <c r="J337">
        <v>0</v>
      </c>
      <c r="K337">
        <f>ROUND(24*3,9)</f>
        <v>72</v>
      </c>
      <c r="O337">
        <f t="shared" si="243"/>
        <v>81264.240000000005</v>
      </c>
      <c r="P337">
        <f t="shared" si="244"/>
        <v>22.32</v>
      </c>
      <c r="Q337">
        <f t="shared" si="245"/>
        <v>0</v>
      </c>
      <c r="R337">
        <f t="shared" si="246"/>
        <v>0</v>
      </c>
      <c r="S337">
        <f t="shared" si="247"/>
        <v>81241.919999999998</v>
      </c>
      <c r="T337">
        <f t="shared" si="248"/>
        <v>0</v>
      </c>
      <c r="U337">
        <f t="shared" si="249"/>
        <v>114.48</v>
      </c>
      <c r="V337">
        <f t="shared" si="250"/>
        <v>0</v>
      </c>
      <c r="W337">
        <f t="shared" si="251"/>
        <v>0</v>
      </c>
      <c r="X337">
        <f t="shared" si="252"/>
        <v>56869.34</v>
      </c>
      <c r="Y337">
        <f t="shared" si="253"/>
        <v>8124.19</v>
      </c>
      <c r="AA337">
        <v>-1</v>
      </c>
      <c r="AB337">
        <f t="shared" si="254"/>
        <v>1128.67</v>
      </c>
      <c r="AC337">
        <f>ROUND((ES337),6)</f>
        <v>0.31</v>
      </c>
      <c r="AD337">
        <f>ROUND((((ET337)-(EU337))+AE337),6)</f>
        <v>0</v>
      </c>
      <c r="AE337">
        <f>ROUND((EU337),6)</f>
        <v>0</v>
      </c>
      <c r="AF337">
        <f>ROUND((EV337),6)</f>
        <v>1128.3599999999999</v>
      </c>
      <c r="AG337">
        <f t="shared" si="256"/>
        <v>0</v>
      </c>
      <c r="AH337">
        <f>(EW337)</f>
        <v>1.59</v>
      </c>
      <c r="AI337">
        <f>(EX337)</f>
        <v>0</v>
      </c>
      <c r="AJ337">
        <f t="shared" si="258"/>
        <v>0</v>
      </c>
      <c r="AK337">
        <v>1128.67</v>
      </c>
      <c r="AL337">
        <v>0.31</v>
      </c>
      <c r="AM337">
        <v>0</v>
      </c>
      <c r="AN337">
        <v>0</v>
      </c>
      <c r="AO337">
        <v>1128.3599999999999</v>
      </c>
      <c r="AP337">
        <v>0</v>
      </c>
      <c r="AQ337">
        <v>1.59</v>
      </c>
      <c r="AR337">
        <v>0</v>
      </c>
      <c r="AS337">
        <v>0</v>
      </c>
      <c r="AT337">
        <v>70</v>
      </c>
      <c r="AU337">
        <v>10</v>
      </c>
      <c r="AV337">
        <v>1</v>
      </c>
      <c r="AW337">
        <v>1</v>
      </c>
      <c r="AZ337">
        <v>1</v>
      </c>
      <c r="BA337">
        <v>1</v>
      </c>
      <c r="BB337">
        <v>1</v>
      </c>
      <c r="BC337">
        <v>1</v>
      </c>
      <c r="BD337" t="s">
        <v>3</v>
      </c>
      <c r="BE337" t="s">
        <v>3</v>
      </c>
      <c r="BF337" t="s">
        <v>3</v>
      </c>
      <c r="BG337" t="s">
        <v>3</v>
      </c>
      <c r="BH337">
        <v>0</v>
      </c>
      <c r="BI337">
        <v>4</v>
      </c>
      <c r="BJ337" t="s">
        <v>282</v>
      </c>
      <c r="BM337">
        <v>0</v>
      </c>
      <c r="BN337">
        <v>0</v>
      </c>
      <c r="BO337" t="s">
        <v>3</v>
      </c>
      <c r="BP337">
        <v>0</v>
      </c>
      <c r="BQ337">
        <v>1</v>
      </c>
      <c r="BR337">
        <v>0</v>
      </c>
      <c r="BS337">
        <v>1</v>
      </c>
      <c r="BT337">
        <v>1</v>
      </c>
      <c r="BU337">
        <v>1</v>
      </c>
      <c r="BV337">
        <v>1</v>
      </c>
      <c r="BW337">
        <v>1</v>
      </c>
      <c r="BX337">
        <v>1</v>
      </c>
      <c r="BY337" t="s">
        <v>3</v>
      </c>
      <c r="BZ337">
        <v>70</v>
      </c>
      <c r="CA337">
        <v>10</v>
      </c>
      <c r="CB337" t="s">
        <v>3</v>
      </c>
      <c r="CE337">
        <v>0</v>
      </c>
      <c r="CF337">
        <v>0</v>
      </c>
      <c r="CG337">
        <v>0</v>
      </c>
      <c r="CM337">
        <v>0</v>
      </c>
      <c r="CN337" t="s">
        <v>3</v>
      </c>
      <c r="CO337">
        <v>0</v>
      </c>
      <c r="CP337">
        <f t="shared" si="259"/>
        <v>81264.240000000005</v>
      </c>
      <c r="CQ337">
        <f t="shared" si="260"/>
        <v>0.31</v>
      </c>
      <c r="CR337">
        <f>((((ET337)*BB337-(EU337)*BS337)+AE337*BS337)*AV337)</f>
        <v>0</v>
      </c>
      <c r="CS337">
        <f t="shared" si="261"/>
        <v>0</v>
      </c>
      <c r="CT337">
        <f t="shared" si="262"/>
        <v>1128.3599999999999</v>
      </c>
      <c r="CU337">
        <f t="shared" si="263"/>
        <v>0</v>
      </c>
      <c r="CV337">
        <f t="shared" si="264"/>
        <v>1.59</v>
      </c>
      <c r="CW337">
        <f t="shared" si="265"/>
        <v>0</v>
      </c>
      <c r="CX337">
        <f t="shared" si="266"/>
        <v>0</v>
      </c>
      <c r="CY337">
        <f t="shared" si="267"/>
        <v>56869.343999999997</v>
      </c>
      <c r="CZ337">
        <f t="shared" si="268"/>
        <v>8124.1919999999991</v>
      </c>
      <c r="DC337" t="s">
        <v>3</v>
      </c>
      <c r="DD337" t="s">
        <v>3</v>
      </c>
      <c r="DE337" t="s">
        <v>3</v>
      </c>
      <c r="DF337" t="s">
        <v>3</v>
      </c>
      <c r="DG337" t="s">
        <v>3</v>
      </c>
      <c r="DH337" t="s">
        <v>3</v>
      </c>
      <c r="DI337" t="s">
        <v>3</v>
      </c>
      <c r="DJ337" t="s">
        <v>3</v>
      </c>
      <c r="DK337" t="s">
        <v>3</v>
      </c>
      <c r="DL337" t="s">
        <v>3</v>
      </c>
      <c r="DM337" t="s">
        <v>3</v>
      </c>
      <c r="DN337">
        <v>0</v>
      </c>
      <c r="DO337">
        <v>0</v>
      </c>
      <c r="DP337">
        <v>1</v>
      </c>
      <c r="DQ337">
        <v>1</v>
      </c>
      <c r="DU337">
        <v>16987630</v>
      </c>
      <c r="DV337" t="s">
        <v>32</v>
      </c>
      <c r="DW337" t="s">
        <v>32</v>
      </c>
      <c r="DX337">
        <v>1</v>
      </c>
      <c r="DZ337" t="s">
        <v>3</v>
      </c>
      <c r="EA337" t="s">
        <v>3</v>
      </c>
      <c r="EB337" t="s">
        <v>3</v>
      </c>
      <c r="EC337" t="s">
        <v>3</v>
      </c>
      <c r="EE337">
        <v>1441815344</v>
      </c>
      <c r="EF337">
        <v>1</v>
      </c>
      <c r="EG337" t="s">
        <v>23</v>
      </c>
      <c r="EH337">
        <v>0</v>
      </c>
      <c r="EI337" t="s">
        <v>3</v>
      </c>
      <c r="EJ337">
        <v>4</v>
      </c>
      <c r="EK337">
        <v>0</v>
      </c>
      <c r="EL337" t="s">
        <v>24</v>
      </c>
      <c r="EM337" t="s">
        <v>25</v>
      </c>
      <c r="EO337" t="s">
        <v>3</v>
      </c>
      <c r="EQ337">
        <v>1836032</v>
      </c>
      <c r="ER337">
        <v>1128.67</v>
      </c>
      <c r="ES337">
        <v>0.31</v>
      </c>
      <c r="ET337">
        <v>0</v>
      </c>
      <c r="EU337">
        <v>0</v>
      </c>
      <c r="EV337">
        <v>1128.3599999999999</v>
      </c>
      <c r="EW337">
        <v>1.59</v>
      </c>
      <c r="EX337">
        <v>0</v>
      </c>
      <c r="EY337">
        <v>0</v>
      </c>
      <c r="FQ337">
        <v>0</v>
      </c>
      <c r="FR337">
        <f t="shared" si="269"/>
        <v>0</v>
      </c>
      <c r="FS337">
        <v>0</v>
      </c>
      <c r="FX337">
        <v>70</v>
      </c>
      <c r="FY337">
        <v>10</v>
      </c>
      <c r="GA337" t="s">
        <v>3</v>
      </c>
      <c r="GD337">
        <v>0</v>
      </c>
      <c r="GF337">
        <v>2029808212</v>
      </c>
      <c r="GG337">
        <v>2</v>
      </c>
      <c r="GH337">
        <v>1</v>
      </c>
      <c r="GI337">
        <v>-2</v>
      </c>
      <c r="GJ337">
        <v>0</v>
      </c>
      <c r="GK337">
        <f>ROUND(R337*(R12)/100,2)</f>
        <v>0</v>
      </c>
      <c r="GL337">
        <f t="shared" si="270"/>
        <v>0</v>
      </c>
      <c r="GM337">
        <f t="shared" si="271"/>
        <v>146257.76999999999</v>
      </c>
      <c r="GN337">
        <f t="shared" si="272"/>
        <v>0</v>
      </c>
      <c r="GO337">
        <f t="shared" si="273"/>
        <v>0</v>
      </c>
      <c r="GP337">
        <f t="shared" si="274"/>
        <v>146257.76999999999</v>
      </c>
      <c r="GR337">
        <v>0</v>
      </c>
      <c r="GS337">
        <v>3</v>
      </c>
      <c r="GT337">
        <v>0</v>
      </c>
      <c r="GU337" t="s">
        <v>3</v>
      </c>
      <c r="GV337">
        <f t="shared" si="275"/>
        <v>0</v>
      </c>
      <c r="GW337">
        <v>1</v>
      </c>
      <c r="GX337">
        <f t="shared" si="276"/>
        <v>0</v>
      </c>
      <c r="HA337">
        <v>0</v>
      </c>
      <c r="HB337">
        <v>0</v>
      </c>
      <c r="HC337">
        <f t="shared" si="277"/>
        <v>0</v>
      </c>
      <c r="HE337" t="s">
        <v>3</v>
      </c>
      <c r="HF337" t="s">
        <v>3</v>
      </c>
      <c r="HM337" t="s">
        <v>3</v>
      </c>
      <c r="HN337" t="s">
        <v>3</v>
      </c>
      <c r="HO337" t="s">
        <v>3</v>
      </c>
      <c r="HP337" t="s">
        <v>3</v>
      </c>
      <c r="HQ337" t="s">
        <v>3</v>
      </c>
      <c r="IK337">
        <v>0</v>
      </c>
    </row>
    <row r="338" spans="1:245" x14ac:dyDescent="0.2">
      <c r="A338">
        <v>17</v>
      </c>
      <c r="B338">
        <v>1</v>
      </c>
      <c r="D338">
        <f>ROW(EtalonRes!A184)</f>
        <v>184</v>
      </c>
      <c r="E338" t="s">
        <v>283</v>
      </c>
      <c r="F338" t="s">
        <v>284</v>
      </c>
      <c r="G338" t="s">
        <v>285</v>
      </c>
      <c r="H338" t="s">
        <v>32</v>
      </c>
      <c r="I338">
        <f>ROUND(2*3,9)</f>
        <v>6</v>
      </c>
      <c r="J338">
        <v>0</v>
      </c>
      <c r="K338">
        <f>ROUND(2*3,9)</f>
        <v>6</v>
      </c>
      <c r="O338">
        <f t="shared" si="243"/>
        <v>533.28</v>
      </c>
      <c r="P338">
        <f t="shared" si="244"/>
        <v>13.2</v>
      </c>
      <c r="Q338">
        <f t="shared" si="245"/>
        <v>1.38</v>
      </c>
      <c r="R338">
        <f t="shared" si="246"/>
        <v>0</v>
      </c>
      <c r="S338">
        <f t="shared" si="247"/>
        <v>518.70000000000005</v>
      </c>
      <c r="T338">
        <f t="shared" si="248"/>
        <v>0</v>
      </c>
      <c r="U338">
        <f t="shared" si="249"/>
        <v>0.84000000000000008</v>
      </c>
      <c r="V338">
        <f t="shared" si="250"/>
        <v>0</v>
      </c>
      <c r="W338">
        <f t="shared" si="251"/>
        <v>0</v>
      </c>
      <c r="X338">
        <f t="shared" si="252"/>
        <v>363.09</v>
      </c>
      <c r="Y338">
        <f t="shared" si="253"/>
        <v>51.87</v>
      </c>
      <c r="AA338">
        <v>1472224561</v>
      </c>
      <c r="AB338">
        <f t="shared" si="254"/>
        <v>88.88</v>
      </c>
      <c r="AC338">
        <f>ROUND((ES338),6)</f>
        <v>2.2000000000000002</v>
      </c>
      <c r="AD338">
        <f>ROUND((((ET338)-(EU338))+AE338),6)</f>
        <v>0.23</v>
      </c>
      <c r="AE338">
        <f>ROUND((EU338),6)</f>
        <v>0</v>
      </c>
      <c r="AF338">
        <f>ROUND((EV338),6)</f>
        <v>86.45</v>
      </c>
      <c r="AG338">
        <f t="shared" si="256"/>
        <v>0</v>
      </c>
      <c r="AH338">
        <f>(EW338)</f>
        <v>0.14000000000000001</v>
      </c>
      <c r="AI338">
        <f>(EX338)</f>
        <v>0</v>
      </c>
      <c r="AJ338">
        <f t="shared" si="258"/>
        <v>0</v>
      </c>
      <c r="AK338">
        <v>88.88</v>
      </c>
      <c r="AL338">
        <v>2.2000000000000002</v>
      </c>
      <c r="AM338">
        <v>0.23</v>
      </c>
      <c r="AN338">
        <v>0</v>
      </c>
      <c r="AO338">
        <v>86.45</v>
      </c>
      <c r="AP338">
        <v>0</v>
      </c>
      <c r="AQ338">
        <v>0.14000000000000001</v>
      </c>
      <c r="AR338">
        <v>0</v>
      </c>
      <c r="AS338">
        <v>0</v>
      </c>
      <c r="AT338">
        <v>70</v>
      </c>
      <c r="AU338">
        <v>10</v>
      </c>
      <c r="AV338">
        <v>1</v>
      </c>
      <c r="AW338">
        <v>1</v>
      </c>
      <c r="AZ338">
        <v>1</v>
      </c>
      <c r="BA338">
        <v>1</v>
      </c>
      <c r="BB338">
        <v>1</v>
      </c>
      <c r="BC338">
        <v>1</v>
      </c>
      <c r="BD338" t="s">
        <v>3</v>
      </c>
      <c r="BE338" t="s">
        <v>3</v>
      </c>
      <c r="BF338" t="s">
        <v>3</v>
      </c>
      <c r="BG338" t="s">
        <v>3</v>
      </c>
      <c r="BH338">
        <v>0</v>
      </c>
      <c r="BI338">
        <v>4</v>
      </c>
      <c r="BJ338" t="s">
        <v>286</v>
      </c>
      <c r="BM338">
        <v>0</v>
      </c>
      <c r="BN338">
        <v>0</v>
      </c>
      <c r="BO338" t="s">
        <v>3</v>
      </c>
      <c r="BP338">
        <v>0</v>
      </c>
      <c r="BQ338">
        <v>1</v>
      </c>
      <c r="BR338">
        <v>0</v>
      </c>
      <c r="BS338">
        <v>1</v>
      </c>
      <c r="BT338">
        <v>1</v>
      </c>
      <c r="BU338">
        <v>1</v>
      </c>
      <c r="BV338">
        <v>1</v>
      </c>
      <c r="BW338">
        <v>1</v>
      </c>
      <c r="BX338">
        <v>1</v>
      </c>
      <c r="BY338" t="s">
        <v>3</v>
      </c>
      <c r="BZ338">
        <v>70</v>
      </c>
      <c r="CA338">
        <v>10</v>
      </c>
      <c r="CB338" t="s">
        <v>3</v>
      </c>
      <c r="CE338">
        <v>0</v>
      </c>
      <c r="CF338">
        <v>0</v>
      </c>
      <c r="CG338">
        <v>0</v>
      </c>
      <c r="CM338">
        <v>0</v>
      </c>
      <c r="CN338" t="s">
        <v>3</v>
      </c>
      <c r="CO338">
        <v>0</v>
      </c>
      <c r="CP338">
        <f t="shared" si="259"/>
        <v>533.28000000000009</v>
      </c>
      <c r="CQ338">
        <f t="shared" si="260"/>
        <v>2.2000000000000002</v>
      </c>
      <c r="CR338">
        <f>((((ET338)*BB338-(EU338)*BS338)+AE338*BS338)*AV338)</f>
        <v>0.23</v>
      </c>
      <c r="CS338">
        <f t="shared" si="261"/>
        <v>0</v>
      </c>
      <c r="CT338">
        <f t="shared" si="262"/>
        <v>86.45</v>
      </c>
      <c r="CU338">
        <f t="shared" si="263"/>
        <v>0</v>
      </c>
      <c r="CV338">
        <f t="shared" si="264"/>
        <v>0.14000000000000001</v>
      </c>
      <c r="CW338">
        <f t="shared" si="265"/>
        <v>0</v>
      </c>
      <c r="CX338">
        <f t="shared" si="266"/>
        <v>0</v>
      </c>
      <c r="CY338">
        <f t="shared" si="267"/>
        <v>363.09</v>
      </c>
      <c r="CZ338">
        <f t="shared" si="268"/>
        <v>51.87</v>
      </c>
      <c r="DC338" t="s">
        <v>3</v>
      </c>
      <c r="DD338" t="s">
        <v>3</v>
      </c>
      <c r="DE338" t="s">
        <v>3</v>
      </c>
      <c r="DF338" t="s">
        <v>3</v>
      </c>
      <c r="DG338" t="s">
        <v>3</v>
      </c>
      <c r="DH338" t="s">
        <v>3</v>
      </c>
      <c r="DI338" t="s">
        <v>3</v>
      </c>
      <c r="DJ338" t="s">
        <v>3</v>
      </c>
      <c r="DK338" t="s">
        <v>3</v>
      </c>
      <c r="DL338" t="s">
        <v>3</v>
      </c>
      <c r="DM338" t="s">
        <v>3</v>
      </c>
      <c r="DN338">
        <v>0</v>
      </c>
      <c r="DO338">
        <v>0</v>
      </c>
      <c r="DP338">
        <v>1</v>
      </c>
      <c r="DQ338">
        <v>1</v>
      </c>
      <c r="DU338">
        <v>16987630</v>
      </c>
      <c r="DV338" t="s">
        <v>32</v>
      </c>
      <c r="DW338" t="s">
        <v>32</v>
      </c>
      <c r="DX338">
        <v>1</v>
      </c>
      <c r="DZ338" t="s">
        <v>3</v>
      </c>
      <c r="EA338" t="s">
        <v>3</v>
      </c>
      <c r="EB338" t="s">
        <v>3</v>
      </c>
      <c r="EC338" t="s">
        <v>3</v>
      </c>
      <c r="EE338">
        <v>1441815344</v>
      </c>
      <c r="EF338">
        <v>1</v>
      </c>
      <c r="EG338" t="s">
        <v>23</v>
      </c>
      <c r="EH338">
        <v>0</v>
      </c>
      <c r="EI338" t="s">
        <v>3</v>
      </c>
      <c r="EJ338">
        <v>4</v>
      </c>
      <c r="EK338">
        <v>0</v>
      </c>
      <c r="EL338" t="s">
        <v>24</v>
      </c>
      <c r="EM338" t="s">
        <v>25</v>
      </c>
      <c r="EO338" t="s">
        <v>3</v>
      </c>
      <c r="EQ338">
        <v>0</v>
      </c>
      <c r="ER338">
        <v>88.88</v>
      </c>
      <c r="ES338">
        <v>2.2000000000000002</v>
      </c>
      <c r="ET338">
        <v>0.23</v>
      </c>
      <c r="EU338">
        <v>0</v>
      </c>
      <c r="EV338">
        <v>86.45</v>
      </c>
      <c r="EW338">
        <v>0.14000000000000001</v>
      </c>
      <c r="EX338">
        <v>0</v>
      </c>
      <c r="EY338">
        <v>0</v>
      </c>
      <c r="FQ338">
        <v>0</v>
      </c>
      <c r="FR338">
        <f t="shared" si="269"/>
        <v>0</v>
      </c>
      <c r="FS338">
        <v>0</v>
      </c>
      <c r="FX338">
        <v>70</v>
      </c>
      <c r="FY338">
        <v>10</v>
      </c>
      <c r="GA338" t="s">
        <v>3</v>
      </c>
      <c r="GD338">
        <v>0</v>
      </c>
      <c r="GF338">
        <v>-129403832</v>
      </c>
      <c r="GG338">
        <v>2</v>
      </c>
      <c r="GH338">
        <v>1</v>
      </c>
      <c r="GI338">
        <v>-2</v>
      </c>
      <c r="GJ338">
        <v>0</v>
      </c>
      <c r="GK338">
        <f>ROUND(R338*(R12)/100,2)</f>
        <v>0</v>
      </c>
      <c r="GL338">
        <f t="shared" si="270"/>
        <v>0</v>
      </c>
      <c r="GM338">
        <f t="shared" si="271"/>
        <v>948.24</v>
      </c>
      <c r="GN338">
        <f t="shared" si="272"/>
        <v>0</v>
      </c>
      <c r="GO338">
        <f t="shared" si="273"/>
        <v>0</v>
      </c>
      <c r="GP338">
        <f t="shared" si="274"/>
        <v>948.24</v>
      </c>
      <c r="GR338">
        <v>0</v>
      </c>
      <c r="GS338">
        <v>3</v>
      </c>
      <c r="GT338">
        <v>0</v>
      </c>
      <c r="GU338" t="s">
        <v>3</v>
      </c>
      <c r="GV338">
        <f t="shared" si="275"/>
        <v>0</v>
      </c>
      <c r="GW338">
        <v>1</v>
      </c>
      <c r="GX338">
        <f t="shared" si="276"/>
        <v>0</v>
      </c>
      <c r="HA338">
        <v>0</v>
      </c>
      <c r="HB338">
        <v>0</v>
      </c>
      <c r="HC338">
        <f t="shared" si="277"/>
        <v>0</v>
      </c>
      <c r="HE338" t="s">
        <v>3</v>
      </c>
      <c r="HF338" t="s">
        <v>3</v>
      </c>
      <c r="HM338" t="s">
        <v>3</v>
      </c>
      <c r="HN338" t="s">
        <v>3</v>
      </c>
      <c r="HO338" t="s">
        <v>3</v>
      </c>
      <c r="HP338" t="s">
        <v>3</v>
      </c>
      <c r="HQ338" t="s">
        <v>3</v>
      </c>
      <c r="IK338">
        <v>0</v>
      </c>
    </row>
    <row r="339" spans="1:245" x14ac:dyDescent="0.2">
      <c r="A339">
        <v>17</v>
      </c>
      <c r="B339">
        <v>1</v>
      </c>
      <c r="D339">
        <f>ROW(EtalonRes!A185)</f>
        <v>185</v>
      </c>
      <c r="E339" t="s">
        <v>3</v>
      </c>
      <c r="F339" t="s">
        <v>287</v>
      </c>
      <c r="G339" t="s">
        <v>288</v>
      </c>
      <c r="H339" t="s">
        <v>37</v>
      </c>
      <c r="I339">
        <f>ROUND(2*3/10,9)</f>
        <v>0.6</v>
      </c>
      <c r="J339">
        <v>0</v>
      </c>
      <c r="K339">
        <f>ROUND(2*3/10,9)</f>
        <v>0.6</v>
      </c>
      <c r="O339">
        <f t="shared" si="243"/>
        <v>374.06</v>
      </c>
      <c r="P339">
        <f t="shared" si="244"/>
        <v>0</v>
      </c>
      <c r="Q339">
        <f t="shared" si="245"/>
        <v>0</v>
      </c>
      <c r="R339">
        <f t="shared" si="246"/>
        <v>0</v>
      </c>
      <c r="S339">
        <f t="shared" si="247"/>
        <v>374.06</v>
      </c>
      <c r="T339">
        <f t="shared" si="248"/>
        <v>0</v>
      </c>
      <c r="U339">
        <f t="shared" si="249"/>
        <v>0.73799999999999999</v>
      </c>
      <c r="V339">
        <f t="shared" si="250"/>
        <v>0</v>
      </c>
      <c r="W339">
        <f t="shared" si="251"/>
        <v>0</v>
      </c>
      <c r="X339">
        <f t="shared" si="252"/>
        <v>261.83999999999997</v>
      </c>
      <c r="Y339">
        <f t="shared" si="253"/>
        <v>37.409999999999997</v>
      </c>
      <c r="AA339">
        <v>-1</v>
      </c>
      <c r="AB339">
        <f t="shared" si="254"/>
        <v>623.42999999999995</v>
      </c>
      <c r="AC339">
        <f>ROUND(((ES339*3)),6)</f>
        <v>0</v>
      </c>
      <c r="AD339">
        <f>ROUND(((((ET339*3))-((EU339*3)))+AE339),6)</f>
        <v>0</v>
      </c>
      <c r="AE339">
        <f>ROUND(((EU339*3)),6)</f>
        <v>0</v>
      </c>
      <c r="AF339">
        <f>ROUND(((EV339*3)),6)</f>
        <v>623.42999999999995</v>
      </c>
      <c r="AG339">
        <f t="shared" si="256"/>
        <v>0</v>
      </c>
      <c r="AH339">
        <f>((EW339*3))</f>
        <v>1.23</v>
      </c>
      <c r="AI339">
        <f>((EX339*3))</f>
        <v>0</v>
      </c>
      <c r="AJ339">
        <f t="shared" si="258"/>
        <v>0</v>
      </c>
      <c r="AK339">
        <v>207.81</v>
      </c>
      <c r="AL339">
        <v>0</v>
      </c>
      <c r="AM339">
        <v>0</v>
      </c>
      <c r="AN339">
        <v>0</v>
      </c>
      <c r="AO339">
        <v>207.81</v>
      </c>
      <c r="AP339">
        <v>0</v>
      </c>
      <c r="AQ339">
        <v>0.41</v>
      </c>
      <c r="AR339">
        <v>0</v>
      </c>
      <c r="AS339">
        <v>0</v>
      </c>
      <c r="AT339">
        <v>70</v>
      </c>
      <c r="AU339">
        <v>10</v>
      </c>
      <c r="AV339">
        <v>1</v>
      </c>
      <c r="AW339">
        <v>1</v>
      </c>
      <c r="AZ339">
        <v>1</v>
      </c>
      <c r="BA339">
        <v>1</v>
      </c>
      <c r="BB339">
        <v>1</v>
      </c>
      <c r="BC339">
        <v>1</v>
      </c>
      <c r="BD339" t="s">
        <v>3</v>
      </c>
      <c r="BE339" t="s">
        <v>3</v>
      </c>
      <c r="BF339" t="s">
        <v>3</v>
      </c>
      <c r="BG339" t="s">
        <v>3</v>
      </c>
      <c r="BH339">
        <v>0</v>
      </c>
      <c r="BI339">
        <v>4</v>
      </c>
      <c r="BJ339" t="s">
        <v>289</v>
      </c>
      <c r="BM339">
        <v>0</v>
      </c>
      <c r="BN339">
        <v>0</v>
      </c>
      <c r="BO339" t="s">
        <v>3</v>
      </c>
      <c r="BP339">
        <v>0</v>
      </c>
      <c r="BQ339">
        <v>1</v>
      </c>
      <c r="BR339">
        <v>0</v>
      </c>
      <c r="BS339">
        <v>1</v>
      </c>
      <c r="BT339">
        <v>1</v>
      </c>
      <c r="BU339">
        <v>1</v>
      </c>
      <c r="BV339">
        <v>1</v>
      </c>
      <c r="BW339">
        <v>1</v>
      </c>
      <c r="BX339">
        <v>1</v>
      </c>
      <c r="BY339" t="s">
        <v>3</v>
      </c>
      <c r="BZ339">
        <v>70</v>
      </c>
      <c r="CA339">
        <v>10</v>
      </c>
      <c r="CB339" t="s">
        <v>3</v>
      </c>
      <c r="CE339">
        <v>0</v>
      </c>
      <c r="CF339">
        <v>0</v>
      </c>
      <c r="CG339">
        <v>0</v>
      </c>
      <c r="CM339">
        <v>0</v>
      </c>
      <c r="CN339" t="s">
        <v>3</v>
      </c>
      <c r="CO339">
        <v>0</v>
      </c>
      <c r="CP339">
        <f t="shared" si="259"/>
        <v>374.06</v>
      </c>
      <c r="CQ339">
        <f t="shared" si="260"/>
        <v>0</v>
      </c>
      <c r="CR339">
        <f>(((((ET339*3))*BB339-((EU339*3))*BS339)+AE339*BS339)*AV339)</f>
        <v>0</v>
      </c>
      <c r="CS339">
        <f t="shared" si="261"/>
        <v>0</v>
      </c>
      <c r="CT339">
        <f t="shared" si="262"/>
        <v>623.42999999999995</v>
      </c>
      <c r="CU339">
        <f t="shared" si="263"/>
        <v>0</v>
      </c>
      <c r="CV339">
        <f t="shared" si="264"/>
        <v>1.23</v>
      </c>
      <c r="CW339">
        <f t="shared" si="265"/>
        <v>0</v>
      </c>
      <c r="CX339">
        <f t="shared" si="266"/>
        <v>0</v>
      </c>
      <c r="CY339">
        <f t="shared" si="267"/>
        <v>261.84199999999998</v>
      </c>
      <c r="CZ339">
        <f t="shared" si="268"/>
        <v>37.405999999999999</v>
      </c>
      <c r="DC339" t="s">
        <v>3</v>
      </c>
      <c r="DD339" t="s">
        <v>290</v>
      </c>
      <c r="DE339" t="s">
        <v>290</v>
      </c>
      <c r="DF339" t="s">
        <v>290</v>
      </c>
      <c r="DG339" t="s">
        <v>290</v>
      </c>
      <c r="DH339" t="s">
        <v>3</v>
      </c>
      <c r="DI339" t="s">
        <v>290</v>
      </c>
      <c r="DJ339" t="s">
        <v>290</v>
      </c>
      <c r="DK339" t="s">
        <v>3</v>
      </c>
      <c r="DL339" t="s">
        <v>3</v>
      </c>
      <c r="DM339" t="s">
        <v>3</v>
      </c>
      <c r="DN339">
        <v>0</v>
      </c>
      <c r="DO339">
        <v>0</v>
      </c>
      <c r="DP339">
        <v>1</v>
      </c>
      <c r="DQ339">
        <v>1</v>
      </c>
      <c r="DU339">
        <v>16987630</v>
      </c>
      <c r="DV339" t="s">
        <v>37</v>
      </c>
      <c r="DW339" t="s">
        <v>37</v>
      </c>
      <c r="DX339">
        <v>10</v>
      </c>
      <c r="DZ339" t="s">
        <v>3</v>
      </c>
      <c r="EA339" t="s">
        <v>3</v>
      </c>
      <c r="EB339" t="s">
        <v>3</v>
      </c>
      <c r="EC339" t="s">
        <v>3</v>
      </c>
      <c r="EE339">
        <v>1441815344</v>
      </c>
      <c r="EF339">
        <v>1</v>
      </c>
      <c r="EG339" t="s">
        <v>23</v>
      </c>
      <c r="EH339">
        <v>0</v>
      </c>
      <c r="EI339" t="s">
        <v>3</v>
      </c>
      <c r="EJ339">
        <v>4</v>
      </c>
      <c r="EK339">
        <v>0</v>
      </c>
      <c r="EL339" t="s">
        <v>24</v>
      </c>
      <c r="EM339" t="s">
        <v>25</v>
      </c>
      <c r="EO339" t="s">
        <v>3</v>
      </c>
      <c r="EQ339">
        <v>1024</v>
      </c>
      <c r="ER339">
        <v>207.81</v>
      </c>
      <c r="ES339">
        <v>0</v>
      </c>
      <c r="ET339">
        <v>0</v>
      </c>
      <c r="EU339">
        <v>0</v>
      </c>
      <c r="EV339">
        <v>207.81</v>
      </c>
      <c r="EW339">
        <v>0.41</v>
      </c>
      <c r="EX339">
        <v>0</v>
      </c>
      <c r="EY339">
        <v>0</v>
      </c>
      <c r="FQ339">
        <v>0</v>
      </c>
      <c r="FR339">
        <f t="shared" si="269"/>
        <v>0</v>
      </c>
      <c r="FS339">
        <v>0</v>
      </c>
      <c r="FX339">
        <v>70</v>
      </c>
      <c r="FY339">
        <v>10</v>
      </c>
      <c r="GA339" t="s">
        <v>3</v>
      </c>
      <c r="GD339">
        <v>0</v>
      </c>
      <c r="GF339">
        <v>1497006217</v>
      </c>
      <c r="GG339">
        <v>2</v>
      </c>
      <c r="GH339">
        <v>1</v>
      </c>
      <c r="GI339">
        <v>-2</v>
      </c>
      <c r="GJ339">
        <v>0</v>
      </c>
      <c r="GK339">
        <f>ROUND(R339*(R12)/100,2)</f>
        <v>0</v>
      </c>
      <c r="GL339">
        <f t="shared" si="270"/>
        <v>0</v>
      </c>
      <c r="GM339">
        <f t="shared" si="271"/>
        <v>673.31</v>
      </c>
      <c r="GN339">
        <f t="shared" si="272"/>
        <v>0</v>
      </c>
      <c r="GO339">
        <f t="shared" si="273"/>
        <v>0</v>
      </c>
      <c r="GP339">
        <f t="shared" si="274"/>
        <v>673.31</v>
      </c>
      <c r="GR339">
        <v>0</v>
      </c>
      <c r="GS339">
        <v>3</v>
      </c>
      <c r="GT339">
        <v>0</v>
      </c>
      <c r="GU339" t="s">
        <v>3</v>
      </c>
      <c r="GV339">
        <f t="shared" si="275"/>
        <v>0</v>
      </c>
      <c r="GW339">
        <v>1</v>
      </c>
      <c r="GX339">
        <f t="shared" si="276"/>
        <v>0</v>
      </c>
      <c r="HA339">
        <v>0</v>
      </c>
      <c r="HB339">
        <v>0</v>
      </c>
      <c r="HC339">
        <f t="shared" si="277"/>
        <v>0</v>
      </c>
      <c r="HE339" t="s">
        <v>3</v>
      </c>
      <c r="HF339" t="s">
        <v>3</v>
      </c>
      <c r="HM339" t="s">
        <v>3</v>
      </c>
      <c r="HN339" t="s">
        <v>3</v>
      </c>
      <c r="HO339" t="s">
        <v>3</v>
      </c>
      <c r="HP339" t="s">
        <v>3</v>
      </c>
      <c r="HQ339" t="s">
        <v>3</v>
      </c>
      <c r="IK339">
        <v>0</v>
      </c>
    </row>
    <row r="340" spans="1:245" x14ac:dyDescent="0.2">
      <c r="A340">
        <v>17</v>
      </c>
      <c r="B340">
        <v>1</v>
      </c>
      <c r="D340">
        <f>ROW(EtalonRes!A186)</f>
        <v>186</v>
      </c>
      <c r="E340" t="s">
        <v>291</v>
      </c>
      <c r="F340" t="s">
        <v>35</v>
      </c>
      <c r="G340" t="s">
        <v>36</v>
      </c>
      <c r="H340" t="s">
        <v>37</v>
      </c>
      <c r="I340">
        <f>ROUND((80)*3/10,9)</f>
        <v>24</v>
      </c>
      <c r="J340">
        <v>0</v>
      </c>
      <c r="K340">
        <f>ROUND((80)*3/10,9)</f>
        <v>24</v>
      </c>
      <c r="O340">
        <f t="shared" si="243"/>
        <v>6668.88</v>
      </c>
      <c r="P340">
        <f t="shared" si="244"/>
        <v>0</v>
      </c>
      <c r="Q340">
        <f t="shared" si="245"/>
        <v>0</v>
      </c>
      <c r="R340">
        <f t="shared" si="246"/>
        <v>0</v>
      </c>
      <c r="S340">
        <f t="shared" si="247"/>
        <v>6668.88</v>
      </c>
      <c r="T340">
        <f t="shared" si="248"/>
        <v>0</v>
      </c>
      <c r="U340">
        <f t="shared" si="249"/>
        <v>10.8</v>
      </c>
      <c r="V340">
        <f t="shared" si="250"/>
        <v>0</v>
      </c>
      <c r="W340">
        <f t="shared" si="251"/>
        <v>0</v>
      </c>
      <c r="X340">
        <f t="shared" si="252"/>
        <v>4668.22</v>
      </c>
      <c r="Y340">
        <f t="shared" si="253"/>
        <v>666.89</v>
      </c>
      <c r="AA340">
        <v>1472224561</v>
      </c>
      <c r="AB340">
        <f t="shared" si="254"/>
        <v>277.87</v>
      </c>
      <c r="AC340">
        <f>ROUND((ES340),6)</f>
        <v>0</v>
      </c>
      <c r="AD340">
        <f>ROUND((((ET340)-(EU340))+AE340),6)</f>
        <v>0</v>
      </c>
      <c r="AE340">
        <f>ROUND((EU340),6)</f>
        <v>0</v>
      </c>
      <c r="AF340">
        <f>ROUND((EV340),6)</f>
        <v>277.87</v>
      </c>
      <c r="AG340">
        <f t="shared" si="256"/>
        <v>0</v>
      </c>
      <c r="AH340">
        <f>(EW340)</f>
        <v>0.45</v>
      </c>
      <c r="AI340">
        <f>(EX340)</f>
        <v>0</v>
      </c>
      <c r="AJ340">
        <f t="shared" si="258"/>
        <v>0</v>
      </c>
      <c r="AK340">
        <v>277.87</v>
      </c>
      <c r="AL340">
        <v>0</v>
      </c>
      <c r="AM340">
        <v>0</v>
      </c>
      <c r="AN340">
        <v>0</v>
      </c>
      <c r="AO340">
        <v>277.87</v>
      </c>
      <c r="AP340">
        <v>0</v>
      </c>
      <c r="AQ340">
        <v>0.45</v>
      </c>
      <c r="AR340">
        <v>0</v>
      </c>
      <c r="AS340">
        <v>0</v>
      </c>
      <c r="AT340">
        <v>70</v>
      </c>
      <c r="AU340">
        <v>10</v>
      </c>
      <c r="AV340">
        <v>1</v>
      </c>
      <c r="AW340">
        <v>1</v>
      </c>
      <c r="AZ340">
        <v>1</v>
      </c>
      <c r="BA340">
        <v>1</v>
      </c>
      <c r="BB340">
        <v>1</v>
      </c>
      <c r="BC340">
        <v>1</v>
      </c>
      <c r="BD340" t="s">
        <v>3</v>
      </c>
      <c r="BE340" t="s">
        <v>3</v>
      </c>
      <c r="BF340" t="s">
        <v>3</v>
      </c>
      <c r="BG340" t="s">
        <v>3</v>
      </c>
      <c r="BH340">
        <v>0</v>
      </c>
      <c r="BI340">
        <v>4</v>
      </c>
      <c r="BJ340" t="s">
        <v>38</v>
      </c>
      <c r="BM340">
        <v>0</v>
      </c>
      <c r="BN340">
        <v>0</v>
      </c>
      <c r="BO340" t="s">
        <v>3</v>
      </c>
      <c r="BP340">
        <v>0</v>
      </c>
      <c r="BQ340">
        <v>1</v>
      </c>
      <c r="BR340">
        <v>0</v>
      </c>
      <c r="BS340">
        <v>1</v>
      </c>
      <c r="BT340">
        <v>1</v>
      </c>
      <c r="BU340">
        <v>1</v>
      </c>
      <c r="BV340">
        <v>1</v>
      </c>
      <c r="BW340">
        <v>1</v>
      </c>
      <c r="BX340">
        <v>1</v>
      </c>
      <c r="BY340" t="s">
        <v>3</v>
      </c>
      <c r="BZ340">
        <v>70</v>
      </c>
      <c r="CA340">
        <v>10</v>
      </c>
      <c r="CB340" t="s">
        <v>3</v>
      </c>
      <c r="CE340">
        <v>0</v>
      </c>
      <c r="CF340">
        <v>0</v>
      </c>
      <c r="CG340">
        <v>0</v>
      </c>
      <c r="CM340">
        <v>0</v>
      </c>
      <c r="CN340" t="s">
        <v>3</v>
      </c>
      <c r="CO340">
        <v>0</v>
      </c>
      <c r="CP340">
        <f t="shared" si="259"/>
        <v>6668.88</v>
      </c>
      <c r="CQ340">
        <f t="shared" si="260"/>
        <v>0</v>
      </c>
      <c r="CR340">
        <f>((((ET340)*BB340-(EU340)*BS340)+AE340*BS340)*AV340)</f>
        <v>0</v>
      </c>
      <c r="CS340">
        <f t="shared" si="261"/>
        <v>0</v>
      </c>
      <c r="CT340">
        <f t="shared" si="262"/>
        <v>277.87</v>
      </c>
      <c r="CU340">
        <f t="shared" si="263"/>
        <v>0</v>
      </c>
      <c r="CV340">
        <f t="shared" si="264"/>
        <v>0.45</v>
      </c>
      <c r="CW340">
        <f t="shared" si="265"/>
        <v>0</v>
      </c>
      <c r="CX340">
        <f t="shared" si="266"/>
        <v>0</v>
      </c>
      <c r="CY340">
        <f t="shared" si="267"/>
        <v>4668.2160000000003</v>
      </c>
      <c r="CZ340">
        <f t="shared" si="268"/>
        <v>666.88800000000003</v>
      </c>
      <c r="DC340" t="s">
        <v>3</v>
      </c>
      <c r="DD340" t="s">
        <v>3</v>
      </c>
      <c r="DE340" t="s">
        <v>3</v>
      </c>
      <c r="DF340" t="s">
        <v>3</v>
      </c>
      <c r="DG340" t="s">
        <v>3</v>
      </c>
      <c r="DH340" t="s">
        <v>3</v>
      </c>
      <c r="DI340" t="s">
        <v>3</v>
      </c>
      <c r="DJ340" t="s">
        <v>3</v>
      </c>
      <c r="DK340" t="s">
        <v>3</v>
      </c>
      <c r="DL340" t="s">
        <v>3</v>
      </c>
      <c r="DM340" t="s">
        <v>3</v>
      </c>
      <c r="DN340">
        <v>0</v>
      </c>
      <c r="DO340">
        <v>0</v>
      </c>
      <c r="DP340">
        <v>1</v>
      </c>
      <c r="DQ340">
        <v>1</v>
      </c>
      <c r="DU340">
        <v>16987630</v>
      </c>
      <c r="DV340" t="s">
        <v>37</v>
      </c>
      <c r="DW340" t="s">
        <v>37</v>
      </c>
      <c r="DX340">
        <v>10</v>
      </c>
      <c r="DZ340" t="s">
        <v>3</v>
      </c>
      <c r="EA340" t="s">
        <v>3</v>
      </c>
      <c r="EB340" t="s">
        <v>3</v>
      </c>
      <c r="EC340" t="s">
        <v>3</v>
      </c>
      <c r="EE340">
        <v>1441815344</v>
      </c>
      <c r="EF340">
        <v>1</v>
      </c>
      <c r="EG340" t="s">
        <v>23</v>
      </c>
      <c r="EH340">
        <v>0</v>
      </c>
      <c r="EI340" t="s">
        <v>3</v>
      </c>
      <c r="EJ340">
        <v>4</v>
      </c>
      <c r="EK340">
        <v>0</v>
      </c>
      <c r="EL340" t="s">
        <v>24</v>
      </c>
      <c r="EM340" t="s">
        <v>25</v>
      </c>
      <c r="EO340" t="s">
        <v>3</v>
      </c>
      <c r="EQ340">
        <v>0</v>
      </c>
      <c r="ER340">
        <v>277.87</v>
      </c>
      <c r="ES340">
        <v>0</v>
      </c>
      <c r="ET340">
        <v>0</v>
      </c>
      <c r="EU340">
        <v>0</v>
      </c>
      <c r="EV340">
        <v>277.87</v>
      </c>
      <c r="EW340">
        <v>0.45</v>
      </c>
      <c r="EX340">
        <v>0</v>
      </c>
      <c r="EY340">
        <v>0</v>
      </c>
      <c r="FQ340">
        <v>0</v>
      </c>
      <c r="FR340">
        <f t="shared" si="269"/>
        <v>0</v>
      </c>
      <c r="FS340">
        <v>0</v>
      </c>
      <c r="FX340">
        <v>70</v>
      </c>
      <c r="FY340">
        <v>10</v>
      </c>
      <c r="GA340" t="s">
        <v>3</v>
      </c>
      <c r="GD340">
        <v>0</v>
      </c>
      <c r="GF340">
        <v>-559430364</v>
      </c>
      <c r="GG340">
        <v>2</v>
      </c>
      <c r="GH340">
        <v>1</v>
      </c>
      <c r="GI340">
        <v>-2</v>
      </c>
      <c r="GJ340">
        <v>0</v>
      </c>
      <c r="GK340">
        <f>ROUND(R340*(R12)/100,2)</f>
        <v>0</v>
      </c>
      <c r="GL340">
        <f t="shared" si="270"/>
        <v>0</v>
      </c>
      <c r="GM340">
        <f t="shared" si="271"/>
        <v>12003.99</v>
      </c>
      <c r="GN340">
        <f t="shared" si="272"/>
        <v>0</v>
      </c>
      <c r="GO340">
        <f t="shared" si="273"/>
        <v>0</v>
      </c>
      <c r="GP340">
        <f t="shared" si="274"/>
        <v>12003.99</v>
      </c>
      <c r="GR340">
        <v>0</v>
      </c>
      <c r="GS340">
        <v>3</v>
      </c>
      <c r="GT340">
        <v>0</v>
      </c>
      <c r="GU340" t="s">
        <v>3</v>
      </c>
      <c r="GV340">
        <f t="shared" si="275"/>
        <v>0</v>
      </c>
      <c r="GW340">
        <v>1</v>
      </c>
      <c r="GX340">
        <f t="shared" si="276"/>
        <v>0</v>
      </c>
      <c r="HA340">
        <v>0</v>
      </c>
      <c r="HB340">
        <v>0</v>
      </c>
      <c r="HC340">
        <f t="shared" si="277"/>
        <v>0</v>
      </c>
      <c r="HE340" t="s">
        <v>3</v>
      </c>
      <c r="HF340" t="s">
        <v>3</v>
      </c>
      <c r="HM340" t="s">
        <v>3</v>
      </c>
      <c r="HN340" t="s">
        <v>3</v>
      </c>
      <c r="HO340" t="s">
        <v>3</v>
      </c>
      <c r="HP340" t="s">
        <v>3</v>
      </c>
      <c r="HQ340" t="s">
        <v>3</v>
      </c>
      <c r="IK340">
        <v>0</v>
      </c>
    </row>
    <row r="341" spans="1:245" x14ac:dyDescent="0.2">
      <c r="A341">
        <v>17</v>
      </c>
      <c r="B341">
        <v>1</v>
      </c>
      <c r="D341">
        <f>ROW(EtalonRes!A188)</f>
        <v>188</v>
      </c>
      <c r="E341" t="s">
        <v>292</v>
      </c>
      <c r="F341" t="s">
        <v>293</v>
      </c>
      <c r="G341" t="s">
        <v>294</v>
      </c>
      <c r="H341" t="s">
        <v>37</v>
      </c>
      <c r="I341">
        <f>ROUND((10)*3/10,9)</f>
        <v>3</v>
      </c>
      <c r="J341">
        <v>0</v>
      </c>
      <c r="K341">
        <f>ROUND((10)*3/10,9)</f>
        <v>3</v>
      </c>
      <c r="O341">
        <f t="shared" si="243"/>
        <v>2817.63</v>
      </c>
      <c r="P341">
        <f t="shared" si="244"/>
        <v>1.89</v>
      </c>
      <c r="Q341">
        <f t="shared" si="245"/>
        <v>0</v>
      </c>
      <c r="R341">
        <f t="shared" si="246"/>
        <v>0</v>
      </c>
      <c r="S341">
        <f t="shared" si="247"/>
        <v>2815.74</v>
      </c>
      <c r="T341">
        <f t="shared" si="248"/>
        <v>0</v>
      </c>
      <c r="U341">
        <f t="shared" si="249"/>
        <v>4.5600000000000005</v>
      </c>
      <c r="V341">
        <f t="shared" si="250"/>
        <v>0</v>
      </c>
      <c r="W341">
        <f t="shared" si="251"/>
        <v>0</v>
      </c>
      <c r="X341">
        <f t="shared" si="252"/>
        <v>1971.02</v>
      </c>
      <c r="Y341">
        <f t="shared" si="253"/>
        <v>281.57</v>
      </c>
      <c r="AA341">
        <v>1472224561</v>
      </c>
      <c r="AB341">
        <f t="shared" si="254"/>
        <v>939.21</v>
      </c>
      <c r="AC341">
        <f>ROUND((ES341),6)</f>
        <v>0.63</v>
      </c>
      <c r="AD341">
        <f>ROUND((((ET341)-(EU341))+AE341),6)</f>
        <v>0</v>
      </c>
      <c r="AE341">
        <f>ROUND((EU341),6)</f>
        <v>0</v>
      </c>
      <c r="AF341">
        <f>ROUND((EV341),6)</f>
        <v>938.58</v>
      </c>
      <c r="AG341">
        <f t="shared" si="256"/>
        <v>0</v>
      </c>
      <c r="AH341">
        <f>(EW341)</f>
        <v>1.52</v>
      </c>
      <c r="AI341">
        <f>(EX341)</f>
        <v>0</v>
      </c>
      <c r="AJ341">
        <f t="shared" si="258"/>
        <v>0</v>
      </c>
      <c r="AK341">
        <v>939.21</v>
      </c>
      <c r="AL341">
        <v>0.63</v>
      </c>
      <c r="AM341">
        <v>0</v>
      </c>
      <c r="AN341">
        <v>0</v>
      </c>
      <c r="AO341">
        <v>938.58</v>
      </c>
      <c r="AP341">
        <v>0</v>
      </c>
      <c r="AQ341">
        <v>1.52</v>
      </c>
      <c r="AR341">
        <v>0</v>
      </c>
      <c r="AS341">
        <v>0</v>
      </c>
      <c r="AT341">
        <v>70</v>
      </c>
      <c r="AU341">
        <v>10</v>
      </c>
      <c r="AV341">
        <v>1</v>
      </c>
      <c r="AW341">
        <v>1</v>
      </c>
      <c r="AZ341">
        <v>1</v>
      </c>
      <c r="BA341">
        <v>1</v>
      </c>
      <c r="BB341">
        <v>1</v>
      </c>
      <c r="BC341">
        <v>1</v>
      </c>
      <c r="BD341" t="s">
        <v>3</v>
      </c>
      <c r="BE341" t="s">
        <v>3</v>
      </c>
      <c r="BF341" t="s">
        <v>3</v>
      </c>
      <c r="BG341" t="s">
        <v>3</v>
      </c>
      <c r="BH341">
        <v>0</v>
      </c>
      <c r="BI341">
        <v>4</v>
      </c>
      <c r="BJ341" t="s">
        <v>295</v>
      </c>
      <c r="BM341">
        <v>0</v>
      </c>
      <c r="BN341">
        <v>0</v>
      </c>
      <c r="BO341" t="s">
        <v>3</v>
      </c>
      <c r="BP341">
        <v>0</v>
      </c>
      <c r="BQ341">
        <v>1</v>
      </c>
      <c r="BR341">
        <v>0</v>
      </c>
      <c r="BS341">
        <v>1</v>
      </c>
      <c r="BT341">
        <v>1</v>
      </c>
      <c r="BU341">
        <v>1</v>
      </c>
      <c r="BV341">
        <v>1</v>
      </c>
      <c r="BW341">
        <v>1</v>
      </c>
      <c r="BX341">
        <v>1</v>
      </c>
      <c r="BY341" t="s">
        <v>3</v>
      </c>
      <c r="BZ341">
        <v>70</v>
      </c>
      <c r="CA341">
        <v>10</v>
      </c>
      <c r="CB341" t="s">
        <v>3</v>
      </c>
      <c r="CE341">
        <v>0</v>
      </c>
      <c r="CF341">
        <v>0</v>
      </c>
      <c r="CG341">
        <v>0</v>
      </c>
      <c r="CM341">
        <v>0</v>
      </c>
      <c r="CN341" t="s">
        <v>3</v>
      </c>
      <c r="CO341">
        <v>0</v>
      </c>
      <c r="CP341">
        <f t="shared" si="259"/>
        <v>2817.6299999999997</v>
      </c>
      <c r="CQ341">
        <f t="shared" si="260"/>
        <v>0.63</v>
      </c>
      <c r="CR341">
        <f>((((ET341)*BB341-(EU341)*BS341)+AE341*BS341)*AV341)</f>
        <v>0</v>
      </c>
      <c r="CS341">
        <f t="shared" si="261"/>
        <v>0</v>
      </c>
      <c r="CT341">
        <f t="shared" si="262"/>
        <v>938.58</v>
      </c>
      <c r="CU341">
        <f t="shared" si="263"/>
        <v>0</v>
      </c>
      <c r="CV341">
        <f t="shared" si="264"/>
        <v>1.52</v>
      </c>
      <c r="CW341">
        <f t="shared" si="265"/>
        <v>0</v>
      </c>
      <c r="CX341">
        <f t="shared" si="266"/>
        <v>0</v>
      </c>
      <c r="CY341">
        <f t="shared" si="267"/>
        <v>1971.0179999999998</v>
      </c>
      <c r="CZ341">
        <f t="shared" si="268"/>
        <v>281.57399999999996</v>
      </c>
      <c r="DC341" t="s">
        <v>3</v>
      </c>
      <c r="DD341" t="s">
        <v>3</v>
      </c>
      <c r="DE341" t="s">
        <v>3</v>
      </c>
      <c r="DF341" t="s">
        <v>3</v>
      </c>
      <c r="DG341" t="s">
        <v>3</v>
      </c>
      <c r="DH341" t="s">
        <v>3</v>
      </c>
      <c r="DI341" t="s">
        <v>3</v>
      </c>
      <c r="DJ341" t="s">
        <v>3</v>
      </c>
      <c r="DK341" t="s">
        <v>3</v>
      </c>
      <c r="DL341" t="s">
        <v>3</v>
      </c>
      <c r="DM341" t="s">
        <v>3</v>
      </c>
      <c r="DN341">
        <v>0</v>
      </c>
      <c r="DO341">
        <v>0</v>
      </c>
      <c r="DP341">
        <v>1</v>
      </c>
      <c r="DQ341">
        <v>1</v>
      </c>
      <c r="DU341">
        <v>16987630</v>
      </c>
      <c r="DV341" t="s">
        <v>37</v>
      </c>
      <c r="DW341" t="s">
        <v>37</v>
      </c>
      <c r="DX341">
        <v>10</v>
      </c>
      <c r="DZ341" t="s">
        <v>3</v>
      </c>
      <c r="EA341" t="s">
        <v>3</v>
      </c>
      <c r="EB341" t="s">
        <v>3</v>
      </c>
      <c r="EC341" t="s">
        <v>3</v>
      </c>
      <c r="EE341">
        <v>1441815344</v>
      </c>
      <c r="EF341">
        <v>1</v>
      </c>
      <c r="EG341" t="s">
        <v>23</v>
      </c>
      <c r="EH341">
        <v>0</v>
      </c>
      <c r="EI341" t="s">
        <v>3</v>
      </c>
      <c r="EJ341">
        <v>4</v>
      </c>
      <c r="EK341">
        <v>0</v>
      </c>
      <c r="EL341" t="s">
        <v>24</v>
      </c>
      <c r="EM341" t="s">
        <v>25</v>
      </c>
      <c r="EO341" t="s">
        <v>3</v>
      </c>
      <c r="EQ341">
        <v>0</v>
      </c>
      <c r="ER341">
        <v>939.21</v>
      </c>
      <c r="ES341">
        <v>0.63</v>
      </c>
      <c r="ET341">
        <v>0</v>
      </c>
      <c r="EU341">
        <v>0</v>
      </c>
      <c r="EV341">
        <v>938.58</v>
      </c>
      <c r="EW341">
        <v>1.52</v>
      </c>
      <c r="EX341">
        <v>0</v>
      </c>
      <c r="EY341">
        <v>0</v>
      </c>
      <c r="FQ341">
        <v>0</v>
      </c>
      <c r="FR341">
        <f t="shared" si="269"/>
        <v>0</v>
      </c>
      <c r="FS341">
        <v>0</v>
      </c>
      <c r="FX341">
        <v>70</v>
      </c>
      <c r="FY341">
        <v>10</v>
      </c>
      <c r="GA341" t="s">
        <v>3</v>
      </c>
      <c r="GD341">
        <v>0</v>
      </c>
      <c r="GF341">
        <v>923339554</v>
      </c>
      <c r="GG341">
        <v>2</v>
      </c>
      <c r="GH341">
        <v>1</v>
      </c>
      <c r="GI341">
        <v>-2</v>
      </c>
      <c r="GJ341">
        <v>0</v>
      </c>
      <c r="GK341">
        <f>ROUND(R341*(R12)/100,2)</f>
        <v>0</v>
      </c>
      <c r="GL341">
        <f t="shared" si="270"/>
        <v>0</v>
      </c>
      <c r="GM341">
        <f t="shared" si="271"/>
        <v>5070.22</v>
      </c>
      <c r="GN341">
        <f t="shared" si="272"/>
        <v>0</v>
      </c>
      <c r="GO341">
        <f t="shared" si="273"/>
        <v>0</v>
      </c>
      <c r="GP341">
        <f t="shared" si="274"/>
        <v>5070.22</v>
      </c>
      <c r="GR341">
        <v>0</v>
      </c>
      <c r="GS341">
        <v>3</v>
      </c>
      <c r="GT341">
        <v>0</v>
      </c>
      <c r="GU341" t="s">
        <v>3</v>
      </c>
      <c r="GV341">
        <f t="shared" si="275"/>
        <v>0</v>
      </c>
      <c r="GW341">
        <v>1</v>
      </c>
      <c r="GX341">
        <f t="shared" si="276"/>
        <v>0</v>
      </c>
      <c r="HA341">
        <v>0</v>
      </c>
      <c r="HB341">
        <v>0</v>
      </c>
      <c r="HC341">
        <f t="shared" si="277"/>
        <v>0</v>
      </c>
      <c r="HE341" t="s">
        <v>3</v>
      </c>
      <c r="HF341" t="s">
        <v>3</v>
      </c>
      <c r="HM341" t="s">
        <v>3</v>
      </c>
      <c r="HN341" t="s">
        <v>3</v>
      </c>
      <c r="HO341" t="s">
        <v>3</v>
      </c>
      <c r="HP341" t="s">
        <v>3</v>
      </c>
      <c r="HQ341" t="s">
        <v>3</v>
      </c>
      <c r="IK341">
        <v>0</v>
      </c>
    </row>
    <row r="342" spans="1:245" x14ac:dyDescent="0.2">
      <c r="A342">
        <v>17</v>
      </c>
      <c r="B342">
        <v>1</v>
      </c>
      <c r="D342">
        <f>ROW(EtalonRes!A189)</f>
        <v>189</v>
      </c>
      <c r="E342" t="s">
        <v>3</v>
      </c>
      <c r="F342" t="s">
        <v>18</v>
      </c>
      <c r="G342" t="s">
        <v>19</v>
      </c>
      <c r="H342" t="s">
        <v>20</v>
      </c>
      <c r="I342">
        <f>ROUND((314+568+30+343)*0.25*3*0.1/100,9)</f>
        <v>0.94125000000000003</v>
      </c>
      <c r="J342">
        <v>0</v>
      </c>
      <c r="K342">
        <f>ROUND((314+568+30+343)*0.25*3*0.1/100,9)</f>
        <v>0.94125000000000003</v>
      </c>
      <c r="O342">
        <f t="shared" si="243"/>
        <v>1904.9</v>
      </c>
      <c r="P342">
        <f t="shared" si="244"/>
        <v>0</v>
      </c>
      <c r="Q342">
        <f t="shared" si="245"/>
        <v>0</v>
      </c>
      <c r="R342">
        <f t="shared" si="246"/>
        <v>0</v>
      </c>
      <c r="S342">
        <f t="shared" si="247"/>
        <v>1904.9</v>
      </c>
      <c r="T342">
        <f t="shared" si="248"/>
        <v>0</v>
      </c>
      <c r="U342">
        <f t="shared" si="249"/>
        <v>3.3885000000000001</v>
      </c>
      <c r="V342">
        <f t="shared" si="250"/>
        <v>0</v>
      </c>
      <c r="W342">
        <f t="shared" si="251"/>
        <v>0</v>
      </c>
      <c r="X342">
        <f t="shared" si="252"/>
        <v>1333.43</v>
      </c>
      <c r="Y342">
        <f t="shared" si="253"/>
        <v>190.49</v>
      </c>
      <c r="AA342">
        <v>-1</v>
      </c>
      <c r="AB342">
        <f t="shared" si="254"/>
        <v>2023.8</v>
      </c>
      <c r="AC342">
        <f>ROUND(((ES342*4)),6)</f>
        <v>0</v>
      </c>
      <c r="AD342">
        <f>ROUND(((((ET342*4))-((EU342*4)))+AE342),6)</f>
        <v>0</v>
      </c>
      <c r="AE342">
        <f>ROUND(((EU342*4)),6)</f>
        <v>0</v>
      </c>
      <c r="AF342">
        <f>ROUND(((EV342*4)),6)</f>
        <v>2023.8</v>
      </c>
      <c r="AG342">
        <f t="shared" si="256"/>
        <v>0</v>
      </c>
      <c r="AH342">
        <f>((EW342*4))</f>
        <v>3.6</v>
      </c>
      <c r="AI342">
        <f>((EX342*4))</f>
        <v>0</v>
      </c>
      <c r="AJ342">
        <f t="shared" si="258"/>
        <v>0</v>
      </c>
      <c r="AK342">
        <v>505.95</v>
      </c>
      <c r="AL342">
        <v>0</v>
      </c>
      <c r="AM342">
        <v>0</v>
      </c>
      <c r="AN342">
        <v>0</v>
      </c>
      <c r="AO342">
        <v>505.95</v>
      </c>
      <c r="AP342">
        <v>0</v>
      </c>
      <c r="AQ342">
        <v>0.9</v>
      </c>
      <c r="AR342">
        <v>0</v>
      </c>
      <c r="AS342">
        <v>0</v>
      </c>
      <c r="AT342">
        <v>70</v>
      </c>
      <c r="AU342">
        <v>10</v>
      </c>
      <c r="AV342">
        <v>1</v>
      </c>
      <c r="AW342">
        <v>1</v>
      </c>
      <c r="AZ342">
        <v>1</v>
      </c>
      <c r="BA342">
        <v>1</v>
      </c>
      <c r="BB342">
        <v>1</v>
      </c>
      <c r="BC342">
        <v>1</v>
      </c>
      <c r="BD342" t="s">
        <v>3</v>
      </c>
      <c r="BE342" t="s">
        <v>3</v>
      </c>
      <c r="BF342" t="s">
        <v>3</v>
      </c>
      <c r="BG342" t="s">
        <v>3</v>
      </c>
      <c r="BH342">
        <v>0</v>
      </c>
      <c r="BI342">
        <v>4</v>
      </c>
      <c r="BJ342" t="s">
        <v>21</v>
      </c>
      <c r="BM342">
        <v>0</v>
      </c>
      <c r="BN342">
        <v>0</v>
      </c>
      <c r="BO342" t="s">
        <v>3</v>
      </c>
      <c r="BP342">
        <v>0</v>
      </c>
      <c r="BQ342">
        <v>1</v>
      </c>
      <c r="BR342">
        <v>0</v>
      </c>
      <c r="BS342">
        <v>1</v>
      </c>
      <c r="BT342">
        <v>1</v>
      </c>
      <c r="BU342">
        <v>1</v>
      </c>
      <c r="BV342">
        <v>1</v>
      </c>
      <c r="BW342">
        <v>1</v>
      </c>
      <c r="BX342">
        <v>1</v>
      </c>
      <c r="BY342" t="s">
        <v>3</v>
      </c>
      <c r="BZ342">
        <v>70</v>
      </c>
      <c r="CA342">
        <v>10</v>
      </c>
      <c r="CB342" t="s">
        <v>3</v>
      </c>
      <c r="CE342">
        <v>0</v>
      </c>
      <c r="CF342">
        <v>0</v>
      </c>
      <c r="CG342">
        <v>0</v>
      </c>
      <c r="CM342">
        <v>0</v>
      </c>
      <c r="CN342" t="s">
        <v>3</v>
      </c>
      <c r="CO342">
        <v>0</v>
      </c>
      <c r="CP342">
        <f t="shared" si="259"/>
        <v>1904.9</v>
      </c>
      <c r="CQ342">
        <f t="shared" si="260"/>
        <v>0</v>
      </c>
      <c r="CR342">
        <f>(((((ET342*4))*BB342-((EU342*4))*BS342)+AE342*BS342)*AV342)</f>
        <v>0</v>
      </c>
      <c r="CS342">
        <f t="shared" si="261"/>
        <v>0</v>
      </c>
      <c r="CT342">
        <f t="shared" si="262"/>
        <v>2023.8</v>
      </c>
      <c r="CU342">
        <f t="shared" si="263"/>
        <v>0</v>
      </c>
      <c r="CV342">
        <f t="shared" si="264"/>
        <v>3.6</v>
      </c>
      <c r="CW342">
        <f t="shared" si="265"/>
        <v>0</v>
      </c>
      <c r="CX342">
        <f t="shared" si="266"/>
        <v>0</v>
      </c>
      <c r="CY342">
        <f t="shared" si="267"/>
        <v>1333.43</v>
      </c>
      <c r="CZ342">
        <f t="shared" si="268"/>
        <v>190.49</v>
      </c>
      <c r="DC342" t="s">
        <v>3</v>
      </c>
      <c r="DD342" t="s">
        <v>22</v>
      </c>
      <c r="DE342" t="s">
        <v>22</v>
      </c>
      <c r="DF342" t="s">
        <v>22</v>
      </c>
      <c r="DG342" t="s">
        <v>22</v>
      </c>
      <c r="DH342" t="s">
        <v>3</v>
      </c>
      <c r="DI342" t="s">
        <v>22</v>
      </c>
      <c r="DJ342" t="s">
        <v>22</v>
      </c>
      <c r="DK342" t="s">
        <v>3</v>
      </c>
      <c r="DL342" t="s">
        <v>3</v>
      </c>
      <c r="DM342" t="s">
        <v>3</v>
      </c>
      <c r="DN342">
        <v>0</v>
      </c>
      <c r="DO342">
        <v>0</v>
      </c>
      <c r="DP342">
        <v>1</v>
      </c>
      <c r="DQ342">
        <v>1</v>
      </c>
      <c r="DU342">
        <v>1003</v>
      </c>
      <c r="DV342" t="s">
        <v>20</v>
      </c>
      <c r="DW342" t="s">
        <v>20</v>
      </c>
      <c r="DX342">
        <v>100</v>
      </c>
      <c r="DZ342" t="s">
        <v>3</v>
      </c>
      <c r="EA342" t="s">
        <v>3</v>
      </c>
      <c r="EB342" t="s">
        <v>3</v>
      </c>
      <c r="EC342" t="s">
        <v>3</v>
      </c>
      <c r="EE342">
        <v>1441815344</v>
      </c>
      <c r="EF342">
        <v>1</v>
      </c>
      <c r="EG342" t="s">
        <v>23</v>
      </c>
      <c r="EH342">
        <v>0</v>
      </c>
      <c r="EI342" t="s">
        <v>3</v>
      </c>
      <c r="EJ342">
        <v>4</v>
      </c>
      <c r="EK342">
        <v>0</v>
      </c>
      <c r="EL342" t="s">
        <v>24</v>
      </c>
      <c r="EM342" t="s">
        <v>25</v>
      </c>
      <c r="EO342" t="s">
        <v>3</v>
      </c>
      <c r="EQ342">
        <v>1024</v>
      </c>
      <c r="ER342">
        <v>505.95</v>
      </c>
      <c r="ES342">
        <v>0</v>
      </c>
      <c r="ET342">
        <v>0</v>
      </c>
      <c r="EU342">
        <v>0</v>
      </c>
      <c r="EV342">
        <v>505.95</v>
      </c>
      <c r="EW342">
        <v>0.9</v>
      </c>
      <c r="EX342">
        <v>0</v>
      </c>
      <c r="EY342">
        <v>0</v>
      </c>
      <c r="FQ342">
        <v>0</v>
      </c>
      <c r="FR342">
        <f t="shared" si="269"/>
        <v>0</v>
      </c>
      <c r="FS342">
        <v>0</v>
      </c>
      <c r="FX342">
        <v>70</v>
      </c>
      <c r="FY342">
        <v>10</v>
      </c>
      <c r="GA342" t="s">
        <v>3</v>
      </c>
      <c r="GD342">
        <v>0</v>
      </c>
      <c r="GF342">
        <v>-341239612</v>
      </c>
      <c r="GG342">
        <v>2</v>
      </c>
      <c r="GH342">
        <v>1</v>
      </c>
      <c r="GI342">
        <v>-2</v>
      </c>
      <c r="GJ342">
        <v>0</v>
      </c>
      <c r="GK342">
        <f>ROUND(R342*(R12)/100,2)</f>
        <v>0</v>
      </c>
      <c r="GL342">
        <f t="shared" si="270"/>
        <v>0</v>
      </c>
      <c r="GM342">
        <f t="shared" si="271"/>
        <v>3428.82</v>
      </c>
      <c r="GN342">
        <f t="shared" si="272"/>
        <v>0</v>
      </c>
      <c r="GO342">
        <f t="shared" si="273"/>
        <v>0</v>
      </c>
      <c r="GP342">
        <f t="shared" si="274"/>
        <v>3428.82</v>
      </c>
      <c r="GR342">
        <v>0</v>
      </c>
      <c r="GS342">
        <v>3</v>
      </c>
      <c r="GT342">
        <v>0</v>
      </c>
      <c r="GU342" t="s">
        <v>3</v>
      </c>
      <c r="GV342">
        <f t="shared" si="275"/>
        <v>0</v>
      </c>
      <c r="GW342">
        <v>1</v>
      </c>
      <c r="GX342">
        <f t="shared" si="276"/>
        <v>0</v>
      </c>
      <c r="HA342">
        <v>0</v>
      </c>
      <c r="HB342">
        <v>0</v>
      </c>
      <c r="HC342">
        <f t="shared" si="277"/>
        <v>0</v>
      </c>
      <c r="HE342" t="s">
        <v>3</v>
      </c>
      <c r="HF342" t="s">
        <v>3</v>
      </c>
      <c r="HM342" t="s">
        <v>3</v>
      </c>
      <c r="HN342" t="s">
        <v>3</v>
      </c>
      <c r="HO342" t="s">
        <v>3</v>
      </c>
      <c r="HP342" t="s">
        <v>3</v>
      </c>
      <c r="HQ342" t="s">
        <v>3</v>
      </c>
      <c r="IK342">
        <v>0</v>
      </c>
    </row>
    <row r="343" spans="1:245" x14ac:dyDescent="0.2">
      <c r="A343">
        <v>17</v>
      </c>
      <c r="B343">
        <v>1</v>
      </c>
      <c r="D343">
        <f>ROW(EtalonRes!A190)</f>
        <v>190</v>
      </c>
      <c r="E343" t="s">
        <v>3</v>
      </c>
      <c r="F343" t="s">
        <v>26</v>
      </c>
      <c r="G343" t="s">
        <v>27</v>
      </c>
      <c r="H343" t="s">
        <v>20</v>
      </c>
      <c r="I343">
        <f>ROUND((314+568+30+343)*0.75*3*0.1/100,9)</f>
        <v>2.82375</v>
      </c>
      <c r="J343">
        <v>0</v>
      </c>
      <c r="K343">
        <f>ROUND((314+568+30+343)*0.75*3*0.1/100,9)</f>
        <v>2.82375</v>
      </c>
      <c r="O343">
        <f t="shared" si="243"/>
        <v>30732.68</v>
      </c>
      <c r="P343">
        <f t="shared" si="244"/>
        <v>0</v>
      </c>
      <c r="Q343">
        <f t="shared" si="245"/>
        <v>0</v>
      </c>
      <c r="R343">
        <f t="shared" si="246"/>
        <v>0</v>
      </c>
      <c r="S343">
        <f t="shared" si="247"/>
        <v>30732.68</v>
      </c>
      <c r="T343">
        <f t="shared" si="248"/>
        <v>0</v>
      </c>
      <c r="U343">
        <f t="shared" si="249"/>
        <v>54.6678</v>
      </c>
      <c r="V343">
        <f t="shared" si="250"/>
        <v>0</v>
      </c>
      <c r="W343">
        <f t="shared" si="251"/>
        <v>0</v>
      </c>
      <c r="X343">
        <f t="shared" si="252"/>
        <v>21512.880000000001</v>
      </c>
      <c r="Y343">
        <f t="shared" si="253"/>
        <v>3073.27</v>
      </c>
      <c r="AA343">
        <v>-1</v>
      </c>
      <c r="AB343">
        <f t="shared" si="254"/>
        <v>10883.64</v>
      </c>
      <c r="AC343">
        <f>ROUND(((ES343*4)),6)</f>
        <v>0</v>
      </c>
      <c r="AD343">
        <f>ROUND(((((ET343*4))-((EU343*4)))+AE343),6)</f>
        <v>0</v>
      </c>
      <c r="AE343">
        <f>ROUND(((EU343*4)),6)</f>
        <v>0</v>
      </c>
      <c r="AF343">
        <f>ROUND(((EV343*4)),6)</f>
        <v>10883.64</v>
      </c>
      <c r="AG343">
        <f t="shared" si="256"/>
        <v>0</v>
      </c>
      <c r="AH343">
        <f>((EW343*4))</f>
        <v>19.36</v>
      </c>
      <c r="AI343">
        <f>((EX343*4))</f>
        <v>0</v>
      </c>
      <c r="AJ343">
        <f t="shared" si="258"/>
        <v>0</v>
      </c>
      <c r="AK343">
        <v>2720.91</v>
      </c>
      <c r="AL343">
        <v>0</v>
      </c>
      <c r="AM343">
        <v>0</v>
      </c>
      <c r="AN343">
        <v>0</v>
      </c>
      <c r="AO343">
        <v>2720.91</v>
      </c>
      <c r="AP343">
        <v>0</v>
      </c>
      <c r="AQ343">
        <v>4.84</v>
      </c>
      <c r="AR343">
        <v>0</v>
      </c>
      <c r="AS343">
        <v>0</v>
      </c>
      <c r="AT343">
        <v>70</v>
      </c>
      <c r="AU343">
        <v>10</v>
      </c>
      <c r="AV343">
        <v>1</v>
      </c>
      <c r="AW343">
        <v>1</v>
      </c>
      <c r="AZ343">
        <v>1</v>
      </c>
      <c r="BA343">
        <v>1</v>
      </c>
      <c r="BB343">
        <v>1</v>
      </c>
      <c r="BC343">
        <v>1</v>
      </c>
      <c r="BD343" t="s">
        <v>3</v>
      </c>
      <c r="BE343" t="s">
        <v>3</v>
      </c>
      <c r="BF343" t="s">
        <v>3</v>
      </c>
      <c r="BG343" t="s">
        <v>3</v>
      </c>
      <c r="BH343">
        <v>0</v>
      </c>
      <c r="BI343">
        <v>4</v>
      </c>
      <c r="BJ343" t="s">
        <v>28</v>
      </c>
      <c r="BM343">
        <v>0</v>
      </c>
      <c r="BN343">
        <v>0</v>
      </c>
      <c r="BO343" t="s">
        <v>3</v>
      </c>
      <c r="BP343">
        <v>0</v>
      </c>
      <c r="BQ343">
        <v>1</v>
      </c>
      <c r="BR343">
        <v>0</v>
      </c>
      <c r="BS343">
        <v>1</v>
      </c>
      <c r="BT343">
        <v>1</v>
      </c>
      <c r="BU343">
        <v>1</v>
      </c>
      <c r="BV343">
        <v>1</v>
      </c>
      <c r="BW343">
        <v>1</v>
      </c>
      <c r="BX343">
        <v>1</v>
      </c>
      <c r="BY343" t="s">
        <v>3</v>
      </c>
      <c r="BZ343">
        <v>70</v>
      </c>
      <c r="CA343">
        <v>10</v>
      </c>
      <c r="CB343" t="s">
        <v>3</v>
      </c>
      <c r="CE343">
        <v>0</v>
      </c>
      <c r="CF343">
        <v>0</v>
      </c>
      <c r="CG343">
        <v>0</v>
      </c>
      <c r="CM343">
        <v>0</v>
      </c>
      <c r="CN343" t="s">
        <v>3</v>
      </c>
      <c r="CO343">
        <v>0</v>
      </c>
      <c r="CP343">
        <f t="shared" si="259"/>
        <v>30732.68</v>
      </c>
      <c r="CQ343">
        <f t="shared" si="260"/>
        <v>0</v>
      </c>
      <c r="CR343">
        <f>(((((ET343*4))*BB343-((EU343*4))*BS343)+AE343*BS343)*AV343)</f>
        <v>0</v>
      </c>
      <c r="CS343">
        <f t="shared" si="261"/>
        <v>0</v>
      </c>
      <c r="CT343">
        <f t="shared" si="262"/>
        <v>10883.64</v>
      </c>
      <c r="CU343">
        <f t="shared" si="263"/>
        <v>0</v>
      </c>
      <c r="CV343">
        <f t="shared" si="264"/>
        <v>19.36</v>
      </c>
      <c r="CW343">
        <f t="shared" si="265"/>
        <v>0</v>
      </c>
      <c r="CX343">
        <f t="shared" si="266"/>
        <v>0</v>
      </c>
      <c r="CY343">
        <f t="shared" si="267"/>
        <v>21512.876</v>
      </c>
      <c r="CZ343">
        <f t="shared" si="268"/>
        <v>3073.268</v>
      </c>
      <c r="DC343" t="s">
        <v>3</v>
      </c>
      <c r="DD343" t="s">
        <v>22</v>
      </c>
      <c r="DE343" t="s">
        <v>22</v>
      </c>
      <c r="DF343" t="s">
        <v>22</v>
      </c>
      <c r="DG343" t="s">
        <v>22</v>
      </c>
      <c r="DH343" t="s">
        <v>3</v>
      </c>
      <c r="DI343" t="s">
        <v>22</v>
      </c>
      <c r="DJ343" t="s">
        <v>22</v>
      </c>
      <c r="DK343" t="s">
        <v>3</v>
      </c>
      <c r="DL343" t="s">
        <v>3</v>
      </c>
      <c r="DM343" t="s">
        <v>3</v>
      </c>
      <c r="DN343">
        <v>0</v>
      </c>
      <c r="DO343">
        <v>0</v>
      </c>
      <c r="DP343">
        <v>1</v>
      </c>
      <c r="DQ343">
        <v>1</v>
      </c>
      <c r="DU343">
        <v>1003</v>
      </c>
      <c r="DV343" t="s">
        <v>20</v>
      </c>
      <c r="DW343" t="s">
        <v>20</v>
      </c>
      <c r="DX343">
        <v>100</v>
      </c>
      <c r="DZ343" t="s">
        <v>3</v>
      </c>
      <c r="EA343" t="s">
        <v>3</v>
      </c>
      <c r="EB343" t="s">
        <v>3</v>
      </c>
      <c r="EC343" t="s">
        <v>3</v>
      </c>
      <c r="EE343">
        <v>1441815344</v>
      </c>
      <c r="EF343">
        <v>1</v>
      </c>
      <c r="EG343" t="s">
        <v>23</v>
      </c>
      <c r="EH343">
        <v>0</v>
      </c>
      <c r="EI343" t="s">
        <v>3</v>
      </c>
      <c r="EJ343">
        <v>4</v>
      </c>
      <c r="EK343">
        <v>0</v>
      </c>
      <c r="EL343" t="s">
        <v>24</v>
      </c>
      <c r="EM343" t="s">
        <v>25</v>
      </c>
      <c r="EO343" t="s">
        <v>3</v>
      </c>
      <c r="EQ343">
        <v>1024</v>
      </c>
      <c r="ER343">
        <v>2720.91</v>
      </c>
      <c r="ES343">
        <v>0</v>
      </c>
      <c r="ET343">
        <v>0</v>
      </c>
      <c r="EU343">
        <v>0</v>
      </c>
      <c r="EV343">
        <v>2720.91</v>
      </c>
      <c r="EW343">
        <v>4.84</v>
      </c>
      <c r="EX343">
        <v>0</v>
      </c>
      <c r="EY343">
        <v>0</v>
      </c>
      <c r="FQ343">
        <v>0</v>
      </c>
      <c r="FR343">
        <f t="shared" si="269"/>
        <v>0</v>
      </c>
      <c r="FS343">
        <v>0</v>
      </c>
      <c r="FX343">
        <v>70</v>
      </c>
      <c r="FY343">
        <v>10</v>
      </c>
      <c r="GA343" t="s">
        <v>3</v>
      </c>
      <c r="GD343">
        <v>0</v>
      </c>
      <c r="GF343">
        <v>-1706933960</v>
      </c>
      <c r="GG343">
        <v>2</v>
      </c>
      <c r="GH343">
        <v>1</v>
      </c>
      <c r="GI343">
        <v>-2</v>
      </c>
      <c r="GJ343">
        <v>0</v>
      </c>
      <c r="GK343">
        <f>ROUND(R343*(R12)/100,2)</f>
        <v>0</v>
      </c>
      <c r="GL343">
        <f t="shared" si="270"/>
        <v>0</v>
      </c>
      <c r="GM343">
        <f t="shared" si="271"/>
        <v>55318.83</v>
      </c>
      <c r="GN343">
        <f t="shared" si="272"/>
        <v>0</v>
      </c>
      <c r="GO343">
        <f t="shared" si="273"/>
        <v>0</v>
      </c>
      <c r="GP343">
        <f t="shared" si="274"/>
        <v>55318.83</v>
      </c>
      <c r="GR343">
        <v>0</v>
      </c>
      <c r="GS343">
        <v>3</v>
      </c>
      <c r="GT343">
        <v>0</v>
      </c>
      <c r="GU343" t="s">
        <v>3</v>
      </c>
      <c r="GV343">
        <f t="shared" si="275"/>
        <v>0</v>
      </c>
      <c r="GW343">
        <v>1</v>
      </c>
      <c r="GX343">
        <f t="shared" si="276"/>
        <v>0</v>
      </c>
      <c r="HA343">
        <v>0</v>
      </c>
      <c r="HB343">
        <v>0</v>
      </c>
      <c r="HC343">
        <f t="shared" si="277"/>
        <v>0</v>
      </c>
      <c r="HE343" t="s">
        <v>3</v>
      </c>
      <c r="HF343" t="s">
        <v>3</v>
      </c>
      <c r="HM343" t="s">
        <v>3</v>
      </c>
      <c r="HN343" t="s">
        <v>3</v>
      </c>
      <c r="HO343" t="s">
        <v>3</v>
      </c>
      <c r="HP343" t="s">
        <v>3</v>
      </c>
      <c r="HQ343" t="s">
        <v>3</v>
      </c>
      <c r="IK343">
        <v>0</v>
      </c>
    </row>
    <row r="344" spans="1:245" x14ac:dyDescent="0.2">
      <c r="A344">
        <v>17</v>
      </c>
      <c r="B344">
        <v>1</v>
      </c>
      <c r="D344">
        <f>ROW(EtalonRes!A196)</f>
        <v>196</v>
      </c>
      <c r="E344" t="s">
        <v>3</v>
      </c>
      <c r="F344" t="s">
        <v>296</v>
      </c>
      <c r="G344" t="s">
        <v>297</v>
      </c>
      <c r="H344" t="s">
        <v>20</v>
      </c>
      <c r="I344">
        <f>ROUND((314+568+30+343)*3/100,9)</f>
        <v>37.65</v>
      </c>
      <c r="J344">
        <v>0</v>
      </c>
      <c r="K344">
        <f>ROUND((314+568+30+343)*3/100,9)</f>
        <v>37.65</v>
      </c>
      <c r="O344">
        <f t="shared" si="243"/>
        <v>298438.38</v>
      </c>
      <c r="P344">
        <f t="shared" si="244"/>
        <v>2644.16</v>
      </c>
      <c r="Q344">
        <f t="shared" si="245"/>
        <v>1908.86</v>
      </c>
      <c r="R344">
        <f t="shared" si="246"/>
        <v>30.5</v>
      </c>
      <c r="S344">
        <f t="shared" si="247"/>
        <v>293885.36</v>
      </c>
      <c r="T344">
        <f t="shared" si="248"/>
        <v>0</v>
      </c>
      <c r="U344">
        <f t="shared" si="249"/>
        <v>400.596</v>
      </c>
      <c r="V344">
        <f t="shared" si="250"/>
        <v>0</v>
      </c>
      <c r="W344">
        <f t="shared" si="251"/>
        <v>0</v>
      </c>
      <c r="X344">
        <f t="shared" si="252"/>
        <v>205719.75</v>
      </c>
      <c r="Y344">
        <f t="shared" si="253"/>
        <v>29388.54</v>
      </c>
      <c r="AA344">
        <v>-1</v>
      </c>
      <c r="AB344">
        <f t="shared" si="254"/>
        <v>7926.65</v>
      </c>
      <c r="AC344">
        <f>ROUND((ES344),6)</f>
        <v>70.23</v>
      </c>
      <c r="AD344">
        <f>ROUND((((ET344)-(EU344))+AE344),6)</f>
        <v>50.7</v>
      </c>
      <c r="AE344">
        <f>ROUND((EU344),6)</f>
        <v>0.81</v>
      </c>
      <c r="AF344">
        <f>ROUND((EV344),6)</f>
        <v>7805.72</v>
      </c>
      <c r="AG344">
        <f t="shared" si="256"/>
        <v>0</v>
      </c>
      <c r="AH344">
        <f>(EW344)</f>
        <v>10.64</v>
      </c>
      <c r="AI344">
        <f>(EX344)</f>
        <v>0</v>
      </c>
      <c r="AJ344">
        <f t="shared" si="258"/>
        <v>0</v>
      </c>
      <c r="AK344">
        <v>7926.65</v>
      </c>
      <c r="AL344">
        <v>70.23</v>
      </c>
      <c r="AM344">
        <v>50.7</v>
      </c>
      <c r="AN344">
        <v>0.81</v>
      </c>
      <c r="AO344">
        <v>7805.72</v>
      </c>
      <c r="AP344">
        <v>0</v>
      </c>
      <c r="AQ344">
        <v>10.64</v>
      </c>
      <c r="AR344">
        <v>0</v>
      </c>
      <c r="AS344">
        <v>0</v>
      </c>
      <c r="AT344">
        <v>70</v>
      </c>
      <c r="AU344">
        <v>10</v>
      </c>
      <c r="AV344">
        <v>1</v>
      </c>
      <c r="AW344">
        <v>1</v>
      </c>
      <c r="AZ344">
        <v>1</v>
      </c>
      <c r="BA344">
        <v>1</v>
      </c>
      <c r="BB344">
        <v>1</v>
      </c>
      <c r="BC344">
        <v>1</v>
      </c>
      <c r="BD344" t="s">
        <v>3</v>
      </c>
      <c r="BE344" t="s">
        <v>3</v>
      </c>
      <c r="BF344" t="s">
        <v>3</v>
      </c>
      <c r="BG344" t="s">
        <v>3</v>
      </c>
      <c r="BH344">
        <v>0</v>
      </c>
      <c r="BI344">
        <v>4</v>
      </c>
      <c r="BJ344" t="s">
        <v>298</v>
      </c>
      <c r="BM344">
        <v>0</v>
      </c>
      <c r="BN344">
        <v>0</v>
      </c>
      <c r="BO344" t="s">
        <v>3</v>
      </c>
      <c r="BP344">
        <v>0</v>
      </c>
      <c r="BQ344">
        <v>1</v>
      </c>
      <c r="BR344">
        <v>0</v>
      </c>
      <c r="BS344">
        <v>1</v>
      </c>
      <c r="BT344">
        <v>1</v>
      </c>
      <c r="BU344">
        <v>1</v>
      </c>
      <c r="BV344">
        <v>1</v>
      </c>
      <c r="BW344">
        <v>1</v>
      </c>
      <c r="BX344">
        <v>1</v>
      </c>
      <c r="BY344" t="s">
        <v>3</v>
      </c>
      <c r="BZ344">
        <v>70</v>
      </c>
      <c r="CA344">
        <v>10</v>
      </c>
      <c r="CB344" t="s">
        <v>3</v>
      </c>
      <c r="CE344">
        <v>0</v>
      </c>
      <c r="CF344">
        <v>0</v>
      </c>
      <c r="CG344">
        <v>0</v>
      </c>
      <c r="CM344">
        <v>0</v>
      </c>
      <c r="CN344" t="s">
        <v>3</v>
      </c>
      <c r="CO344">
        <v>0</v>
      </c>
      <c r="CP344">
        <f t="shared" si="259"/>
        <v>298438.38</v>
      </c>
      <c r="CQ344">
        <f t="shared" si="260"/>
        <v>70.23</v>
      </c>
      <c r="CR344">
        <f>((((ET344)*BB344-(EU344)*BS344)+AE344*BS344)*AV344)</f>
        <v>50.7</v>
      </c>
      <c r="CS344">
        <f t="shared" si="261"/>
        <v>0.81</v>
      </c>
      <c r="CT344">
        <f t="shared" si="262"/>
        <v>7805.72</v>
      </c>
      <c r="CU344">
        <f t="shared" si="263"/>
        <v>0</v>
      </c>
      <c r="CV344">
        <f t="shared" si="264"/>
        <v>10.64</v>
      </c>
      <c r="CW344">
        <f t="shared" si="265"/>
        <v>0</v>
      </c>
      <c r="CX344">
        <f t="shared" si="266"/>
        <v>0</v>
      </c>
      <c r="CY344">
        <f t="shared" si="267"/>
        <v>205719.75199999998</v>
      </c>
      <c r="CZ344">
        <f t="shared" si="268"/>
        <v>29388.535999999996</v>
      </c>
      <c r="DC344" t="s">
        <v>3</v>
      </c>
      <c r="DD344" t="s">
        <v>3</v>
      </c>
      <c r="DE344" t="s">
        <v>3</v>
      </c>
      <c r="DF344" t="s">
        <v>3</v>
      </c>
      <c r="DG344" t="s">
        <v>3</v>
      </c>
      <c r="DH344" t="s">
        <v>3</v>
      </c>
      <c r="DI344" t="s">
        <v>3</v>
      </c>
      <c r="DJ344" t="s">
        <v>3</v>
      </c>
      <c r="DK344" t="s">
        <v>3</v>
      </c>
      <c r="DL344" t="s">
        <v>3</v>
      </c>
      <c r="DM344" t="s">
        <v>3</v>
      </c>
      <c r="DN344">
        <v>0</v>
      </c>
      <c r="DO344">
        <v>0</v>
      </c>
      <c r="DP344">
        <v>1</v>
      </c>
      <c r="DQ344">
        <v>1</v>
      </c>
      <c r="DU344">
        <v>1003</v>
      </c>
      <c r="DV344" t="s">
        <v>20</v>
      </c>
      <c r="DW344" t="s">
        <v>20</v>
      </c>
      <c r="DX344">
        <v>100</v>
      </c>
      <c r="DZ344" t="s">
        <v>3</v>
      </c>
      <c r="EA344" t="s">
        <v>3</v>
      </c>
      <c r="EB344" t="s">
        <v>3</v>
      </c>
      <c r="EC344" t="s">
        <v>3</v>
      </c>
      <c r="EE344">
        <v>1441815344</v>
      </c>
      <c r="EF344">
        <v>1</v>
      </c>
      <c r="EG344" t="s">
        <v>23</v>
      </c>
      <c r="EH344">
        <v>0</v>
      </c>
      <c r="EI344" t="s">
        <v>3</v>
      </c>
      <c r="EJ344">
        <v>4</v>
      </c>
      <c r="EK344">
        <v>0</v>
      </c>
      <c r="EL344" t="s">
        <v>24</v>
      </c>
      <c r="EM344" t="s">
        <v>25</v>
      </c>
      <c r="EO344" t="s">
        <v>3</v>
      </c>
      <c r="EQ344">
        <v>1024</v>
      </c>
      <c r="ER344">
        <v>7926.65</v>
      </c>
      <c r="ES344">
        <v>70.23</v>
      </c>
      <c r="ET344">
        <v>50.7</v>
      </c>
      <c r="EU344">
        <v>0.81</v>
      </c>
      <c r="EV344">
        <v>7805.72</v>
      </c>
      <c r="EW344">
        <v>10.64</v>
      </c>
      <c r="EX344">
        <v>0</v>
      </c>
      <c r="EY344">
        <v>0</v>
      </c>
      <c r="FQ344">
        <v>0</v>
      </c>
      <c r="FR344">
        <f t="shared" si="269"/>
        <v>0</v>
      </c>
      <c r="FS344">
        <v>0</v>
      </c>
      <c r="FX344">
        <v>70</v>
      </c>
      <c r="FY344">
        <v>10</v>
      </c>
      <c r="GA344" t="s">
        <v>3</v>
      </c>
      <c r="GD344">
        <v>0</v>
      </c>
      <c r="GF344">
        <v>1087258960</v>
      </c>
      <c r="GG344">
        <v>2</v>
      </c>
      <c r="GH344">
        <v>1</v>
      </c>
      <c r="GI344">
        <v>-2</v>
      </c>
      <c r="GJ344">
        <v>0</v>
      </c>
      <c r="GK344">
        <f>ROUND(R344*(R12)/100,2)</f>
        <v>32.94</v>
      </c>
      <c r="GL344">
        <f t="shared" si="270"/>
        <v>0</v>
      </c>
      <c r="GM344">
        <f t="shared" si="271"/>
        <v>533579.61</v>
      </c>
      <c r="GN344">
        <f t="shared" si="272"/>
        <v>0</v>
      </c>
      <c r="GO344">
        <f t="shared" si="273"/>
        <v>0</v>
      </c>
      <c r="GP344">
        <f t="shared" si="274"/>
        <v>533579.61</v>
      </c>
      <c r="GR344">
        <v>0</v>
      </c>
      <c r="GS344">
        <v>3</v>
      </c>
      <c r="GT344">
        <v>0</v>
      </c>
      <c r="GU344" t="s">
        <v>3</v>
      </c>
      <c r="GV344">
        <f t="shared" si="275"/>
        <v>0</v>
      </c>
      <c r="GW344">
        <v>1</v>
      </c>
      <c r="GX344">
        <f t="shared" si="276"/>
        <v>0</v>
      </c>
      <c r="HA344">
        <v>0</v>
      </c>
      <c r="HB344">
        <v>0</v>
      </c>
      <c r="HC344">
        <f t="shared" si="277"/>
        <v>0</v>
      </c>
      <c r="HE344" t="s">
        <v>3</v>
      </c>
      <c r="HF344" t="s">
        <v>3</v>
      </c>
      <c r="HM344" t="s">
        <v>3</v>
      </c>
      <c r="HN344" t="s">
        <v>3</v>
      </c>
      <c r="HO344" t="s">
        <v>3</v>
      </c>
      <c r="HP344" t="s">
        <v>3</v>
      </c>
      <c r="HQ344" t="s">
        <v>3</v>
      </c>
      <c r="IK344">
        <v>0</v>
      </c>
    </row>
    <row r="345" spans="1:245" x14ac:dyDescent="0.2">
      <c r="A345">
        <v>17</v>
      </c>
      <c r="B345">
        <v>1</v>
      </c>
      <c r="D345">
        <f>ROW(EtalonRes!A199)</f>
        <v>199</v>
      </c>
      <c r="E345" t="s">
        <v>3</v>
      </c>
      <c r="F345" t="s">
        <v>299</v>
      </c>
      <c r="G345" t="s">
        <v>300</v>
      </c>
      <c r="H345" t="s">
        <v>20</v>
      </c>
      <c r="I345">
        <f>ROUND((314+568+30+343)*3/100,9)</f>
        <v>37.65</v>
      </c>
      <c r="J345">
        <v>0</v>
      </c>
      <c r="K345">
        <f>ROUND((314+568+30+343)*3/100,9)</f>
        <v>37.65</v>
      </c>
      <c r="O345">
        <f t="shared" si="243"/>
        <v>62997.86</v>
      </c>
      <c r="P345">
        <f t="shared" si="244"/>
        <v>2125.34</v>
      </c>
      <c r="Q345">
        <f t="shared" si="245"/>
        <v>412.27</v>
      </c>
      <c r="R345">
        <f t="shared" si="246"/>
        <v>1.1299999999999999</v>
      </c>
      <c r="S345">
        <f t="shared" si="247"/>
        <v>60460.25</v>
      </c>
      <c r="T345">
        <f t="shared" si="248"/>
        <v>0</v>
      </c>
      <c r="U345">
        <f t="shared" si="249"/>
        <v>91.113</v>
      </c>
      <c r="V345">
        <f t="shared" si="250"/>
        <v>0</v>
      </c>
      <c r="W345">
        <f t="shared" si="251"/>
        <v>0</v>
      </c>
      <c r="X345">
        <f t="shared" si="252"/>
        <v>42322.18</v>
      </c>
      <c r="Y345">
        <f t="shared" si="253"/>
        <v>6046.03</v>
      </c>
      <c r="AA345">
        <v>-1</v>
      </c>
      <c r="AB345">
        <f t="shared" si="254"/>
        <v>1673.25</v>
      </c>
      <c r="AC345">
        <f>ROUND((ES345),6)</f>
        <v>56.45</v>
      </c>
      <c r="AD345">
        <f>ROUND((((ET345)-(EU345))+AE345),6)</f>
        <v>10.95</v>
      </c>
      <c r="AE345">
        <f>ROUND((EU345),6)</f>
        <v>0.03</v>
      </c>
      <c r="AF345">
        <f>ROUND((EV345),6)</f>
        <v>1605.85</v>
      </c>
      <c r="AG345">
        <f t="shared" si="256"/>
        <v>0</v>
      </c>
      <c r="AH345">
        <f>(EW345)</f>
        <v>2.42</v>
      </c>
      <c r="AI345">
        <f>(EX345)</f>
        <v>0</v>
      </c>
      <c r="AJ345">
        <f t="shared" si="258"/>
        <v>0</v>
      </c>
      <c r="AK345">
        <v>1673.25</v>
      </c>
      <c r="AL345">
        <v>56.45</v>
      </c>
      <c r="AM345">
        <v>10.95</v>
      </c>
      <c r="AN345">
        <v>0.03</v>
      </c>
      <c r="AO345">
        <v>1605.85</v>
      </c>
      <c r="AP345">
        <v>0</v>
      </c>
      <c r="AQ345">
        <v>2.42</v>
      </c>
      <c r="AR345">
        <v>0</v>
      </c>
      <c r="AS345">
        <v>0</v>
      </c>
      <c r="AT345">
        <v>70</v>
      </c>
      <c r="AU345">
        <v>10</v>
      </c>
      <c r="AV345">
        <v>1</v>
      </c>
      <c r="AW345">
        <v>1</v>
      </c>
      <c r="AZ345">
        <v>1</v>
      </c>
      <c r="BA345">
        <v>1</v>
      </c>
      <c r="BB345">
        <v>1</v>
      </c>
      <c r="BC345">
        <v>1</v>
      </c>
      <c r="BD345" t="s">
        <v>3</v>
      </c>
      <c r="BE345" t="s">
        <v>3</v>
      </c>
      <c r="BF345" t="s">
        <v>3</v>
      </c>
      <c r="BG345" t="s">
        <v>3</v>
      </c>
      <c r="BH345">
        <v>0</v>
      </c>
      <c r="BI345">
        <v>4</v>
      </c>
      <c r="BJ345" t="s">
        <v>301</v>
      </c>
      <c r="BM345">
        <v>0</v>
      </c>
      <c r="BN345">
        <v>0</v>
      </c>
      <c r="BO345" t="s">
        <v>3</v>
      </c>
      <c r="BP345">
        <v>0</v>
      </c>
      <c r="BQ345">
        <v>1</v>
      </c>
      <c r="BR345">
        <v>0</v>
      </c>
      <c r="BS345">
        <v>1</v>
      </c>
      <c r="BT345">
        <v>1</v>
      </c>
      <c r="BU345">
        <v>1</v>
      </c>
      <c r="BV345">
        <v>1</v>
      </c>
      <c r="BW345">
        <v>1</v>
      </c>
      <c r="BX345">
        <v>1</v>
      </c>
      <c r="BY345" t="s">
        <v>3</v>
      </c>
      <c r="BZ345">
        <v>70</v>
      </c>
      <c r="CA345">
        <v>10</v>
      </c>
      <c r="CB345" t="s">
        <v>3</v>
      </c>
      <c r="CE345">
        <v>0</v>
      </c>
      <c r="CF345">
        <v>0</v>
      </c>
      <c r="CG345">
        <v>0</v>
      </c>
      <c r="CM345">
        <v>0</v>
      </c>
      <c r="CN345" t="s">
        <v>3</v>
      </c>
      <c r="CO345">
        <v>0</v>
      </c>
      <c r="CP345">
        <f t="shared" si="259"/>
        <v>62997.86</v>
      </c>
      <c r="CQ345">
        <f t="shared" si="260"/>
        <v>56.45</v>
      </c>
      <c r="CR345">
        <f>((((ET345)*BB345-(EU345)*BS345)+AE345*BS345)*AV345)</f>
        <v>10.95</v>
      </c>
      <c r="CS345">
        <f t="shared" si="261"/>
        <v>0.03</v>
      </c>
      <c r="CT345">
        <f t="shared" si="262"/>
        <v>1605.85</v>
      </c>
      <c r="CU345">
        <f t="shared" si="263"/>
        <v>0</v>
      </c>
      <c r="CV345">
        <f t="shared" si="264"/>
        <v>2.42</v>
      </c>
      <c r="CW345">
        <f t="shared" si="265"/>
        <v>0</v>
      </c>
      <c r="CX345">
        <f t="shared" si="266"/>
        <v>0</v>
      </c>
      <c r="CY345">
        <f t="shared" si="267"/>
        <v>42322.175000000003</v>
      </c>
      <c r="CZ345">
        <f t="shared" si="268"/>
        <v>6046.0249999999996</v>
      </c>
      <c r="DC345" t="s">
        <v>3</v>
      </c>
      <c r="DD345" t="s">
        <v>3</v>
      </c>
      <c r="DE345" t="s">
        <v>3</v>
      </c>
      <c r="DF345" t="s">
        <v>3</v>
      </c>
      <c r="DG345" t="s">
        <v>3</v>
      </c>
      <c r="DH345" t="s">
        <v>3</v>
      </c>
      <c r="DI345" t="s">
        <v>3</v>
      </c>
      <c r="DJ345" t="s">
        <v>3</v>
      </c>
      <c r="DK345" t="s">
        <v>3</v>
      </c>
      <c r="DL345" t="s">
        <v>3</v>
      </c>
      <c r="DM345" t="s">
        <v>3</v>
      </c>
      <c r="DN345">
        <v>0</v>
      </c>
      <c r="DO345">
        <v>0</v>
      </c>
      <c r="DP345">
        <v>1</v>
      </c>
      <c r="DQ345">
        <v>1</v>
      </c>
      <c r="DU345">
        <v>1003</v>
      </c>
      <c r="DV345" t="s">
        <v>20</v>
      </c>
      <c r="DW345" t="s">
        <v>20</v>
      </c>
      <c r="DX345">
        <v>100</v>
      </c>
      <c r="DZ345" t="s">
        <v>3</v>
      </c>
      <c r="EA345" t="s">
        <v>3</v>
      </c>
      <c r="EB345" t="s">
        <v>3</v>
      </c>
      <c r="EC345" t="s">
        <v>3</v>
      </c>
      <c r="EE345">
        <v>1441815344</v>
      </c>
      <c r="EF345">
        <v>1</v>
      </c>
      <c r="EG345" t="s">
        <v>23</v>
      </c>
      <c r="EH345">
        <v>0</v>
      </c>
      <c r="EI345" t="s">
        <v>3</v>
      </c>
      <c r="EJ345">
        <v>4</v>
      </c>
      <c r="EK345">
        <v>0</v>
      </c>
      <c r="EL345" t="s">
        <v>24</v>
      </c>
      <c r="EM345" t="s">
        <v>25</v>
      </c>
      <c r="EO345" t="s">
        <v>3</v>
      </c>
      <c r="EQ345">
        <v>1024</v>
      </c>
      <c r="ER345">
        <v>1673.25</v>
      </c>
      <c r="ES345">
        <v>56.45</v>
      </c>
      <c r="ET345">
        <v>10.95</v>
      </c>
      <c r="EU345">
        <v>0.03</v>
      </c>
      <c r="EV345">
        <v>1605.85</v>
      </c>
      <c r="EW345">
        <v>2.42</v>
      </c>
      <c r="EX345">
        <v>0</v>
      </c>
      <c r="EY345">
        <v>0</v>
      </c>
      <c r="FQ345">
        <v>0</v>
      </c>
      <c r="FR345">
        <f t="shared" si="269"/>
        <v>0</v>
      </c>
      <c r="FS345">
        <v>0</v>
      </c>
      <c r="FX345">
        <v>70</v>
      </c>
      <c r="FY345">
        <v>10</v>
      </c>
      <c r="GA345" t="s">
        <v>3</v>
      </c>
      <c r="GD345">
        <v>0</v>
      </c>
      <c r="GF345">
        <v>1032671561</v>
      </c>
      <c r="GG345">
        <v>2</v>
      </c>
      <c r="GH345">
        <v>1</v>
      </c>
      <c r="GI345">
        <v>-2</v>
      </c>
      <c r="GJ345">
        <v>0</v>
      </c>
      <c r="GK345">
        <f>ROUND(R345*(R12)/100,2)</f>
        <v>1.22</v>
      </c>
      <c r="GL345">
        <f t="shared" si="270"/>
        <v>0</v>
      </c>
      <c r="GM345">
        <f t="shared" si="271"/>
        <v>111367.29</v>
      </c>
      <c r="GN345">
        <f t="shared" si="272"/>
        <v>0</v>
      </c>
      <c r="GO345">
        <f t="shared" si="273"/>
        <v>0</v>
      </c>
      <c r="GP345">
        <f t="shared" si="274"/>
        <v>111367.29</v>
      </c>
      <c r="GR345">
        <v>0</v>
      </c>
      <c r="GS345">
        <v>3</v>
      </c>
      <c r="GT345">
        <v>0</v>
      </c>
      <c r="GU345" t="s">
        <v>3</v>
      </c>
      <c r="GV345">
        <f t="shared" si="275"/>
        <v>0</v>
      </c>
      <c r="GW345">
        <v>1</v>
      </c>
      <c r="GX345">
        <f t="shared" si="276"/>
        <v>0</v>
      </c>
      <c r="HA345">
        <v>0</v>
      </c>
      <c r="HB345">
        <v>0</v>
      </c>
      <c r="HC345">
        <f t="shared" si="277"/>
        <v>0</v>
      </c>
      <c r="HE345" t="s">
        <v>3</v>
      </c>
      <c r="HF345" t="s">
        <v>3</v>
      </c>
      <c r="HM345" t="s">
        <v>3</v>
      </c>
      <c r="HN345" t="s">
        <v>3</v>
      </c>
      <c r="HO345" t="s">
        <v>3</v>
      </c>
      <c r="HP345" t="s">
        <v>3</v>
      </c>
      <c r="HQ345" t="s">
        <v>3</v>
      </c>
      <c r="IK345">
        <v>0</v>
      </c>
    </row>
    <row r="346" spans="1:245" x14ac:dyDescent="0.2">
      <c r="A346">
        <v>19</v>
      </c>
      <c r="B346">
        <v>1</v>
      </c>
      <c r="F346" t="s">
        <v>3</v>
      </c>
      <c r="G346" t="s">
        <v>43</v>
      </c>
      <c r="H346" t="s">
        <v>3</v>
      </c>
      <c r="AA346">
        <v>1</v>
      </c>
      <c r="IK346">
        <v>0</v>
      </c>
    </row>
    <row r="347" spans="1:245" x14ac:dyDescent="0.2">
      <c r="A347">
        <v>17</v>
      </c>
      <c r="B347">
        <v>1</v>
      </c>
      <c r="D347">
        <f>ROW(EtalonRes!A202)</f>
        <v>202</v>
      </c>
      <c r="E347" t="s">
        <v>302</v>
      </c>
      <c r="F347" t="s">
        <v>263</v>
      </c>
      <c r="G347" t="s">
        <v>264</v>
      </c>
      <c r="H347" t="s">
        <v>32</v>
      </c>
      <c r="I347">
        <f>ROUND(5+2,9)</f>
        <v>7</v>
      </c>
      <c r="J347">
        <v>0</v>
      </c>
      <c r="K347">
        <f>ROUND(5+2,9)</f>
        <v>7</v>
      </c>
      <c r="O347">
        <f t="shared" ref="O347:O363" si="278">ROUND(CP347,2)</f>
        <v>2303.42</v>
      </c>
      <c r="P347">
        <f t="shared" ref="P347:P363" si="279">ROUND(CQ347*I347,2)</f>
        <v>3.29</v>
      </c>
      <c r="Q347">
        <f t="shared" ref="Q347:Q363" si="280">ROUND(CR347*I347,2)</f>
        <v>17.71</v>
      </c>
      <c r="R347">
        <f t="shared" ref="R347:R363" si="281">ROUND(CS347*I347,2)</f>
        <v>0.21</v>
      </c>
      <c r="S347">
        <f t="shared" ref="S347:S363" si="282">ROUND(CT347*I347,2)</f>
        <v>2282.42</v>
      </c>
      <c r="T347">
        <f t="shared" ref="T347:T363" si="283">ROUND(CU347*I347,2)</f>
        <v>0</v>
      </c>
      <c r="U347">
        <f t="shared" ref="U347:U363" si="284">CV347*I347</f>
        <v>4.0599999999999996</v>
      </c>
      <c r="V347">
        <f t="shared" ref="V347:V363" si="285">CW347*I347</f>
        <v>0</v>
      </c>
      <c r="W347">
        <f t="shared" ref="W347:W363" si="286">ROUND(CX347*I347,2)</f>
        <v>0</v>
      </c>
      <c r="X347">
        <f t="shared" ref="X347:X363" si="287">ROUND(CY347,2)</f>
        <v>1597.69</v>
      </c>
      <c r="Y347">
        <f t="shared" ref="Y347:Y363" si="288">ROUND(CZ347,2)</f>
        <v>228.24</v>
      </c>
      <c r="AA347">
        <v>1472224561</v>
      </c>
      <c r="AB347">
        <f t="shared" ref="AB347:AB363" si="289">ROUND((AC347+AD347+AF347),6)</f>
        <v>329.06</v>
      </c>
      <c r="AC347">
        <f>ROUND((ES347),6)</f>
        <v>0.47</v>
      </c>
      <c r="AD347">
        <f>ROUND((((ET347)-(EU347))+AE347),6)</f>
        <v>2.5299999999999998</v>
      </c>
      <c r="AE347">
        <f t="shared" ref="AE347:AF350" si="290">ROUND((EU347),6)</f>
        <v>0.03</v>
      </c>
      <c r="AF347">
        <f t="shared" si="290"/>
        <v>326.06</v>
      </c>
      <c r="AG347">
        <f t="shared" ref="AG347:AG363" si="291">ROUND((AP347),6)</f>
        <v>0</v>
      </c>
      <c r="AH347">
        <f t="shared" ref="AH347:AI350" si="292">(EW347)</f>
        <v>0.57999999999999996</v>
      </c>
      <c r="AI347">
        <f t="shared" si="292"/>
        <v>0</v>
      </c>
      <c r="AJ347">
        <f t="shared" ref="AJ347:AJ363" si="293">(AS347)</f>
        <v>0</v>
      </c>
      <c r="AK347">
        <v>329.06</v>
      </c>
      <c r="AL347">
        <v>0.47</v>
      </c>
      <c r="AM347">
        <v>2.5299999999999998</v>
      </c>
      <c r="AN347">
        <v>0.03</v>
      </c>
      <c r="AO347">
        <v>326.06</v>
      </c>
      <c r="AP347">
        <v>0</v>
      </c>
      <c r="AQ347">
        <v>0.57999999999999996</v>
      </c>
      <c r="AR347">
        <v>0</v>
      </c>
      <c r="AS347">
        <v>0</v>
      </c>
      <c r="AT347">
        <v>70</v>
      </c>
      <c r="AU347">
        <v>10</v>
      </c>
      <c r="AV347">
        <v>1</v>
      </c>
      <c r="AW347">
        <v>1</v>
      </c>
      <c r="AZ347">
        <v>1</v>
      </c>
      <c r="BA347">
        <v>1</v>
      </c>
      <c r="BB347">
        <v>1</v>
      </c>
      <c r="BC347">
        <v>1</v>
      </c>
      <c r="BD347" t="s">
        <v>3</v>
      </c>
      <c r="BE347" t="s">
        <v>3</v>
      </c>
      <c r="BF347" t="s">
        <v>3</v>
      </c>
      <c r="BG347" t="s">
        <v>3</v>
      </c>
      <c r="BH347">
        <v>0</v>
      </c>
      <c r="BI347">
        <v>4</v>
      </c>
      <c r="BJ347" t="s">
        <v>265</v>
      </c>
      <c r="BM347">
        <v>0</v>
      </c>
      <c r="BN347">
        <v>0</v>
      </c>
      <c r="BO347" t="s">
        <v>3</v>
      </c>
      <c r="BP347">
        <v>0</v>
      </c>
      <c r="BQ347">
        <v>1</v>
      </c>
      <c r="BR347">
        <v>0</v>
      </c>
      <c r="BS347">
        <v>1</v>
      </c>
      <c r="BT347">
        <v>1</v>
      </c>
      <c r="BU347">
        <v>1</v>
      </c>
      <c r="BV347">
        <v>1</v>
      </c>
      <c r="BW347">
        <v>1</v>
      </c>
      <c r="BX347">
        <v>1</v>
      </c>
      <c r="BY347" t="s">
        <v>3</v>
      </c>
      <c r="BZ347">
        <v>70</v>
      </c>
      <c r="CA347">
        <v>10</v>
      </c>
      <c r="CB347" t="s">
        <v>3</v>
      </c>
      <c r="CE347">
        <v>0</v>
      </c>
      <c r="CF347">
        <v>0</v>
      </c>
      <c r="CG347">
        <v>0</v>
      </c>
      <c r="CM347">
        <v>0</v>
      </c>
      <c r="CN347" t="s">
        <v>3</v>
      </c>
      <c r="CO347">
        <v>0</v>
      </c>
      <c r="CP347">
        <f t="shared" ref="CP347:CP363" si="294">(P347+Q347+S347)</f>
        <v>2303.42</v>
      </c>
      <c r="CQ347">
        <f t="shared" ref="CQ347:CQ363" si="295">(AC347*BC347*AW347)</f>
        <v>0.47</v>
      </c>
      <c r="CR347">
        <f>((((ET347)*BB347-(EU347)*BS347)+AE347*BS347)*AV347)</f>
        <v>2.5299999999999998</v>
      </c>
      <c r="CS347">
        <f t="shared" ref="CS347:CS363" si="296">(AE347*BS347*AV347)</f>
        <v>0.03</v>
      </c>
      <c r="CT347">
        <f t="shared" ref="CT347:CT363" si="297">(AF347*BA347*AV347)</f>
        <v>326.06</v>
      </c>
      <c r="CU347">
        <f t="shared" ref="CU347:CU363" si="298">AG347</f>
        <v>0</v>
      </c>
      <c r="CV347">
        <f t="shared" ref="CV347:CV363" si="299">(AH347*AV347)</f>
        <v>0.57999999999999996</v>
      </c>
      <c r="CW347">
        <f t="shared" ref="CW347:CW363" si="300">AI347</f>
        <v>0</v>
      </c>
      <c r="CX347">
        <f t="shared" ref="CX347:CX363" si="301">AJ347</f>
        <v>0</v>
      </c>
      <c r="CY347">
        <f t="shared" ref="CY347:CY363" si="302">((S347*BZ347)/100)</f>
        <v>1597.694</v>
      </c>
      <c r="CZ347">
        <f t="shared" ref="CZ347:CZ363" si="303">((S347*CA347)/100)</f>
        <v>228.24200000000002</v>
      </c>
      <c r="DC347" t="s">
        <v>3</v>
      </c>
      <c r="DD347" t="s">
        <v>3</v>
      </c>
      <c r="DE347" t="s">
        <v>3</v>
      </c>
      <c r="DF347" t="s">
        <v>3</v>
      </c>
      <c r="DG347" t="s">
        <v>3</v>
      </c>
      <c r="DH347" t="s">
        <v>3</v>
      </c>
      <c r="DI347" t="s">
        <v>3</v>
      </c>
      <c r="DJ347" t="s">
        <v>3</v>
      </c>
      <c r="DK347" t="s">
        <v>3</v>
      </c>
      <c r="DL347" t="s">
        <v>3</v>
      </c>
      <c r="DM347" t="s">
        <v>3</v>
      </c>
      <c r="DN347">
        <v>0</v>
      </c>
      <c r="DO347">
        <v>0</v>
      </c>
      <c r="DP347">
        <v>1</v>
      </c>
      <c r="DQ347">
        <v>1</v>
      </c>
      <c r="DU347">
        <v>16987630</v>
      </c>
      <c r="DV347" t="s">
        <v>32</v>
      </c>
      <c r="DW347" t="s">
        <v>32</v>
      </c>
      <c r="DX347">
        <v>1</v>
      </c>
      <c r="DZ347" t="s">
        <v>3</v>
      </c>
      <c r="EA347" t="s">
        <v>3</v>
      </c>
      <c r="EB347" t="s">
        <v>3</v>
      </c>
      <c r="EC347" t="s">
        <v>3</v>
      </c>
      <c r="EE347">
        <v>1441815344</v>
      </c>
      <c r="EF347">
        <v>1</v>
      </c>
      <c r="EG347" t="s">
        <v>23</v>
      </c>
      <c r="EH347">
        <v>0</v>
      </c>
      <c r="EI347" t="s">
        <v>3</v>
      </c>
      <c r="EJ347">
        <v>4</v>
      </c>
      <c r="EK347">
        <v>0</v>
      </c>
      <c r="EL347" t="s">
        <v>24</v>
      </c>
      <c r="EM347" t="s">
        <v>25</v>
      </c>
      <c r="EO347" t="s">
        <v>3</v>
      </c>
      <c r="EQ347">
        <v>0</v>
      </c>
      <c r="ER347">
        <v>329.06</v>
      </c>
      <c r="ES347">
        <v>0.47</v>
      </c>
      <c r="ET347">
        <v>2.5299999999999998</v>
      </c>
      <c r="EU347">
        <v>0.03</v>
      </c>
      <c r="EV347">
        <v>326.06</v>
      </c>
      <c r="EW347">
        <v>0.57999999999999996</v>
      </c>
      <c r="EX347">
        <v>0</v>
      </c>
      <c r="EY347">
        <v>0</v>
      </c>
      <c r="FQ347">
        <v>0</v>
      </c>
      <c r="FR347">
        <f t="shared" ref="FR347:FR363" si="304">ROUND(IF(BI347=3,GM347,0),2)</f>
        <v>0</v>
      </c>
      <c r="FS347">
        <v>0</v>
      </c>
      <c r="FX347">
        <v>70</v>
      </c>
      <c r="FY347">
        <v>10</v>
      </c>
      <c r="GA347" t="s">
        <v>3</v>
      </c>
      <c r="GD347">
        <v>0</v>
      </c>
      <c r="GF347">
        <v>2134684417</v>
      </c>
      <c r="GG347">
        <v>2</v>
      </c>
      <c r="GH347">
        <v>1</v>
      </c>
      <c r="GI347">
        <v>-2</v>
      </c>
      <c r="GJ347">
        <v>0</v>
      </c>
      <c r="GK347">
        <f>ROUND(R347*(R12)/100,2)</f>
        <v>0.23</v>
      </c>
      <c r="GL347">
        <f t="shared" ref="GL347:GL363" si="305">ROUND(IF(AND(BH347=3,BI347=3,FS347&lt;&gt;0),P347,0),2)</f>
        <v>0</v>
      </c>
      <c r="GM347">
        <f t="shared" ref="GM347:GM363" si="306">ROUND(O347+X347+Y347+GK347,2)+GX347</f>
        <v>4129.58</v>
      </c>
      <c r="GN347">
        <f t="shared" ref="GN347:GN363" si="307">IF(OR(BI347=0,BI347=1),GM347-GX347,0)</f>
        <v>0</v>
      </c>
      <c r="GO347">
        <f t="shared" ref="GO347:GO363" si="308">IF(BI347=2,GM347-GX347,0)</f>
        <v>0</v>
      </c>
      <c r="GP347">
        <f t="shared" ref="GP347:GP363" si="309">IF(BI347=4,GM347-GX347,0)</f>
        <v>4129.58</v>
      </c>
      <c r="GR347">
        <v>0</v>
      </c>
      <c r="GS347">
        <v>3</v>
      </c>
      <c r="GT347">
        <v>0</v>
      </c>
      <c r="GU347" t="s">
        <v>3</v>
      </c>
      <c r="GV347">
        <f t="shared" ref="GV347:GV363" si="310">ROUND((GT347),6)</f>
        <v>0</v>
      </c>
      <c r="GW347">
        <v>1</v>
      </c>
      <c r="GX347">
        <f t="shared" ref="GX347:GX363" si="311">ROUND(HC347*I347,2)</f>
        <v>0</v>
      </c>
      <c r="HA347">
        <v>0</v>
      </c>
      <c r="HB347">
        <v>0</v>
      </c>
      <c r="HC347">
        <f t="shared" ref="HC347:HC363" si="312">GV347*GW347</f>
        <v>0</v>
      </c>
      <c r="HE347" t="s">
        <v>3</v>
      </c>
      <c r="HF347" t="s">
        <v>3</v>
      </c>
      <c r="HM347" t="s">
        <v>3</v>
      </c>
      <c r="HN347" t="s">
        <v>3</v>
      </c>
      <c r="HO347" t="s">
        <v>3</v>
      </c>
      <c r="HP347" t="s">
        <v>3</v>
      </c>
      <c r="HQ347" t="s">
        <v>3</v>
      </c>
      <c r="IK347">
        <v>0</v>
      </c>
    </row>
    <row r="348" spans="1:245" x14ac:dyDescent="0.2">
      <c r="A348">
        <v>17</v>
      </c>
      <c r="B348">
        <v>1</v>
      </c>
      <c r="D348">
        <f>ROW(EtalonRes!A205)</f>
        <v>205</v>
      </c>
      <c r="E348" t="s">
        <v>303</v>
      </c>
      <c r="F348" t="s">
        <v>267</v>
      </c>
      <c r="G348" t="s">
        <v>268</v>
      </c>
      <c r="H348" t="s">
        <v>32</v>
      </c>
      <c r="I348">
        <v>2</v>
      </c>
      <c r="J348">
        <v>0</v>
      </c>
      <c r="K348">
        <v>2</v>
      </c>
      <c r="O348">
        <f t="shared" si="278"/>
        <v>1023.9</v>
      </c>
      <c r="P348">
        <f t="shared" si="279"/>
        <v>1.88</v>
      </c>
      <c r="Q348">
        <f t="shared" si="280"/>
        <v>10.119999999999999</v>
      </c>
      <c r="R348">
        <f t="shared" si="281"/>
        <v>0.14000000000000001</v>
      </c>
      <c r="S348">
        <f t="shared" si="282"/>
        <v>1011.9</v>
      </c>
      <c r="T348">
        <f t="shared" si="283"/>
        <v>0</v>
      </c>
      <c r="U348">
        <f t="shared" si="284"/>
        <v>1.8</v>
      </c>
      <c r="V348">
        <f t="shared" si="285"/>
        <v>0</v>
      </c>
      <c r="W348">
        <f t="shared" si="286"/>
        <v>0</v>
      </c>
      <c r="X348">
        <f t="shared" si="287"/>
        <v>708.33</v>
      </c>
      <c r="Y348">
        <f t="shared" si="288"/>
        <v>101.19</v>
      </c>
      <c r="AA348">
        <v>1472224561</v>
      </c>
      <c r="AB348">
        <f t="shared" si="289"/>
        <v>511.95</v>
      </c>
      <c r="AC348">
        <f>ROUND((ES348),6)</f>
        <v>0.94</v>
      </c>
      <c r="AD348">
        <f>ROUND((((ET348)-(EU348))+AE348),6)</f>
        <v>5.0599999999999996</v>
      </c>
      <c r="AE348">
        <f t="shared" si="290"/>
        <v>7.0000000000000007E-2</v>
      </c>
      <c r="AF348">
        <f t="shared" si="290"/>
        <v>505.95</v>
      </c>
      <c r="AG348">
        <f t="shared" si="291"/>
        <v>0</v>
      </c>
      <c r="AH348">
        <f t="shared" si="292"/>
        <v>0.9</v>
      </c>
      <c r="AI348">
        <f t="shared" si="292"/>
        <v>0</v>
      </c>
      <c r="AJ348">
        <f t="shared" si="293"/>
        <v>0</v>
      </c>
      <c r="AK348">
        <v>511.95</v>
      </c>
      <c r="AL348">
        <v>0.94</v>
      </c>
      <c r="AM348">
        <v>5.0599999999999996</v>
      </c>
      <c r="AN348">
        <v>7.0000000000000007E-2</v>
      </c>
      <c r="AO348">
        <v>505.95</v>
      </c>
      <c r="AP348">
        <v>0</v>
      </c>
      <c r="AQ348">
        <v>0.9</v>
      </c>
      <c r="AR348">
        <v>0</v>
      </c>
      <c r="AS348">
        <v>0</v>
      </c>
      <c r="AT348">
        <v>70</v>
      </c>
      <c r="AU348">
        <v>10</v>
      </c>
      <c r="AV348">
        <v>1</v>
      </c>
      <c r="AW348">
        <v>1</v>
      </c>
      <c r="AZ348">
        <v>1</v>
      </c>
      <c r="BA348">
        <v>1</v>
      </c>
      <c r="BB348">
        <v>1</v>
      </c>
      <c r="BC348">
        <v>1</v>
      </c>
      <c r="BD348" t="s">
        <v>3</v>
      </c>
      <c r="BE348" t="s">
        <v>3</v>
      </c>
      <c r="BF348" t="s">
        <v>3</v>
      </c>
      <c r="BG348" t="s">
        <v>3</v>
      </c>
      <c r="BH348">
        <v>0</v>
      </c>
      <c r="BI348">
        <v>4</v>
      </c>
      <c r="BJ348" t="s">
        <v>269</v>
      </c>
      <c r="BM348">
        <v>0</v>
      </c>
      <c r="BN348">
        <v>0</v>
      </c>
      <c r="BO348" t="s">
        <v>3</v>
      </c>
      <c r="BP348">
        <v>0</v>
      </c>
      <c r="BQ348">
        <v>1</v>
      </c>
      <c r="BR348">
        <v>0</v>
      </c>
      <c r="BS348">
        <v>1</v>
      </c>
      <c r="BT348">
        <v>1</v>
      </c>
      <c r="BU348">
        <v>1</v>
      </c>
      <c r="BV348">
        <v>1</v>
      </c>
      <c r="BW348">
        <v>1</v>
      </c>
      <c r="BX348">
        <v>1</v>
      </c>
      <c r="BY348" t="s">
        <v>3</v>
      </c>
      <c r="BZ348">
        <v>70</v>
      </c>
      <c r="CA348">
        <v>10</v>
      </c>
      <c r="CB348" t="s">
        <v>3</v>
      </c>
      <c r="CE348">
        <v>0</v>
      </c>
      <c r="CF348">
        <v>0</v>
      </c>
      <c r="CG348">
        <v>0</v>
      </c>
      <c r="CM348">
        <v>0</v>
      </c>
      <c r="CN348" t="s">
        <v>3</v>
      </c>
      <c r="CO348">
        <v>0</v>
      </c>
      <c r="CP348">
        <f t="shared" si="294"/>
        <v>1023.9</v>
      </c>
      <c r="CQ348">
        <f t="shared" si="295"/>
        <v>0.94</v>
      </c>
      <c r="CR348">
        <f>((((ET348)*BB348-(EU348)*BS348)+AE348*BS348)*AV348)</f>
        <v>5.0599999999999996</v>
      </c>
      <c r="CS348">
        <f t="shared" si="296"/>
        <v>7.0000000000000007E-2</v>
      </c>
      <c r="CT348">
        <f t="shared" si="297"/>
        <v>505.95</v>
      </c>
      <c r="CU348">
        <f t="shared" si="298"/>
        <v>0</v>
      </c>
      <c r="CV348">
        <f t="shared" si="299"/>
        <v>0.9</v>
      </c>
      <c r="CW348">
        <f t="shared" si="300"/>
        <v>0</v>
      </c>
      <c r="CX348">
        <f t="shared" si="301"/>
        <v>0</v>
      </c>
      <c r="CY348">
        <f t="shared" si="302"/>
        <v>708.33</v>
      </c>
      <c r="CZ348">
        <f t="shared" si="303"/>
        <v>101.19</v>
      </c>
      <c r="DC348" t="s">
        <v>3</v>
      </c>
      <c r="DD348" t="s">
        <v>3</v>
      </c>
      <c r="DE348" t="s">
        <v>3</v>
      </c>
      <c r="DF348" t="s">
        <v>3</v>
      </c>
      <c r="DG348" t="s">
        <v>3</v>
      </c>
      <c r="DH348" t="s">
        <v>3</v>
      </c>
      <c r="DI348" t="s">
        <v>3</v>
      </c>
      <c r="DJ348" t="s">
        <v>3</v>
      </c>
      <c r="DK348" t="s">
        <v>3</v>
      </c>
      <c r="DL348" t="s">
        <v>3</v>
      </c>
      <c r="DM348" t="s">
        <v>3</v>
      </c>
      <c r="DN348">
        <v>0</v>
      </c>
      <c r="DO348">
        <v>0</v>
      </c>
      <c r="DP348">
        <v>1</v>
      </c>
      <c r="DQ348">
        <v>1</v>
      </c>
      <c r="DU348">
        <v>16987630</v>
      </c>
      <c r="DV348" t="s">
        <v>32</v>
      </c>
      <c r="DW348" t="s">
        <v>32</v>
      </c>
      <c r="DX348">
        <v>1</v>
      </c>
      <c r="DZ348" t="s">
        <v>3</v>
      </c>
      <c r="EA348" t="s">
        <v>3</v>
      </c>
      <c r="EB348" t="s">
        <v>3</v>
      </c>
      <c r="EC348" t="s">
        <v>3</v>
      </c>
      <c r="EE348">
        <v>1441815344</v>
      </c>
      <c r="EF348">
        <v>1</v>
      </c>
      <c r="EG348" t="s">
        <v>23</v>
      </c>
      <c r="EH348">
        <v>0</v>
      </c>
      <c r="EI348" t="s">
        <v>3</v>
      </c>
      <c r="EJ348">
        <v>4</v>
      </c>
      <c r="EK348">
        <v>0</v>
      </c>
      <c r="EL348" t="s">
        <v>24</v>
      </c>
      <c r="EM348" t="s">
        <v>25</v>
      </c>
      <c r="EO348" t="s">
        <v>3</v>
      </c>
      <c r="EQ348">
        <v>0</v>
      </c>
      <c r="ER348">
        <v>511.95</v>
      </c>
      <c r="ES348">
        <v>0.94</v>
      </c>
      <c r="ET348">
        <v>5.0599999999999996</v>
      </c>
      <c r="EU348">
        <v>7.0000000000000007E-2</v>
      </c>
      <c r="EV348">
        <v>505.95</v>
      </c>
      <c r="EW348">
        <v>0.9</v>
      </c>
      <c r="EX348">
        <v>0</v>
      </c>
      <c r="EY348">
        <v>0</v>
      </c>
      <c r="FQ348">
        <v>0</v>
      </c>
      <c r="FR348">
        <f t="shared" si="304"/>
        <v>0</v>
      </c>
      <c r="FS348">
        <v>0</v>
      </c>
      <c r="FX348">
        <v>70</v>
      </c>
      <c r="FY348">
        <v>10</v>
      </c>
      <c r="GA348" t="s">
        <v>3</v>
      </c>
      <c r="GD348">
        <v>0</v>
      </c>
      <c r="GF348">
        <v>597674671</v>
      </c>
      <c r="GG348">
        <v>2</v>
      </c>
      <c r="GH348">
        <v>1</v>
      </c>
      <c r="GI348">
        <v>-2</v>
      </c>
      <c r="GJ348">
        <v>0</v>
      </c>
      <c r="GK348">
        <f>ROUND(R348*(R12)/100,2)</f>
        <v>0.15</v>
      </c>
      <c r="GL348">
        <f t="shared" si="305"/>
        <v>0</v>
      </c>
      <c r="GM348">
        <f t="shared" si="306"/>
        <v>1833.57</v>
      </c>
      <c r="GN348">
        <f t="shared" si="307"/>
        <v>0</v>
      </c>
      <c r="GO348">
        <f t="shared" si="308"/>
        <v>0</v>
      </c>
      <c r="GP348">
        <f t="shared" si="309"/>
        <v>1833.57</v>
      </c>
      <c r="GR348">
        <v>0</v>
      </c>
      <c r="GS348">
        <v>3</v>
      </c>
      <c r="GT348">
        <v>0</v>
      </c>
      <c r="GU348" t="s">
        <v>3</v>
      </c>
      <c r="GV348">
        <f t="shared" si="310"/>
        <v>0</v>
      </c>
      <c r="GW348">
        <v>1</v>
      </c>
      <c r="GX348">
        <f t="shared" si="311"/>
        <v>0</v>
      </c>
      <c r="HA348">
        <v>0</v>
      </c>
      <c r="HB348">
        <v>0</v>
      </c>
      <c r="HC348">
        <f t="shared" si="312"/>
        <v>0</v>
      </c>
      <c r="HE348" t="s">
        <v>3</v>
      </c>
      <c r="HF348" t="s">
        <v>3</v>
      </c>
      <c r="HM348" t="s">
        <v>3</v>
      </c>
      <c r="HN348" t="s">
        <v>3</v>
      </c>
      <c r="HO348" t="s">
        <v>3</v>
      </c>
      <c r="HP348" t="s">
        <v>3</v>
      </c>
      <c r="HQ348" t="s">
        <v>3</v>
      </c>
      <c r="IK348">
        <v>0</v>
      </c>
    </row>
    <row r="349" spans="1:245" x14ac:dyDescent="0.2">
      <c r="A349">
        <v>17</v>
      </c>
      <c r="B349">
        <v>1</v>
      </c>
      <c r="D349">
        <f>ROW(EtalonRes!A208)</f>
        <v>208</v>
      </c>
      <c r="E349" t="s">
        <v>304</v>
      </c>
      <c r="F349" t="s">
        <v>271</v>
      </c>
      <c r="G349" t="s">
        <v>272</v>
      </c>
      <c r="H349" t="s">
        <v>37</v>
      </c>
      <c r="I349">
        <f>ROUND(18/10,9)</f>
        <v>1.8</v>
      </c>
      <c r="J349">
        <v>0</v>
      </c>
      <c r="K349">
        <f>ROUND(18/10,9)</f>
        <v>1.8</v>
      </c>
      <c r="O349">
        <f t="shared" si="278"/>
        <v>1892.2</v>
      </c>
      <c r="P349">
        <f t="shared" si="279"/>
        <v>3.01</v>
      </c>
      <c r="Q349">
        <f t="shared" si="280"/>
        <v>7.36</v>
      </c>
      <c r="R349">
        <f t="shared" si="281"/>
        <v>0.11</v>
      </c>
      <c r="S349">
        <f t="shared" si="282"/>
        <v>1881.83</v>
      </c>
      <c r="T349">
        <f t="shared" si="283"/>
        <v>0</v>
      </c>
      <c r="U349">
        <f t="shared" si="284"/>
        <v>3.3120000000000003</v>
      </c>
      <c r="V349">
        <f t="shared" si="285"/>
        <v>0</v>
      </c>
      <c r="W349">
        <f t="shared" si="286"/>
        <v>0</v>
      </c>
      <c r="X349">
        <f t="shared" si="287"/>
        <v>1317.28</v>
      </c>
      <c r="Y349">
        <f t="shared" si="288"/>
        <v>188.18</v>
      </c>
      <c r="AA349">
        <v>1472224561</v>
      </c>
      <c r="AB349">
        <f t="shared" si="289"/>
        <v>1051.22</v>
      </c>
      <c r="AC349">
        <f>ROUND((ES349),6)</f>
        <v>1.67</v>
      </c>
      <c r="AD349">
        <f>ROUND((((ET349)-(EU349))+AE349),6)</f>
        <v>4.09</v>
      </c>
      <c r="AE349">
        <f t="shared" si="290"/>
        <v>0.06</v>
      </c>
      <c r="AF349">
        <f t="shared" si="290"/>
        <v>1045.46</v>
      </c>
      <c r="AG349">
        <f t="shared" si="291"/>
        <v>0</v>
      </c>
      <c r="AH349">
        <f t="shared" si="292"/>
        <v>1.84</v>
      </c>
      <c r="AI349">
        <f t="shared" si="292"/>
        <v>0</v>
      </c>
      <c r="AJ349">
        <f t="shared" si="293"/>
        <v>0</v>
      </c>
      <c r="AK349">
        <v>1051.22</v>
      </c>
      <c r="AL349">
        <v>1.67</v>
      </c>
      <c r="AM349">
        <v>4.09</v>
      </c>
      <c r="AN349">
        <v>0.06</v>
      </c>
      <c r="AO349">
        <v>1045.46</v>
      </c>
      <c r="AP349">
        <v>0</v>
      </c>
      <c r="AQ349">
        <v>1.84</v>
      </c>
      <c r="AR349">
        <v>0</v>
      </c>
      <c r="AS349">
        <v>0</v>
      </c>
      <c r="AT349">
        <v>70</v>
      </c>
      <c r="AU349">
        <v>10</v>
      </c>
      <c r="AV349">
        <v>1</v>
      </c>
      <c r="AW349">
        <v>1</v>
      </c>
      <c r="AZ349">
        <v>1</v>
      </c>
      <c r="BA349">
        <v>1</v>
      </c>
      <c r="BB349">
        <v>1</v>
      </c>
      <c r="BC349">
        <v>1</v>
      </c>
      <c r="BD349" t="s">
        <v>3</v>
      </c>
      <c r="BE349" t="s">
        <v>3</v>
      </c>
      <c r="BF349" t="s">
        <v>3</v>
      </c>
      <c r="BG349" t="s">
        <v>3</v>
      </c>
      <c r="BH349">
        <v>0</v>
      </c>
      <c r="BI349">
        <v>4</v>
      </c>
      <c r="BJ349" t="s">
        <v>273</v>
      </c>
      <c r="BM349">
        <v>0</v>
      </c>
      <c r="BN349">
        <v>0</v>
      </c>
      <c r="BO349" t="s">
        <v>3</v>
      </c>
      <c r="BP349">
        <v>0</v>
      </c>
      <c r="BQ349">
        <v>1</v>
      </c>
      <c r="BR349">
        <v>0</v>
      </c>
      <c r="BS349">
        <v>1</v>
      </c>
      <c r="BT349">
        <v>1</v>
      </c>
      <c r="BU349">
        <v>1</v>
      </c>
      <c r="BV349">
        <v>1</v>
      </c>
      <c r="BW349">
        <v>1</v>
      </c>
      <c r="BX349">
        <v>1</v>
      </c>
      <c r="BY349" t="s">
        <v>3</v>
      </c>
      <c r="BZ349">
        <v>70</v>
      </c>
      <c r="CA349">
        <v>10</v>
      </c>
      <c r="CB349" t="s">
        <v>3</v>
      </c>
      <c r="CE349">
        <v>0</v>
      </c>
      <c r="CF349">
        <v>0</v>
      </c>
      <c r="CG349">
        <v>0</v>
      </c>
      <c r="CM349">
        <v>0</v>
      </c>
      <c r="CN349" t="s">
        <v>3</v>
      </c>
      <c r="CO349">
        <v>0</v>
      </c>
      <c r="CP349">
        <f t="shared" si="294"/>
        <v>1892.1999999999998</v>
      </c>
      <c r="CQ349">
        <f t="shared" si="295"/>
        <v>1.67</v>
      </c>
      <c r="CR349">
        <f>((((ET349)*BB349-(EU349)*BS349)+AE349*BS349)*AV349)</f>
        <v>4.09</v>
      </c>
      <c r="CS349">
        <f t="shared" si="296"/>
        <v>0.06</v>
      </c>
      <c r="CT349">
        <f t="shared" si="297"/>
        <v>1045.46</v>
      </c>
      <c r="CU349">
        <f t="shared" si="298"/>
        <v>0</v>
      </c>
      <c r="CV349">
        <f t="shared" si="299"/>
        <v>1.84</v>
      </c>
      <c r="CW349">
        <f t="shared" si="300"/>
        <v>0</v>
      </c>
      <c r="CX349">
        <f t="shared" si="301"/>
        <v>0</v>
      </c>
      <c r="CY349">
        <f t="shared" si="302"/>
        <v>1317.2809999999999</v>
      </c>
      <c r="CZ349">
        <f t="shared" si="303"/>
        <v>188.18299999999999</v>
      </c>
      <c r="DC349" t="s">
        <v>3</v>
      </c>
      <c r="DD349" t="s">
        <v>3</v>
      </c>
      <c r="DE349" t="s">
        <v>3</v>
      </c>
      <c r="DF349" t="s">
        <v>3</v>
      </c>
      <c r="DG349" t="s">
        <v>3</v>
      </c>
      <c r="DH349" t="s">
        <v>3</v>
      </c>
      <c r="DI349" t="s">
        <v>3</v>
      </c>
      <c r="DJ349" t="s">
        <v>3</v>
      </c>
      <c r="DK349" t="s">
        <v>3</v>
      </c>
      <c r="DL349" t="s">
        <v>3</v>
      </c>
      <c r="DM349" t="s">
        <v>3</v>
      </c>
      <c r="DN349">
        <v>0</v>
      </c>
      <c r="DO349">
        <v>0</v>
      </c>
      <c r="DP349">
        <v>1</v>
      </c>
      <c r="DQ349">
        <v>1</v>
      </c>
      <c r="DU349">
        <v>16987630</v>
      </c>
      <c r="DV349" t="s">
        <v>37</v>
      </c>
      <c r="DW349" t="s">
        <v>37</v>
      </c>
      <c r="DX349">
        <v>10</v>
      </c>
      <c r="DZ349" t="s">
        <v>3</v>
      </c>
      <c r="EA349" t="s">
        <v>3</v>
      </c>
      <c r="EB349" t="s">
        <v>3</v>
      </c>
      <c r="EC349" t="s">
        <v>3</v>
      </c>
      <c r="EE349">
        <v>1441815344</v>
      </c>
      <c r="EF349">
        <v>1</v>
      </c>
      <c r="EG349" t="s">
        <v>23</v>
      </c>
      <c r="EH349">
        <v>0</v>
      </c>
      <c r="EI349" t="s">
        <v>3</v>
      </c>
      <c r="EJ349">
        <v>4</v>
      </c>
      <c r="EK349">
        <v>0</v>
      </c>
      <c r="EL349" t="s">
        <v>24</v>
      </c>
      <c r="EM349" t="s">
        <v>25</v>
      </c>
      <c r="EO349" t="s">
        <v>3</v>
      </c>
      <c r="EQ349">
        <v>0</v>
      </c>
      <c r="ER349">
        <v>1051.22</v>
      </c>
      <c r="ES349">
        <v>1.67</v>
      </c>
      <c r="ET349">
        <v>4.09</v>
      </c>
      <c r="EU349">
        <v>0.06</v>
      </c>
      <c r="EV349">
        <v>1045.46</v>
      </c>
      <c r="EW349">
        <v>1.84</v>
      </c>
      <c r="EX349">
        <v>0</v>
      </c>
      <c r="EY349">
        <v>0</v>
      </c>
      <c r="FQ349">
        <v>0</v>
      </c>
      <c r="FR349">
        <f t="shared" si="304"/>
        <v>0</v>
      </c>
      <c r="FS349">
        <v>0</v>
      </c>
      <c r="FX349">
        <v>70</v>
      </c>
      <c r="FY349">
        <v>10</v>
      </c>
      <c r="GA349" t="s">
        <v>3</v>
      </c>
      <c r="GD349">
        <v>0</v>
      </c>
      <c r="GF349">
        <v>373109242</v>
      </c>
      <c r="GG349">
        <v>2</v>
      </c>
      <c r="GH349">
        <v>1</v>
      </c>
      <c r="GI349">
        <v>-2</v>
      </c>
      <c r="GJ349">
        <v>0</v>
      </c>
      <c r="GK349">
        <f>ROUND(R349*(R12)/100,2)</f>
        <v>0.12</v>
      </c>
      <c r="GL349">
        <f t="shared" si="305"/>
        <v>0</v>
      </c>
      <c r="GM349">
        <f t="shared" si="306"/>
        <v>3397.78</v>
      </c>
      <c r="GN349">
        <f t="shared" si="307"/>
        <v>0</v>
      </c>
      <c r="GO349">
        <f t="shared" si="308"/>
        <v>0</v>
      </c>
      <c r="GP349">
        <f t="shared" si="309"/>
        <v>3397.78</v>
      </c>
      <c r="GR349">
        <v>0</v>
      </c>
      <c r="GS349">
        <v>3</v>
      </c>
      <c r="GT349">
        <v>0</v>
      </c>
      <c r="GU349" t="s">
        <v>3</v>
      </c>
      <c r="GV349">
        <f t="shared" si="310"/>
        <v>0</v>
      </c>
      <c r="GW349">
        <v>1</v>
      </c>
      <c r="GX349">
        <f t="shared" si="311"/>
        <v>0</v>
      </c>
      <c r="HA349">
        <v>0</v>
      </c>
      <c r="HB349">
        <v>0</v>
      </c>
      <c r="HC349">
        <f t="shared" si="312"/>
        <v>0</v>
      </c>
      <c r="HE349" t="s">
        <v>3</v>
      </c>
      <c r="HF349" t="s">
        <v>3</v>
      </c>
      <c r="HM349" t="s">
        <v>3</v>
      </c>
      <c r="HN349" t="s">
        <v>3</v>
      </c>
      <c r="HO349" t="s">
        <v>3</v>
      </c>
      <c r="HP349" t="s">
        <v>3</v>
      </c>
      <c r="HQ349" t="s">
        <v>3</v>
      </c>
      <c r="IK349">
        <v>0</v>
      </c>
    </row>
    <row r="350" spans="1:245" x14ac:dyDescent="0.2">
      <c r="A350">
        <v>17</v>
      </c>
      <c r="B350">
        <v>1</v>
      </c>
      <c r="D350">
        <f>ROW(EtalonRes!A211)</f>
        <v>211</v>
      </c>
      <c r="E350" t="s">
        <v>305</v>
      </c>
      <c r="F350" t="s">
        <v>271</v>
      </c>
      <c r="G350" t="s">
        <v>272</v>
      </c>
      <c r="H350" t="s">
        <v>37</v>
      </c>
      <c r="I350">
        <f>ROUND(2/10,9)</f>
        <v>0.2</v>
      </c>
      <c r="J350">
        <v>0</v>
      </c>
      <c r="K350">
        <f>ROUND(2/10,9)</f>
        <v>0.2</v>
      </c>
      <c r="O350">
        <f t="shared" si="278"/>
        <v>210.24</v>
      </c>
      <c r="P350">
        <f t="shared" si="279"/>
        <v>0.33</v>
      </c>
      <c r="Q350">
        <f t="shared" si="280"/>
        <v>0.82</v>
      </c>
      <c r="R350">
        <f t="shared" si="281"/>
        <v>0.01</v>
      </c>
      <c r="S350">
        <f t="shared" si="282"/>
        <v>209.09</v>
      </c>
      <c r="T350">
        <f t="shared" si="283"/>
        <v>0</v>
      </c>
      <c r="U350">
        <f t="shared" si="284"/>
        <v>0.36800000000000005</v>
      </c>
      <c r="V350">
        <f t="shared" si="285"/>
        <v>0</v>
      </c>
      <c r="W350">
        <f t="shared" si="286"/>
        <v>0</v>
      </c>
      <c r="X350">
        <f t="shared" si="287"/>
        <v>146.36000000000001</v>
      </c>
      <c r="Y350">
        <f t="shared" si="288"/>
        <v>20.91</v>
      </c>
      <c r="AA350">
        <v>1472224561</v>
      </c>
      <c r="AB350">
        <f t="shared" si="289"/>
        <v>1051.22</v>
      </c>
      <c r="AC350">
        <f>ROUND((ES350),6)</f>
        <v>1.67</v>
      </c>
      <c r="AD350">
        <f>ROUND((((ET350)-(EU350))+AE350),6)</f>
        <v>4.09</v>
      </c>
      <c r="AE350">
        <f t="shared" si="290"/>
        <v>0.06</v>
      </c>
      <c r="AF350">
        <f t="shared" si="290"/>
        <v>1045.46</v>
      </c>
      <c r="AG350">
        <f t="shared" si="291"/>
        <v>0</v>
      </c>
      <c r="AH350">
        <f t="shared" si="292"/>
        <v>1.84</v>
      </c>
      <c r="AI350">
        <f t="shared" si="292"/>
        <v>0</v>
      </c>
      <c r="AJ350">
        <f t="shared" si="293"/>
        <v>0</v>
      </c>
      <c r="AK350">
        <v>1051.22</v>
      </c>
      <c r="AL350">
        <v>1.67</v>
      </c>
      <c r="AM350">
        <v>4.09</v>
      </c>
      <c r="AN350">
        <v>0.06</v>
      </c>
      <c r="AO350">
        <v>1045.46</v>
      </c>
      <c r="AP350">
        <v>0</v>
      </c>
      <c r="AQ350">
        <v>1.84</v>
      </c>
      <c r="AR350">
        <v>0</v>
      </c>
      <c r="AS350">
        <v>0</v>
      </c>
      <c r="AT350">
        <v>70</v>
      </c>
      <c r="AU350">
        <v>10</v>
      </c>
      <c r="AV350">
        <v>1</v>
      </c>
      <c r="AW350">
        <v>1</v>
      </c>
      <c r="AZ350">
        <v>1</v>
      </c>
      <c r="BA350">
        <v>1</v>
      </c>
      <c r="BB350">
        <v>1</v>
      </c>
      <c r="BC350">
        <v>1</v>
      </c>
      <c r="BD350" t="s">
        <v>3</v>
      </c>
      <c r="BE350" t="s">
        <v>3</v>
      </c>
      <c r="BF350" t="s">
        <v>3</v>
      </c>
      <c r="BG350" t="s">
        <v>3</v>
      </c>
      <c r="BH350">
        <v>0</v>
      </c>
      <c r="BI350">
        <v>4</v>
      </c>
      <c r="BJ350" t="s">
        <v>273</v>
      </c>
      <c r="BM350">
        <v>0</v>
      </c>
      <c r="BN350">
        <v>0</v>
      </c>
      <c r="BO350" t="s">
        <v>3</v>
      </c>
      <c r="BP350">
        <v>0</v>
      </c>
      <c r="BQ350">
        <v>1</v>
      </c>
      <c r="BR350">
        <v>0</v>
      </c>
      <c r="BS350">
        <v>1</v>
      </c>
      <c r="BT350">
        <v>1</v>
      </c>
      <c r="BU350">
        <v>1</v>
      </c>
      <c r="BV350">
        <v>1</v>
      </c>
      <c r="BW350">
        <v>1</v>
      </c>
      <c r="BX350">
        <v>1</v>
      </c>
      <c r="BY350" t="s">
        <v>3</v>
      </c>
      <c r="BZ350">
        <v>70</v>
      </c>
      <c r="CA350">
        <v>10</v>
      </c>
      <c r="CB350" t="s">
        <v>3</v>
      </c>
      <c r="CE350">
        <v>0</v>
      </c>
      <c r="CF350">
        <v>0</v>
      </c>
      <c r="CG350">
        <v>0</v>
      </c>
      <c r="CM350">
        <v>0</v>
      </c>
      <c r="CN350" t="s">
        <v>3</v>
      </c>
      <c r="CO350">
        <v>0</v>
      </c>
      <c r="CP350">
        <f t="shared" si="294"/>
        <v>210.24</v>
      </c>
      <c r="CQ350">
        <f t="shared" si="295"/>
        <v>1.67</v>
      </c>
      <c r="CR350">
        <f>((((ET350)*BB350-(EU350)*BS350)+AE350*BS350)*AV350)</f>
        <v>4.09</v>
      </c>
      <c r="CS350">
        <f t="shared" si="296"/>
        <v>0.06</v>
      </c>
      <c r="CT350">
        <f t="shared" si="297"/>
        <v>1045.46</v>
      </c>
      <c r="CU350">
        <f t="shared" si="298"/>
        <v>0</v>
      </c>
      <c r="CV350">
        <f t="shared" si="299"/>
        <v>1.84</v>
      </c>
      <c r="CW350">
        <f t="shared" si="300"/>
        <v>0</v>
      </c>
      <c r="CX350">
        <f t="shared" si="301"/>
        <v>0</v>
      </c>
      <c r="CY350">
        <f t="shared" si="302"/>
        <v>146.363</v>
      </c>
      <c r="CZ350">
        <f t="shared" si="303"/>
        <v>20.909000000000002</v>
      </c>
      <c r="DC350" t="s">
        <v>3</v>
      </c>
      <c r="DD350" t="s">
        <v>3</v>
      </c>
      <c r="DE350" t="s">
        <v>3</v>
      </c>
      <c r="DF350" t="s">
        <v>3</v>
      </c>
      <c r="DG350" t="s">
        <v>3</v>
      </c>
      <c r="DH350" t="s">
        <v>3</v>
      </c>
      <c r="DI350" t="s">
        <v>3</v>
      </c>
      <c r="DJ350" t="s">
        <v>3</v>
      </c>
      <c r="DK350" t="s">
        <v>3</v>
      </c>
      <c r="DL350" t="s">
        <v>3</v>
      </c>
      <c r="DM350" t="s">
        <v>3</v>
      </c>
      <c r="DN350">
        <v>0</v>
      </c>
      <c r="DO350">
        <v>0</v>
      </c>
      <c r="DP350">
        <v>1</v>
      </c>
      <c r="DQ350">
        <v>1</v>
      </c>
      <c r="DU350">
        <v>16987630</v>
      </c>
      <c r="DV350" t="s">
        <v>37</v>
      </c>
      <c r="DW350" t="s">
        <v>37</v>
      </c>
      <c r="DX350">
        <v>10</v>
      </c>
      <c r="DZ350" t="s">
        <v>3</v>
      </c>
      <c r="EA350" t="s">
        <v>3</v>
      </c>
      <c r="EB350" t="s">
        <v>3</v>
      </c>
      <c r="EC350" t="s">
        <v>3</v>
      </c>
      <c r="EE350">
        <v>1441815344</v>
      </c>
      <c r="EF350">
        <v>1</v>
      </c>
      <c r="EG350" t="s">
        <v>23</v>
      </c>
      <c r="EH350">
        <v>0</v>
      </c>
      <c r="EI350" t="s">
        <v>3</v>
      </c>
      <c r="EJ350">
        <v>4</v>
      </c>
      <c r="EK350">
        <v>0</v>
      </c>
      <c r="EL350" t="s">
        <v>24</v>
      </c>
      <c r="EM350" t="s">
        <v>25</v>
      </c>
      <c r="EO350" t="s">
        <v>3</v>
      </c>
      <c r="EQ350">
        <v>0</v>
      </c>
      <c r="ER350">
        <v>1051.22</v>
      </c>
      <c r="ES350">
        <v>1.67</v>
      </c>
      <c r="ET350">
        <v>4.09</v>
      </c>
      <c r="EU350">
        <v>0.06</v>
      </c>
      <c r="EV350">
        <v>1045.46</v>
      </c>
      <c r="EW350">
        <v>1.84</v>
      </c>
      <c r="EX350">
        <v>0</v>
      </c>
      <c r="EY350">
        <v>0</v>
      </c>
      <c r="FQ350">
        <v>0</v>
      </c>
      <c r="FR350">
        <f t="shared" si="304"/>
        <v>0</v>
      </c>
      <c r="FS350">
        <v>0</v>
      </c>
      <c r="FX350">
        <v>70</v>
      </c>
      <c r="FY350">
        <v>10</v>
      </c>
      <c r="GA350" t="s">
        <v>3</v>
      </c>
      <c r="GD350">
        <v>0</v>
      </c>
      <c r="GF350">
        <v>373109242</v>
      </c>
      <c r="GG350">
        <v>2</v>
      </c>
      <c r="GH350">
        <v>1</v>
      </c>
      <c r="GI350">
        <v>-2</v>
      </c>
      <c r="GJ350">
        <v>0</v>
      </c>
      <c r="GK350">
        <f>ROUND(R350*(R12)/100,2)</f>
        <v>0.01</v>
      </c>
      <c r="GL350">
        <f t="shared" si="305"/>
        <v>0</v>
      </c>
      <c r="GM350">
        <f t="shared" si="306"/>
        <v>377.52</v>
      </c>
      <c r="GN350">
        <f t="shared" si="307"/>
        <v>0</v>
      </c>
      <c r="GO350">
        <f t="shared" si="308"/>
        <v>0</v>
      </c>
      <c r="GP350">
        <f t="shared" si="309"/>
        <v>377.52</v>
      </c>
      <c r="GR350">
        <v>0</v>
      </c>
      <c r="GS350">
        <v>3</v>
      </c>
      <c r="GT350">
        <v>0</v>
      </c>
      <c r="GU350" t="s">
        <v>3</v>
      </c>
      <c r="GV350">
        <f t="shared" si="310"/>
        <v>0</v>
      </c>
      <c r="GW350">
        <v>1</v>
      </c>
      <c r="GX350">
        <f t="shared" si="311"/>
        <v>0</v>
      </c>
      <c r="HA350">
        <v>0</v>
      </c>
      <c r="HB350">
        <v>0</v>
      </c>
      <c r="HC350">
        <f t="shared" si="312"/>
        <v>0</v>
      </c>
      <c r="HE350" t="s">
        <v>3</v>
      </c>
      <c r="HF350" t="s">
        <v>3</v>
      </c>
      <c r="HM350" t="s">
        <v>3</v>
      </c>
      <c r="HN350" t="s">
        <v>3</v>
      </c>
      <c r="HO350" t="s">
        <v>3</v>
      </c>
      <c r="HP350" t="s">
        <v>3</v>
      </c>
      <c r="HQ350" t="s">
        <v>3</v>
      </c>
      <c r="IK350">
        <v>0</v>
      </c>
    </row>
    <row r="351" spans="1:245" x14ac:dyDescent="0.2">
      <c r="A351">
        <v>17</v>
      </c>
      <c r="B351">
        <v>1</v>
      </c>
      <c r="D351">
        <f>ROW(EtalonRes!A214)</f>
        <v>214</v>
      </c>
      <c r="E351" t="s">
        <v>306</v>
      </c>
      <c r="F351" t="s">
        <v>276</v>
      </c>
      <c r="G351" t="s">
        <v>277</v>
      </c>
      <c r="H351" t="s">
        <v>37</v>
      </c>
      <c r="I351">
        <f>ROUND(2/10,9)</f>
        <v>0.2</v>
      </c>
      <c r="J351">
        <v>0</v>
      </c>
      <c r="K351">
        <f>ROUND(2/10,9)</f>
        <v>0.2</v>
      </c>
      <c r="O351">
        <f t="shared" si="278"/>
        <v>46.28</v>
      </c>
      <c r="P351">
        <f t="shared" si="279"/>
        <v>0.12</v>
      </c>
      <c r="Q351">
        <f t="shared" si="280"/>
        <v>0.3</v>
      </c>
      <c r="R351">
        <f t="shared" si="281"/>
        <v>0</v>
      </c>
      <c r="S351">
        <f t="shared" si="282"/>
        <v>45.86</v>
      </c>
      <c r="T351">
        <f t="shared" si="283"/>
        <v>0</v>
      </c>
      <c r="U351">
        <f t="shared" si="284"/>
        <v>8.0000000000000016E-2</v>
      </c>
      <c r="V351">
        <f t="shared" si="285"/>
        <v>0</v>
      </c>
      <c r="W351">
        <f t="shared" si="286"/>
        <v>0</v>
      </c>
      <c r="X351">
        <f t="shared" si="287"/>
        <v>32.1</v>
      </c>
      <c r="Y351">
        <f t="shared" si="288"/>
        <v>4.59</v>
      </c>
      <c r="AA351">
        <v>1472224561</v>
      </c>
      <c r="AB351">
        <f t="shared" si="289"/>
        <v>231.4</v>
      </c>
      <c r="AC351">
        <f>ROUND(((ES351*2)),6)</f>
        <v>0.62</v>
      </c>
      <c r="AD351">
        <f>ROUND(((((ET351*2))-((EU351*2)))+AE351),6)</f>
        <v>1.48</v>
      </c>
      <c r="AE351">
        <f>ROUND(((EU351*2)),6)</f>
        <v>0.02</v>
      </c>
      <c r="AF351">
        <f>ROUND(((EV351*2)),6)</f>
        <v>229.3</v>
      </c>
      <c r="AG351">
        <f t="shared" si="291"/>
        <v>0</v>
      </c>
      <c r="AH351">
        <f>((EW351*2))</f>
        <v>0.4</v>
      </c>
      <c r="AI351">
        <f>((EX351*2))</f>
        <v>0</v>
      </c>
      <c r="AJ351">
        <f t="shared" si="293"/>
        <v>0</v>
      </c>
      <c r="AK351">
        <v>115.7</v>
      </c>
      <c r="AL351">
        <v>0.31</v>
      </c>
      <c r="AM351">
        <v>0.74</v>
      </c>
      <c r="AN351">
        <v>0.01</v>
      </c>
      <c r="AO351">
        <v>114.65</v>
      </c>
      <c r="AP351">
        <v>0</v>
      </c>
      <c r="AQ351">
        <v>0.2</v>
      </c>
      <c r="AR351">
        <v>0</v>
      </c>
      <c r="AS351">
        <v>0</v>
      </c>
      <c r="AT351">
        <v>70</v>
      </c>
      <c r="AU351">
        <v>10</v>
      </c>
      <c r="AV351">
        <v>1</v>
      </c>
      <c r="AW351">
        <v>1</v>
      </c>
      <c r="AZ351">
        <v>1</v>
      </c>
      <c r="BA351">
        <v>1</v>
      </c>
      <c r="BB351">
        <v>1</v>
      </c>
      <c r="BC351">
        <v>1</v>
      </c>
      <c r="BD351" t="s">
        <v>3</v>
      </c>
      <c r="BE351" t="s">
        <v>3</v>
      </c>
      <c r="BF351" t="s">
        <v>3</v>
      </c>
      <c r="BG351" t="s">
        <v>3</v>
      </c>
      <c r="BH351">
        <v>0</v>
      </c>
      <c r="BI351">
        <v>4</v>
      </c>
      <c r="BJ351" t="s">
        <v>278</v>
      </c>
      <c r="BM351">
        <v>0</v>
      </c>
      <c r="BN351">
        <v>0</v>
      </c>
      <c r="BO351" t="s">
        <v>3</v>
      </c>
      <c r="BP351">
        <v>0</v>
      </c>
      <c r="BQ351">
        <v>1</v>
      </c>
      <c r="BR351">
        <v>0</v>
      </c>
      <c r="BS351">
        <v>1</v>
      </c>
      <c r="BT351">
        <v>1</v>
      </c>
      <c r="BU351">
        <v>1</v>
      </c>
      <c r="BV351">
        <v>1</v>
      </c>
      <c r="BW351">
        <v>1</v>
      </c>
      <c r="BX351">
        <v>1</v>
      </c>
      <c r="BY351" t="s">
        <v>3</v>
      </c>
      <c r="BZ351">
        <v>70</v>
      </c>
      <c r="CA351">
        <v>10</v>
      </c>
      <c r="CB351" t="s">
        <v>3</v>
      </c>
      <c r="CE351">
        <v>0</v>
      </c>
      <c r="CF351">
        <v>0</v>
      </c>
      <c r="CG351">
        <v>0</v>
      </c>
      <c r="CM351">
        <v>0</v>
      </c>
      <c r="CN351" t="s">
        <v>3</v>
      </c>
      <c r="CO351">
        <v>0</v>
      </c>
      <c r="CP351">
        <f t="shared" si="294"/>
        <v>46.28</v>
      </c>
      <c r="CQ351">
        <f t="shared" si="295"/>
        <v>0.62</v>
      </c>
      <c r="CR351">
        <f>(((((ET351*2))*BB351-((EU351*2))*BS351)+AE351*BS351)*AV351)</f>
        <v>1.48</v>
      </c>
      <c r="CS351">
        <f t="shared" si="296"/>
        <v>0.02</v>
      </c>
      <c r="CT351">
        <f t="shared" si="297"/>
        <v>229.3</v>
      </c>
      <c r="CU351">
        <f t="shared" si="298"/>
        <v>0</v>
      </c>
      <c r="CV351">
        <f t="shared" si="299"/>
        <v>0.4</v>
      </c>
      <c r="CW351">
        <f t="shared" si="300"/>
        <v>0</v>
      </c>
      <c r="CX351">
        <f t="shared" si="301"/>
        <v>0</v>
      </c>
      <c r="CY351">
        <f t="shared" si="302"/>
        <v>32.101999999999997</v>
      </c>
      <c r="CZ351">
        <f t="shared" si="303"/>
        <v>4.5860000000000003</v>
      </c>
      <c r="DC351" t="s">
        <v>3</v>
      </c>
      <c r="DD351" t="s">
        <v>164</v>
      </c>
      <c r="DE351" t="s">
        <v>164</v>
      </c>
      <c r="DF351" t="s">
        <v>164</v>
      </c>
      <c r="DG351" t="s">
        <v>164</v>
      </c>
      <c r="DH351" t="s">
        <v>3</v>
      </c>
      <c r="DI351" t="s">
        <v>164</v>
      </c>
      <c r="DJ351" t="s">
        <v>164</v>
      </c>
      <c r="DK351" t="s">
        <v>3</v>
      </c>
      <c r="DL351" t="s">
        <v>3</v>
      </c>
      <c r="DM351" t="s">
        <v>3</v>
      </c>
      <c r="DN351">
        <v>0</v>
      </c>
      <c r="DO351">
        <v>0</v>
      </c>
      <c r="DP351">
        <v>1</v>
      </c>
      <c r="DQ351">
        <v>1</v>
      </c>
      <c r="DU351">
        <v>16987630</v>
      </c>
      <c r="DV351" t="s">
        <v>37</v>
      </c>
      <c r="DW351" t="s">
        <v>37</v>
      </c>
      <c r="DX351">
        <v>10</v>
      </c>
      <c r="DZ351" t="s">
        <v>3</v>
      </c>
      <c r="EA351" t="s">
        <v>3</v>
      </c>
      <c r="EB351" t="s">
        <v>3</v>
      </c>
      <c r="EC351" t="s">
        <v>3</v>
      </c>
      <c r="EE351">
        <v>1441815344</v>
      </c>
      <c r="EF351">
        <v>1</v>
      </c>
      <c r="EG351" t="s">
        <v>23</v>
      </c>
      <c r="EH351">
        <v>0</v>
      </c>
      <c r="EI351" t="s">
        <v>3</v>
      </c>
      <c r="EJ351">
        <v>4</v>
      </c>
      <c r="EK351">
        <v>0</v>
      </c>
      <c r="EL351" t="s">
        <v>24</v>
      </c>
      <c r="EM351" t="s">
        <v>25</v>
      </c>
      <c r="EO351" t="s">
        <v>3</v>
      </c>
      <c r="EQ351">
        <v>0</v>
      </c>
      <c r="ER351">
        <v>115.7</v>
      </c>
      <c r="ES351">
        <v>0.31</v>
      </c>
      <c r="ET351">
        <v>0.74</v>
      </c>
      <c r="EU351">
        <v>0.01</v>
      </c>
      <c r="EV351">
        <v>114.65</v>
      </c>
      <c r="EW351">
        <v>0.2</v>
      </c>
      <c r="EX351">
        <v>0</v>
      </c>
      <c r="EY351">
        <v>0</v>
      </c>
      <c r="FQ351">
        <v>0</v>
      </c>
      <c r="FR351">
        <f t="shared" si="304"/>
        <v>0</v>
      </c>
      <c r="FS351">
        <v>0</v>
      </c>
      <c r="FX351">
        <v>70</v>
      </c>
      <c r="FY351">
        <v>10</v>
      </c>
      <c r="GA351" t="s">
        <v>3</v>
      </c>
      <c r="GD351">
        <v>0</v>
      </c>
      <c r="GF351">
        <v>-565925046</v>
      </c>
      <c r="GG351">
        <v>2</v>
      </c>
      <c r="GH351">
        <v>1</v>
      </c>
      <c r="GI351">
        <v>-2</v>
      </c>
      <c r="GJ351">
        <v>0</v>
      </c>
      <c r="GK351">
        <f>ROUND(R351*(R12)/100,2)</f>
        <v>0</v>
      </c>
      <c r="GL351">
        <f t="shared" si="305"/>
        <v>0</v>
      </c>
      <c r="GM351">
        <f t="shared" si="306"/>
        <v>82.97</v>
      </c>
      <c r="GN351">
        <f t="shared" si="307"/>
        <v>0</v>
      </c>
      <c r="GO351">
        <f t="shared" si="308"/>
        <v>0</v>
      </c>
      <c r="GP351">
        <f t="shared" si="309"/>
        <v>82.97</v>
      </c>
      <c r="GR351">
        <v>0</v>
      </c>
      <c r="GS351">
        <v>3</v>
      </c>
      <c r="GT351">
        <v>0</v>
      </c>
      <c r="GU351" t="s">
        <v>3</v>
      </c>
      <c r="GV351">
        <f t="shared" si="310"/>
        <v>0</v>
      </c>
      <c r="GW351">
        <v>1</v>
      </c>
      <c r="GX351">
        <f t="shared" si="311"/>
        <v>0</v>
      </c>
      <c r="HA351">
        <v>0</v>
      </c>
      <c r="HB351">
        <v>0</v>
      </c>
      <c r="HC351">
        <f t="shared" si="312"/>
        <v>0</v>
      </c>
      <c r="HE351" t="s">
        <v>3</v>
      </c>
      <c r="HF351" t="s">
        <v>3</v>
      </c>
      <c r="HM351" t="s">
        <v>3</v>
      </c>
      <c r="HN351" t="s">
        <v>3</v>
      </c>
      <c r="HO351" t="s">
        <v>3</v>
      </c>
      <c r="HP351" t="s">
        <v>3</v>
      </c>
      <c r="HQ351" t="s">
        <v>3</v>
      </c>
      <c r="IK351">
        <v>0</v>
      </c>
    </row>
    <row r="352" spans="1:245" x14ac:dyDescent="0.2">
      <c r="A352">
        <v>17</v>
      </c>
      <c r="B352">
        <v>1</v>
      </c>
      <c r="D352">
        <f>ROW(EtalonRes!A217)</f>
        <v>217</v>
      </c>
      <c r="E352" t="s">
        <v>307</v>
      </c>
      <c r="F352" t="s">
        <v>271</v>
      </c>
      <c r="G352" t="s">
        <v>272</v>
      </c>
      <c r="H352" t="s">
        <v>37</v>
      </c>
      <c r="I352">
        <f>ROUND(12/10,9)</f>
        <v>1.2</v>
      </c>
      <c r="J352">
        <v>0</v>
      </c>
      <c r="K352">
        <f>ROUND(12/10,9)</f>
        <v>1.2</v>
      </c>
      <c r="O352">
        <f t="shared" si="278"/>
        <v>1261.46</v>
      </c>
      <c r="P352">
        <f t="shared" si="279"/>
        <v>2</v>
      </c>
      <c r="Q352">
        <f t="shared" si="280"/>
        <v>4.91</v>
      </c>
      <c r="R352">
        <f t="shared" si="281"/>
        <v>7.0000000000000007E-2</v>
      </c>
      <c r="S352">
        <f t="shared" si="282"/>
        <v>1254.55</v>
      </c>
      <c r="T352">
        <f t="shared" si="283"/>
        <v>0</v>
      </c>
      <c r="U352">
        <f t="shared" si="284"/>
        <v>2.2080000000000002</v>
      </c>
      <c r="V352">
        <f t="shared" si="285"/>
        <v>0</v>
      </c>
      <c r="W352">
        <f t="shared" si="286"/>
        <v>0</v>
      </c>
      <c r="X352">
        <f t="shared" si="287"/>
        <v>878.19</v>
      </c>
      <c r="Y352">
        <f t="shared" si="288"/>
        <v>125.46</v>
      </c>
      <c r="AA352">
        <v>1472224561</v>
      </c>
      <c r="AB352">
        <f t="shared" si="289"/>
        <v>1051.22</v>
      </c>
      <c r="AC352">
        <f>ROUND((ES352),6)</f>
        <v>1.67</v>
      </c>
      <c r="AD352">
        <f>ROUND((((ET352)-(EU352))+AE352),6)</f>
        <v>4.09</v>
      </c>
      <c r="AE352">
        <f>ROUND((EU352),6)</f>
        <v>0.06</v>
      </c>
      <c r="AF352">
        <f>ROUND((EV352),6)</f>
        <v>1045.46</v>
      </c>
      <c r="AG352">
        <f t="shared" si="291"/>
        <v>0</v>
      </c>
      <c r="AH352">
        <f>(EW352)</f>
        <v>1.84</v>
      </c>
      <c r="AI352">
        <f>(EX352)</f>
        <v>0</v>
      </c>
      <c r="AJ352">
        <f t="shared" si="293"/>
        <v>0</v>
      </c>
      <c r="AK352">
        <v>1051.22</v>
      </c>
      <c r="AL352">
        <v>1.67</v>
      </c>
      <c r="AM352">
        <v>4.09</v>
      </c>
      <c r="AN352">
        <v>0.06</v>
      </c>
      <c r="AO352">
        <v>1045.46</v>
      </c>
      <c r="AP352">
        <v>0</v>
      </c>
      <c r="AQ352">
        <v>1.84</v>
      </c>
      <c r="AR352">
        <v>0</v>
      </c>
      <c r="AS352">
        <v>0</v>
      </c>
      <c r="AT352">
        <v>70</v>
      </c>
      <c r="AU352">
        <v>10</v>
      </c>
      <c r="AV352">
        <v>1</v>
      </c>
      <c r="AW352">
        <v>1</v>
      </c>
      <c r="AZ352">
        <v>1</v>
      </c>
      <c r="BA352">
        <v>1</v>
      </c>
      <c r="BB352">
        <v>1</v>
      </c>
      <c r="BC352">
        <v>1</v>
      </c>
      <c r="BD352" t="s">
        <v>3</v>
      </c>
      <c r="BE352" t="s">
        <v>3</v>
      </c>
      <c r="BF352" t="s">
        <v>3</v>
      </c>
      <c r="BG352" t="s">
        <v>3</v>
      </c>
      <c r="BH352">
        <v>0</v>
      </c>
      <c r="BI352">
        <v>4</v>
      </c>
      <c r="BJ352" t="s">
        <v>273</v>
      </c>
      <c r="BM352">
        <v>0</v>
      </c>
      <c r="BN352">
        <v>0</v>
      </c>
      <c r="BO352" t="s">
        <v>3</v>
      </c>
      <c r="BP352">
        <v>0</v>
      </c>
      <c r="BQ352">
        <v>1</v>
      </c>
      <c r="BR352">
        <v>0</v>
      </c>
      <c r="BS352">
        <v>1</v>
      </c>
      <c r="BT352">
        <v>1</v>
      </c>
      <c r="BU352">
        <v>1</v>
      </c>
      <c r="BV352">
        <v>1</v>
      </c>
      <c r="BW352">
        <v>1</v>
      </c>
      <c r="BX352">
        <v>1</v>
      </c>
      <c r="BY352" t="s">
        <v>3</v>
      </c>
      <c r="BZ352">
        <v>70</v>
      </c>
      <c r="CA352">
        <v>10</v>
      </c>
      <c r="CB352" t="s">
        <v>3</v>
      </c>
      <c r="CE352">
        <v>0</v>
      </c>
      <c r="CF352">
        <v>0</v>
      </c>
      <c r="CG352">
        <v>0</v>
      </c>
      <c r="CM352">
        <v>0</v>
      </c>
      <c r="CN352" t="s">
        <v>3</v>
      </c>
      <c r="CO352">
        <v>0</v>
      </c>
      <c r="CP352">
        <f t="shared" si="294"/>
        <v>1261.46</v>
      </c>
      <c r="CQ352">
        <f t="shared" si="295"/>
        <v>1.67</v>
      </c>
      <c r="CR352">
        <f>((((ET352)*BB352-(EU352)*BS352)+AE352*BS352)*AV352)</f>
        <v>4.09</v>
      </c>
      <c r="CS352">
        <f t="shared" si="296"/>
        <v>0.06</v>
      </c>
      <c r="CT352">
        <f t="shared" si="297"/>
        <v>1045.46</v>
      </c>
      <c r="CU352">
        <f t="shared" si="298"/>
        <v>0</v>
      </c>
      <c r="CV352">
        <f t="shared" si="299"/>
        <v>1.84</v>
      </c>
      <c r="CW352">
        <f t="shared" si="300"/>
        <v>0</v>
      </c>
      <c r="CX352">
        <f t="shared" si="301"/>
        <v>0</v>
      </c>
      <c r="CY352">
        <f t="shared" si="302"/>
        <v>878.18499999999995</v>
      </c>
      <c r="CZ352">
        <f t="shared" si="303"/>
        <v>125.455</v>
      </c>
      <c r="DC352" t="s">
        <v>3</v>
      </c>
      <c r="DD352" t="s">
        <v>3</v>
      </c>
      <c r="DE352" t="s">
        <v>3</v>
      </c>
      <c r="DF352" t="s">
        <v>3</v>
      </c>
      <c r="DG352" t="s">
        <v>3</v>
      </c>
      <c r="DH352" t="s">
        <v>3</v>
      </c>
      <c r="DI352" t="s">
        <v>3</v>
      </c>
      <c r="DJ352" t="s">
        <v>3</v>
      </c>
      <c r="DK352" t="s">
        <v>3</v>
      </c>
      <c r="DL352" t="s">
        <v>3</v>
      </c>
      <c r="DM352" t="s">
        <v>3</v>
      </c>
      <c r="DN352">
        <v>0</v>
      </c>
      <c r="DO352">
        <v>0</v>
      </c>
      <c r="DP352">
        <v>1</v>
      </c>
      <c r="DQ352">
        <v>1</v>
      </c>
      <c r="DU352">
        <v>16987630</v>
      </c>
      <c r="DV352" t="s">
        <v>37</v>
      </c>
      <c r="DW352" t="s">
        <v>37</v>
      </c>
      <c r="DX352">
        <v>10</v>
      </c>
      <c r="DZ352" t="s">
        <v>3</v>
      </c>
      <c r="EA352" t="s">
        <v>3</v>
      </c>
      <c r="EB352" t="s">
        <v>3</v>
      </c>
      <c r="EC352" t="s">
        <v>3</v>
      </c>
      <c r="EE352">
        <v>1441815344</v>
      </c>
      <c r="EF352">
        <v>1</v>
      </c>
      <c r="EG352" t="s">
        <v>23</v>
      </c>
      <c r="EH352">
        <v>0</v>
      </c>
      <c r="EI352" t="s">
        <v>3</v>
      </c>
      <c r="EJ352">
        <v>4</v>
      </c>
      <c r="EK352">
        <v>0</v>
      </c>
      <c r="EL352" t="s">
        <v>24</v>
      </c>
      <c r="EM352" t="s">
        <v>25</v>
      </c>
      <c r="EO352" t="s">
        <v>3</v>
      </c>
      <c r="EQ352">
        <v>0</v>
      </c>
      <c r="ER352">
        <v>1051.22</v>
      </c>
      <c r="ES352">
        <v>1.67</v>
      </c>
      <c r="ET352">
        <v>4.09</v>
      </c>
      <c r="EU352">
        <v>0.06</v>
      </c>
      <c r="EV352">
        <v>1045.46</v>
      </c>
      <c r="EW352">
        <v>1.84</v>
      </c>
      <c r="EX352">
        <v>0</v>
      </c>
      <c r="EY352">
        <v>0</v>
      </c>
      <c r="FQ352">
        <v>0</v>
      </c>
      <c r="FR352">
        <f t="shared" si="304"/>
        <v>0</v>
      </c>
      <c r="FS352">
        <v>0</v>
      </c>
      <c r="FX352">
        <v>70</v>
      </c>
      <c r="FY352">
        <v>10</v>
      </c>
      <c r="GA352" t="s">
        <v>3</v>
      </c>
      <c r="GD352">
        <v>0</v>
      </c>
      <c r="GF352">
        <v>373109242</v>
      </c>
      <c r="GG352">
        <v>2</v>
      </c>
      <c r="GH352">
        <v>1</v>
      </c>
      <c r="GI352">
        <v>-2</v>
      </c>
      <c r="GJ352">
        <v>0</v>
      </c>
      <c r="GK352">
        <f>ROUND(R352*(R12)/100,2)</f>
        <v>0.08</v>
      </c>
      <c r="GL352">
        <f t="shared" si="305"/>
        <v>0</v>
      </c>
      <c r="GM352">
        <f t="shared" si="306"/>
        <v>2265.19</v>
      </c>
      <c r="GN352">
        <f t="shared" si="307"/>
        <v>0</v>
      </c>
      <c r="GO352">
        <f t="shared" si="308"/>
        <v>0</v>
      </c>
      <c r="GP352">
        <f t="shared" si="309"/>
        <v>2265.19</v>
      </c>
      <c r="GR352">
        <v>0</v>
      </c>
      <c r="GS352">
        <v>3</v>
      </c>
      <c r="GT352">
        <v>0</v>
      </c>
      <c r="GU352" t="s">
        <v>3</v>
      </c>
      <c r="GV352">
        <f t="shared" si="310"/>
        <v>0</v>
      </c>
      <c r="GW352">
        <v>1</v>
      </c>
      <c r="GX352">
        <f t="shared" si="311"/>
        <v>0</v>
      </c>
      <c r="HA352">
        <v>0</v>
      </c>
      <c r="HB352">
        <v>0</v>
      </c>
      <c r="HC352">
        <f t="shared" si="312"/>
        <v>0</v>
      </c>
      <c r="HE352" t="s">
        <v>3</v>
      </c>
      <c r="HF352" t="s">
        <v>3</v>
      </c>
      <c r="HM352" t="s">
        <v>3</v>
      </c>
      <c r="HN352" t="s">
        <v>3</v>
      </c>
      <c r="HO352" t="s">
        <v>3</v>
      </c>
      <c r="HP352" t="s">
        <v>3</v>
      </c>
      <c r="HQ352" t="s">
        <v>3</v>
      </c>
      <c r="IK352">
        <v>0</v>
      </c>
    </row>
    <row r="353" spans="1:245" x14ac:dyDescent="0.2">
      <c r="A353">
        <v>17</v>
      </c>
      <c r="B353">
        <v>1</v>
      </c>
      <c r="D353">
        <f>ROW(EtalonRes!A220)</f>
        <v>220</v>
      </c>
      <c r="E353" t="s">
        <v>308</v>
      </c>
      <c r="F353" t="s">
        <v>276</v>
      </c>
      <c r="G353" t="s">
        <v>277</v>
      </c>
      <c r="H353" t="s">
        <v>37</v>
      </c>
      <c r="I353">
        <f>ROUND(12/10,9)</f>
        <v>1.2</v>
      </c>
      <c r="J353">
        <v>0</v>
      </c>
      <c r="K353">
        <f>ROUND(12/10,9)</f>
        <v>1.2</v>
      </c>
      <c r="O353">
        <f t="shared" si="278"/>
        <v>694.2</v>
      </c>
      <c r="P353">
        <f t="shared" si="279"/>
        <v>1.86</v>
      </c>
      <c r="Q353">
        <f t="shared" si="280"/>
        <v>4.4400000000000004</v>
      </c>
      <c r="R353">
        <f t="shared" si="281"/>
        <v>0.06</v>
      </c>
      <c r="S353">
        <f t="shared" si="282"/>
        <v>687.9</v>
      </c>
      <c r="T353">
        <f t="shared" si="283"/>
        <v>0</v>
      </c>
      <c r="U353">
        <f t="shared" si="284"/>
        <v>1.2</v>
      </c>
      <c r="V353">
        <f t="shared" si="285"/>
        <v>0</v>
      </c>
      <c r="W353">
        <f t="shared" si="286"/>
        <v>0</v>
      </c>
      <c r="X353">
        <f t="shared" si="287"/>
        <v>481.53</v>
      </c>
      <c r="Y353">
        <f t="shared" si="288"/>
        <v>68.790000000000006</v>
      </c>
      <c r="AA353">
        <v>1472224561</v>
      </c>
      <c r="AB353">
        <f t="shared" si="289"/>
        <v>578.5</v>
      </c>
      <c r="AC353">
        <f>ROUND(((ES353*5)),6)</f>
        <v>1.55</v>
      </c>
      <c r="AD353">
        <f>ROUND(((((ET353*5))-((EU353*5)))+AE353),6)</f>
        <v>3.7</v>
      </c>
      <c r="AE353">
        <f>ROUND(((EU353*5)),6)</f>
        <v>0.05</v>
      </c>
      <c r="AF353">
        <f>ROUND(((EV353*5)),6)</f>
        <v>573.25</v>
      </c>
      <c r="AG353">
        <f t="shared" si="291"/>
        <v>0</v>
      </c>
      <c r="AH353">
        <f>((EW353*5))</f>
        <v>1</v>
      </c>
      <c r="AI353">
        <f>((EX353*5))</f>
        <v>0</v>
      </c>
      <c r="AJ353">
        <f t="shared" si="293"/>
        <v>0</v>
      </c>
      <c r="AK353">
        <v>115.7</v>
      </c>
      <c r="AL353">
        <v>0.31</v>
      </c>
      <c r="AM353">
        <v>0.74</v>
      </c>
      <c r="AN353">
        <v>0.01</v>
      </c>
      <c r="AO353">
        <v>114.65</v>
      </c>
      <c r="AP353">
        <v>0</v>
      </c>
      <c r="AQ353">
        <v>0.2</v>
      </c>
      <c r="AR353">
        <v>0</v>
      </c>
      <c r="AS353">
        <v>0</v>
      </c>
      <c r="AT353">
        <v>70</v>
      </c>
      <c r="AU353">
        <v>10</v>
      </c>
      <c r="AV353">
        <v>1</v>
      </c>
      <c r="AW353">
        <v>1</v>
      </c>
      <c r="AZ353">
        <v>1</v>
      </c>
      <c r="BA353">
        <v>1</v>
      </c>
      <c r="BB353">
        <v>1</v>
      </c>
      <c r="BC353">
        <v>1</v>
      </c>
      <c r="BD353" t="s">
        <v>3</v>
      </c>
      <c r="BE353" t="s">
        <v>3</v>
      </c>
      <c r="BF353" t="s">
        <v>3</v>
      </c>
      <c r="BG353" t="s">
        <v>3</v>
      </c>
      <c r="BH353">
        <v>0</v>
      </c>
      <c r="BI353">
        <v>4</v>
      </c>
      <c r="BJ353" t="s">
        <v>278</v>
      </c>
      <c r="BM353">
        <v>0</v>
      </c>
      <c r="BN353">
        <v>0</v>
      </c>
      <c r="BO353" t="s">
        <v>3</v>
      </c>
      <c r="BP353">
        <v>0</v>
      </c>
      <c r="BQ353">
        <v>1</v>
      </c>
      <c r="BR353">
        <v>0</v>
      </c>
      <c r="BS353">
        <v>1</v>
      </c>
      <c r="BT353">
        <v>1</v>
      </c>
      <c r="BU353">
        <v>1</v>
      </c>
      <c r="BV353">
        <v>1</v>
      </c>
      <c r="BW353">
        <v>1</v>
      </c>
      <c r="BX353">
        <v>1</v>
      </c>
      <c r="BY353" t="s">
        <v>3</v>
      </c>
      <c r="BZ353">
        <v>70</v>
      </c>
      <c r="CA353">
        <v>10</v>
      </c>
      <c r="CB353" t="s">
        <v>3</v>
      </c>
      <c r="CE353">
        <v>0</v>
      </c>
      <c r="CF353">
        <v>0</v>
      </c>
      <c r="CG353">
        <v>0</v>
      </c>
      <c r="CM353">
        <v>0</v>
      </c>
      <c r="CN353" t="s">
        <v>3</v>
      </c>
      <c r="CO353">
        <v>0</v>
      </c>
      <c r="CP353">
        <f t="shared" si="294"/>
        <v>694.19999999999993</v>
      </c>
      <c r="CQ353">
        <f t="shared" si="295"/>
        <v>1.55</v>
      </c>
      <c r="CR353">
        <f>(((((ET353*5))*BB353-((EU353*5))*BS353)+AE353*BS353)*AV353)</f>
        <v>3.7</v>
      </c>
      <c r="CS353">
        <f t="shared" si="296"/>
        <v>0.05</v>
      </c>
      <c r="CT353">
        <f t="shared" si="297"/>
        <v>573.25</v>
      </c>
      <c r="CU353">
        <f t="shared" si="298"/>
        <v>0</v>
      </c>
      <c r="CV353">
        <f t="shared" si="299"/>
        <v>1</v>
      </c>
      <c r="CW353">
        <f t="shared" si="300"/>
        <v>0</v>
      </c>
      <c r="CX353">
        <f t="shared" si="301"/>
        <v>0</v>
      </c>
      <c r="CY353">
        <f t="shared" si="302"/>
        <v>481.53</v>
      </c>
      <c r="CZ353">
        <f t="shared" si="303"/>
        <v>68.790000000000006</v>
      </c>
      <c r="DC353" t="s">
        <v>3</v>
      </c>
      <c r="DD353" t="s">
        <v>279</v>
      </c>
      <c r="DE353" t="s">
        <v>279</v>
      </c>
      <c r="DF353" t="s">
        <v>279</v>
      </c>
      <c r="DG353" t="s">
        <v>279</v>
      </c>
      <c r="DH353" t="s">
        <v>3</v>
      </c>
      <c r="DI353" t="s">
        <v>279</v>
      </c>
      <c r="DJ353" t="s">
        <v>279</v>
      </c>
      <c r="DK353" t="s">
        <v>3</v>
      </c>
      <c r="DL353" t="s">
        <v>3</v>
      </c>
      <c r="DM353" t="s">
        <v>3</v>
      </c>
      <c r="DN353">
        <v>0</v>
      </c>
      <c r="DO353">
        <v>0</v>
      </c>
      <c r="DP353">
        <v>1</v>
      </c>
      <c r="DQ353">
        <v>1</v>
      </c>
      <c r="DU353">
        <v>16987630</v>
      </c>
      <c r="DV353" t="s">
        <v>37</v>
      </c>
      <c r="DW353" t="s">
        <v>37</v>
      </c>
      <c r="DX353">
        <v>10</v>
      </c>
      <c r="DZ353" t="s">
        <v>3</v>
      </c>
      <c r="EA353" t="s">
        <v>3</v>
      </c>
      <c r="EB353" t="s">
        <v>3</v>
      </c>
      <c r="EC353" t="s">
        <v>3</v>
      </c>
      <c r="EE353">
        <v>1441815344</v>
      </c>
      <c r="EF353">
        <v>1</v>
      </c>
      <c r="EG353" t="s">
        <v>23</v>
      </c>
      <c r="EH353">
        <v>0</v>
      </c>
      <c r="EI353" t="s">
        <v>3</v>
      </c>
      <c r="EJ353">
        <v>4</v>
      </c>
      <c r="EK353">
        <v>0</v>
      </c>
      <c r="EL353" t="s">
        <v>24</v>
      </c>
      <c r="EM353" t="s">
        <v>25</v>
      </c>
      <c r="EO353" t="s">
        <v>3</v>
      </c>
      <c r="EQ353">
        <v>0</v>
      </c>
      <c r="ER353">
        <v>115.7</v>
      </c>
      <c r="ES353">
        <v>0.31</v>
      </c>
      <c r="ET353">
        <v>0.74</v>
      </c>
      <c r="EU353">
        <v>0.01</v>
      </c>
      <c r="EV353">
        <v>114.65</v>
      </c>
      <c r="EW353">
        <v>0.2</v>
      </c>
      <c r="EX353">
        <v>0</v>
      </c>
      <c r="EY353">
        <v>0</v>
      </c>
      <c r="FQ353">
        <v>0</v>
      </c>
      <c r="FR353">
        <f t="shared" si="304"/>
        <v>0</v>
      </c>
      <c r="FS353">
        <v>0</v>
      </c>
      <c r="FX353">
        <v>70</v>
      </c>
      <c r="FY353">
        <v>10</v>
      </c>
      <c r="GA353" t="s">
        <v>3</v>
      </c>
      <c r="GD353">
        <v>0</v>
      </c>
      <c r="GF353">
        <v>-565925046</v>
      </c>
      <c r="GG353">
        <v>2</v>
      </c>
      <c r="GH353">
        <v>1</v>
      </c>
      <c r="GI353">
        <v>-2</v>
      </c>
      <c r="GJ353">
        <v>0</v>
      </c>
      <c r="GK353">
        <f>ROUND(R353*(R12)/100,2)</f>
        <v>0.06</v>
      </c>
      <c r="GL353">
        <f t="shared" si="305"/>
        <v>0</v>
      </c>
      <c r="GM353">
        <f t="shared" si="306"/>
        <v>1244.58</v>
      </c>
      <c r="GN353">
        <f t="shared" si="307"/>
        <v>0</v>
      </c>
      <c r="GO353">
        <f t="shared" si="308"/>
        <v>0</v>
      </c>
      <c r="GP353">
        <f t="shared" si="309"/>
        <v>1244.58</v>
      </c>
      <c r="GR353">
        <v>0</v>
      </c>
      <c r="GS353">
        <v>3</v>
      </c>
      <c r="GT353">
        <v>0</v>
      </c>
      <c r="GU353" t="s">
        <v>3</v>
      </c>
      <c r="GV353">
        <f t="shared" si="310"/>
        <v>0</v>
      </c>
      <c r="GW353">
        <v>1</v>
      </c>
      <c r="GX353">
        <f t="shared" si="311"/>
        <v>0</v>
      </c>
      <c r="HA353">
        <v>0</v>
      </c>
      <c r="HB353">
        <v>0</v>
      </c>
      <c r="HC353">
        <f t="shared" si="312"/>
        <v>0</v>
      </c>
      <c r="HE353" t="s">
        <v>3</v>
      </c>
      <c r="HF353" t="s">
        <v>3</v>
      </c>
      <c r="HM353" t="s">
        <v>3</v>
      </c>
      <c r="HN353" t="s">
        <v>3</v>
      </c>
      <c r="HO353" t="s">
        <v>3</v>
      </c>
      <c r="HP353" t="s">
        <v>3</v>
      </c>
      <c r="HQ353" t="s">
        <v>3</v>
      </c>
      <c r="IK353">
        <v>0</v>
      </c>
    </row>
    <row r="354" spans="1:245" x14ac:dyDescent="0.2">
      <c r="A354">
        <v>17</v>
      </c>
      <c r="B354">
        <v>1</v>
      </c>
      <c r="D354">
        <f>ROW(EtalonRes!A222)</f>
        <v>222</v>
      </c>
      <c r="E354" t="s">
        <v>3</v>
      </c>
      <c r="F354" t="s">
        <v>280</v>
      </c>
      <c r="G354" t="s">
        <v>281</v>
      </c>
      <c r="H354" t="s">
        <v>32</v>
      </c>
      <c r="I354">
        <v>17</v>
      </c>
      <c r="J354">
        <v>0</v>
      </c>
      <c r="K354">
        <v>17</v>
      </c>
      <c r="O354">
        <f t="shared" si="278"/>
        <v>19187.39</v>
      </c>
      <c r="P354">
        <f t="shared" si="279"/>
        <v>5.27</v>
      </c>
      <c r="Q354">
        <f t="shared" si="280"/>
        <v>0</v>
      </c>
      <c r="R354">
        <f t="shared" si="281"/>
        <v>0</v>
      </c>
      <c r="S354">
        <f t="shared" si="282"/>
        <v>19182.12</v>
      </c>
      <c r="T354">
        <f t="shared" si="283"/>
        <v>0</v>
      </c>
      <c r="U354">
        <f t="shared" si="284"/>
        <v>27.03</v>
      </c>
      <c r="V354">
        <f t="shared" si="285"/>
        <v>0</v>
      </c>
      <c r="W354">
        <f t="shared" si="286"/>
        <v>0</v>
      </c>
      <c r="X354">
        <f t="shared" si="287"/>
        <v>13427.48</v>
      </c>
      <c r="Y354">
        <f t="shared" si="288"/>
        <v>1918.21</v>
      </c>
      <c r="AA354">
        <v>-1</v>
      </c>
      <c r="AB354">
        <f t="shared" si="289"/>
        <v>1128.67</v>
      </c>
      <c r="AC354">
        <f>ROUND((ES354),6)</f>
        <v>0.31</v>
      </c>
      <c r="AD354">
        <f>ROUND((((ET354)-(EU354))+AE354),6)</f>
        <v>0</v>
      </c>
      <c r="AE354">
        <f>ROUND((EU354),6)</f>
        <v>0</v>
      </c>
      <c r="AF354">
        <f>ROUND((EV354),6)</f>
        <v>1128.3599999999999</v>
      </c>
      <c r="AG354">
        <f t="shared" si="291"/>
        <v>0</v>
      </c>
      <c r="AH354">
        <f>(EW354)</f>
        <v>1.59</v>
      </c>
      <c r="AI354">
        <f>(EX354)</f>
        <v>0</v>
      </c>
      <c r="AJ354">
        <f t="shared" si="293"/>
        <v>0</v>
      </c>
      <c r="AK354">
        <v>1128.67</v>
      </c>
      <c r="AL354">
        <v>0.31</v>
      </c>
      <c r="AM354">
        <v>0</v>
      </c>
      <c r="AN354">
        <v>0</v>
      </c>
      <c r="AO354">
        <v>1128.3599999999999</v>
      </c>
      <c r="AP354">
        <v>0</v>
      </c>
      <c r="AQ354">
        <v>1.59</v>
      </c>
      <c r="AR354">
        <v>0</v>
      </c>
      <c r="AS354">
        <v>0</v>
      </c>
      <c r="AT354">
        <v>70</v>
      </c>
      <c r="AU354">
        <v>10</v>
      </c>
      <c r="AV354">
        <v>1</v>
      </c>
      <c r="AW354">
        <v>1</v>
      </c>
      <c r="AZ354">
        <v>1</v>
      </c>
      <c r="BA354">
        <v>1</v>
      </c>
      <c r="BB354">
        <v>1</v>
      </c>
      <c r="BC354">
        <v>1</v>
      </c>
      <c r="BD354" t="s">
        <v>3</v>
      </c>
      <c r="BE354" t="s">
        <v>3</v>
      </c>
      <c r="BF354" t="s">
        <v>3</v>
      </c>
      <c r="BG354" t="s">
        <v>3</v>
      </c>
      <c r="BH354">
        <v>0</v>
      </c>
      <c r="BI354">
        <v>4</v>
      </c>
      <c r="BJ354" t="s">
        <v>282</v>
      </c>
      <c r="BM354">
        <v>0</v>
      </c>
      <c r="BN354">
        <v>0</v>
      </c>
      <c r="BO354" t="s">
        <v>3</v>
      </c>
      <c r="BP354">
        <v>0</v>
      </c>
      <c r="BQ354">
        <v>1</v>
      </c>
      <c r="BR354">
        <v>0</v>
      </c>
      <c r="BS354">
        <v>1</v>
      </c>
      <c r="BT354">
        <v>1</v>
      </c>
      <c r="BU354">
        <v>1</v>
      </c>
      <c r="BV354">
        <v>1</v>
      </c>
      <c r="BW354">
        <v>1</v>
      </c>
      <c r="BX354">
        <v>1</v>
      </c>
      <c r="BY354" t="s">
        <v>3</v>
      </c>
      <c r="BZ354">
        <v>70</v>
      </c>
      <c r="CA354">
        <v>10</v>
      </c>
      <c r="CB354" t="s">
        <v>3</v>
      </c>
      <c r="CE354">
        <v>0</v>
      </c>
      <c r="CF354">
        <v>0</v>
      </c>
      <c r="CG354">
        <v>0</v>
      </c>
      <c r="CM354">
        <v>0</v>
      </c>
      <c r="CN354" t="s">
        <v>3</v>
      </c>
      <c r="CO354">
        <v>0</v>
      </c>
      <c r="CP354">
        <f t="shared" si="294"/>
        <v>19187.39</v>
      </c>
      <c r="CQ354">
        <f t="shared" si="295"/>
        <v>0.31</v>
      </c>
      <c r="CR354">
        <f>((((ET354)*BB354-(EU354)*BS354)+AE354*BS354)*AV354)</f>
        <v>0</v>
      </c>
      <c r="CS354">
        <f t="shared" si="296"/>
        <v>0</v>
      </c>
      <c r="CT354">
        <f t="shared" si="297"/>
        <v>1128.3599999999999</v>
      </c>
      <c r="CU354">
        <f t="shared" si="298"/>
        <v>0</v>
      </c>
      <c r="CV354">
        <f t="shared" si="299"/>
        <v>1.59</v>
      </c>
      <c r="CW354">
        <f t="shared" si="300"/>
        <v>0</v>
      </c>
      <c r="CX354">
        <f t="shared" si="301"/>
        <v>0</v>
      </c>
      <c r="CY354">
        <f t="shared" si="302"/>
        <v>13427.483999999999</v>
      </c>
      <c r="CZ354">
        <f t="shared" si="303"/>
        <v>1918.2119999999998</v>
      </c>
      <c r="DC354" t="s">
        <v>3</v>
      </c>
      <c r="DD354" t="s">
        <v>3</v>
      </c>
      <c r="DE354" t="s">
        <v>3</v>
      </c>
      <c r="DF354" t="s">
        <v>3</v>
      </c>
      <c r="DG354" t="s">
        <v>3</v>
      </c>
      <c r="DH354" t="s">
        <v>3</v>
      </c>
      <c r="DI354" t="s">
        <v>3</v>
      </c>
      <c r="DJ354" t="s">
        <v>3</v>
      </c>
      <c r="DK354" t="s">
        <v>3</v>
      </c>
      <c r="DL354" t="s">
        <v>3</v>
      </c>
      <c r="DM354" t="s">
        <v>3</v>
      </c>
      <c r="DN354">
        <v>0</v>
      </c>
      <c r="DO354">
        <v>0</v>
      </c>
      <c r="DP354">
        <v>1</v>
      </c>
      <c r="DQ354">
        <v>1</v>
      </c>
      <c r="DU354">
        <v>16987630</v>
      </c>
      <c r="DV354" t="s">
        <v>32</v>
      </c>
      <c r="DW354" t="s">
        <v>32</v>
      </c>
      <c r="DX354">
        <v>1</v>
      </c>
      <c r="DZ354" t="s">
        <v>3</v>
      </c>
      <c r="EA354" t="s">
        <v>3</v>
      </c>
      <c r="EB354" t="s">
        <v>3</v>
      </c>
      <c r="EC354" t="s">
        <v>3</v>
      </c>
      <c r="EE354">
        <v>1441815344</v>
      </c>
      <c r="EF354">
        <v>1</v>
      </c>
      <c r="EG354" t="s">
        <v>23</v>
      </c>
      <c r="EH354">
        <v>0</v>
      </c>
      <c r="EI354" t="s">
        <v>3</v>
      </c>
      <c r="EJ354">
        <v>4</v>
      </c>
      <c r="EK354">
        <v>0</v>
      </c>
      <c r="EL354" t="s">
        <v>24</v>
      </c>
      <c r="EM354" t="s">
        <v>25</v>
      </c>
      <c r="EO354" t="s">
        <v>3</v>
      </c>
      <c r="EQ354">
        <v>1836032</v>
      </c>
      <c r="ER354">
        <v>1128.67</v>
      </c>
      <c r="ES354">
        <v>0.31</v>
      </c>
      <c r="ET354">
        <v>0</v>
      </c>
      <c r="EU354">
        <v>0</v>
      </c>
      <c r="EV354">
        <v>1128.3599999999999</v>
      </c>
      <c r="EW354">
        <v>1.59</v>
      </c>
      <c r="EX354">
        <v>0</v>
      </c>
      <c r="EY354">
        <v>0</v>
      </c>
      <c r="FQ354">
        <v>0</v>
      </c>
      <c r="FR354">
        <f t="shared" si="304"/>
        <v>0</v>
      </c>
      <c r="FS354">
        <v>0</v>
      </c>
      <c r="FX354">
        <v>70</v>
      </c>
      <c r="FY354">
        <v>10</v>
      </c>
      <c r="GA354" t="s">
        <v>3</v>
      </c>
      <c r="GD354">
        <v>0</v>
      </c>
      <c r="GF354">
        <v>2029808212</v>
      </c>
      <c r="GG354">
        <v>2</v>
      </c>
      <c r="GH354">
        <v>1</v>
      </c>
      <c r="GI354">
        <v>-2</v>
      </c>
      <c r="GJ354">
        <v>0</v>
      </c>
      <c r="GK354">
        <f>ROUND(R354*(R12)/100,2)</f>
        <v>0</v>
      </c>
      <c r="GL354">
        <f t="shared" si="305"/>
        <v>0</v>
      </c>
      <c r="GM354">
        <f t="shared" si="306"/>
        <v>34533.08</v>
      </c>
      <c r="GN354">
        <f t="shared" si="307"/>
        <v>0</v>
      </c>
      <c r="GO354">
        <f t="shared" si="308"/>
        <v>0</v>
      </c>
      <c r="GP354">
        <f t="shared" si="309"/>
        <v>34533.08</v>
      </c>
      <c r="GR354">
        <v>0</v>
      </c>
      <c r="GS354">
        <v>3</v>
      </c>
      <c r="GT354">
        <v>0</v>
      </c>
      <c r="GU354" t="s">
        <v>3</v>
      </c>
      <c r="GV354">
        <f t="shared" si="310"/>
        <v>0</v>
      </c>
      <c r="GW354">
        <v>1</v>
      </c>
      <c r="GX354">
        <f t="shared" si="311"/>
        <v>0</v>
      </c>
      <c r="HA354">
        <v>0</v>
      </c>
      <c r="HB354">
        <v>0</v>
      </c>
      <c r="HC354">
        <f t="shared" si="312"/>
        <v>0</v>
      </c>
      <c r="HE354" t="s">
        <v>3</v>
      </c>
      <c r="HF354" t="s">
        <v>3</v>
      </c>
      <c r="HM354" t="s">
        <v>3</v>
      </c>
      <c r="HN354" t="s">
        <v>3</v>
      </c>
      <c r="HO354" t="s">
        <v>3</v>
      </c>
      <c r="HP354" t="s">
        <v>3</v>
      </c>
      <c r="HQ354" t="s">
        <v>3</v>
      </c>
      <c r="IK354">
        <v>0</v>
      </c>
    </row>
    <row r="355" spans="1:245" x14ac:dyDescent="0.2">
      <c r="A355">
        <v>17</v>
      </c>
      <c r="B355">
        <v>1</v>
      </c>
      <c r="D355">
        <f>ROW(EtalonRes!A225)</f>
        <v>225</v>
      </c>
      <c r="E355" t="s">
        <v>309</v>
      </c>
      <c r="F355" t="s">
        <v>310</v>
      </c>
      <c r="G355" t="s">
        <v>311</v>
      </c>
      <c r="H355" t="s">
        <v>20</v>
      </c>
      <c r="I355">
        <f>ROUND((1.2)*4/100,9)</f>
        <v>4.8000000000000001E-2</v>
      </c>
      <c r="J355">
        <v>0</v>
      </c>
      <c r="K355">
        <f>ROUND((1.2)*4/100,9)</f>
        <v>4.8000000000000001E-2</v>
      </c>
      <c r="O355">
        <f t="shared" si="278"/>
        <v>951.38</v>
      </c>
      <c r="P355">
        <f t="shared" si="279"/>
        <v>0.75</v>
      </c>
      <c r="Q355">
        <f t="shared" si="280"/>
        <v>302.70999999999998</v>
      </c>
      <c r="R355">
        <f t="shared" si="281"/>
        <v>191.94</v>
      </c>
      <c r="S355">
        <f t="shared" si="282"/>
        <v>647.91999999999996</v>
      </c>
      <c r="T355">
        <f t="shared" si="283"/>
        <v>0</v>
      </c>
      <c r="U355">
        <f t="shared" si="284"/>
        <v>1.0598399999999999</v>
      </c>
      <c r="V355">
        <f t="shared" si="285"/>
        <v>0</v>
      </c>
      <c r="W355">
        <f t="shared" si="286"/>
        <v>0</v>
      </c>
      <c r="X355">
        <f t="shared" si="287"/>
        <v>453.54</v>
      </c>
      <c r="Y355">
        <f t="shared" si="288"/>
        <v>64.790000000000006</v>
      </c>
      <c r="AA355">
        <v>1472224561</v>
      </c>
      <c r="AB355">
        <f t="shared" si="289"/>
        <v>19820.400000000001</v>
      </c>
      <c r="AC355">
        <f>ROUND(((ES355*2)),6)</f>
        <v>15.6</v>
      </c>
      <c r="AD355">
        <f>ROUND(((((ET355*2))-((EU355*2)))+AE355),6)</f>
        <v>6306.56</v>
      </c>
      <c r="AE355">
        <f>ROUND(((EU355*2)),6)</f>
        <v>3998.8</v>
      </c>
      <c r="AF355">
        <f>ROUND(((EV355*2)),6)</f>
        <v>13498.24</v>
      </c>
      <c r="AG355">
        <f t="shared" si="291"/>
        <v>0</v>
      </c>
      <c r="AH355">
        <f>((EW355*2))</f>
        <v>22.08</v>
      </c>
      <c r="AI355">
        <f>((EX355*2))</f>
        <v>0</v>
      </c>
      <c r="AJ355">
        <f t="shared" si="293"/>
        <v>0</v>
      </c>
      <c r="AK355">
        <v>9910.2000000000007</v>
      </c>
      <c r="AL355">
        <v>7.8</v>
      </c>
      <c r="AM355">
        <v>3153.28</v>
      </c>
      <c r="AN355">
        <v>1999.4</v>
      </c>
      <c r="AO355">
        <v>6749.12</v>
      </c>
      <c r="AP355">
        <v>0</v>
      </c>
      <c r="AQ355">
        <v>11.04</v>
      </c>
      <c r="AR355">
        <v>0</v>
      </c>
      <c r="AS355">
        <v>0</v>
      </c>
      <c r="AT355">
        <v>70</v>
      </c>
      <c r="AU355">
        <v>10</v>
      </c>
      <c r="AV355">
        <v>1</v>
      </c>
      <c r="AW355">
        <v>1</v>
      </c>
      <c r="AZ355">
        <v>1</v>
      </c>
      <c r="BA355">
        <v>1</v>
      </c>
      <c r="BB355">
        <v>1</v>
      </c>
      <c r="BC355">
        <v>1</v>
      </c>
      <c r="BD355" t="s">
        <v>3</v>
      </c>
      <c r="BE355" t="s">
        <v>3</v>
      </c>
      <c r="BF355" t="s">
        <v>3</v>
      </c>
      <c r="BG355" t="s">
        <v>3</v>
      </c>
      <c r="BH355">
        <v>0</v>
      </c>
      <c r="BI355">
        <v>4</v>
      </c>
      <c r="BJ355" t="s">
        <v>312</v>
      </c>
      <c r="BM355">
        <v>0</v>
      </c>
      <c r="BN355">
        <v>0</v>
      </c>
      <c r="BO355" t="s">
        <v>3</v>
      </c>
      <c r="BP355">
        <v>0</v>
      </c>
      <c r="BQ355">
        <v>1</v>
      </c>
      <c r="BR355">
        <v>0</v>
      </c>
      <c r="BS355">
        <v>1</v>
      </c>
      <c r="BT355">
        <v>1</v>
      </c>
      <c r="BU355">
        <v>1</v>
      </c>
      <c r="BV355">
        <v>1</v>
      </c>
      <c r="BW355">
        <v>1</v>
      </c>
      <c r="BX355">
        <v>1</v>
      </c>
      <c r="BY355" t="s">
        <v>3</v>
      </c>
      <c r="BZ355">
        <v>70</v>
      </c>
      <c r="CA355">
        <v>10</v>
      </c>
      <c r="CB355" t="s">
        <v>3</v>
      </c>
      <c r="CE355">
        <v>0</v>
      </c>
      <c r="CF355">
        <v>0</v>
      </c>
      <c r="CG355">
        <v>0</v>
      </c>
      <c r="CM355">
        <v>0</v>
      </c>
      <c r="CN355" t="s">
        <v>3</v>
      </c>
      <c r="CO355">
        <v>0</v>
      </c>
      <c r="CP355">
        <f t="shared" si="294"/>
        <v>951.37999999999988</v>
      </c>
      <c r="CQ355">
        <f t="shared" si="295"/>
        <v>15.6</v>
      </c>
      <c r="CR355">
        <f>(((((ET355*2))*BB355-((EU355*2))*BS355)+AE355*BS355)*AV355)</f>
        <v>6306.56</v>
      </c>
      <c r="CS355">
        <f t="shared" si="296"/>
        <v>3998.8</v>
      </c>
      <c r="CT355">
        <f t="shared" si="297"/>
        <v>13498.24</v>
      </c>
      <c r="CU355">
        <f t="shared" si="298"/>
        <v>0</v>
      </c>
      <c r="CV355">
        <f t="shared" si="299"/>
        <v>22.08</v>
      </c>
      <c r="CW355">
        <f t="shared" si="300"/>
        <v>0</v>
      </c>
      <c r="CX355">
        <f t="shared" si="301"/>
        <v>0</v>
      </c>
      <c r="CY355">
        <f t="shared" si="302"/>
        <v>453.54399999999993</v>
      </c>
      <c r="CZ355">
        <f t="shared" si="303"/>
        <v>64.792000000000002</v>
      </c>
      <c r="DC355" t="s">
        <v>3</v>
      </c>
      <c r="DD355" t="s">
        <v>164</v>
      </c>
      <c r="DE355" t="s">
        <v>164</v>
      </c>
      <c r="DF355" t="s">
        <v>164</v>
      </c>
      <c r="DG355" t="s">
        <v>164</v>
      </c>
      <c r="DH355" t="s">
        <v>3</v>
      </c>
      <c r="DI355" t="s">
        <v>164</v>
      </c>
      <c r="DJ355" t="s">
        <v>164</v>
      </c>
      <c r="DK355" t="s">
        <v>3</v>
      </c>
      <c r="DL355" t="s">
        <v>3</v>
      </c>
      <c r="DM355" t="s">
        <v>3</v>
      </c>
      <c r="DN355">
        <v>0</v>
      </c>
      <c r="DO355">
        <v>0</v>
      </c>
      <c r="DP355">
        <v>1</v>
      </c>
      <c r="DQ355">
        <v>1</v>
      </c>
      <c r="DU355">
        <v>1003</v>
      </c>
      <c r="DV355" t="s">
        <v>20</v>
      </c>
      <c r="DW355" t="s">
        <v>20</v>
      </c>
      <c r="DX355">
        <v>100</v>
      </c>
      <c r="DZ355" t="s">
        <v>3</v>
      </c>
      <c r="EA355" t="s">
        <v>3</v>
      </c>
      <c r="EB355" t="s">
        <v>3</v>
      </c>
      <c r="EC355" t="s">
        <v>3</v>
      </c>
      <c r="EE355">
        <v>1441815344</v>
      </c>
      <c r="EF355">
        <v>1</v>
      </c>
      <c r="EG355" t="s">
        <v>23</v>
      </c>
      <c r="EH355">
        <v>0</v>
      </c>
      <c r="EI355" t="s">
        <v>3</v>
      </c>
      <c r="EJ355">
        <v>4</v>
      </c>
      <c r="EK355">
        <v>0</v>
      </c>
      <c r="EL355" t="s">
        <v>24</v>
      </c>
      <c r="EM355" t="s">
        <v>25</v>
      </c>
      <c r="EO355" t="s">
        <v>3</v>
      </c>
      <c r="EQ355">
        <v>0</v>
      </c>
      <c r="ER355">
        <v>9910.2000000000007</v>
      </c>
      <c r="ES355">
        <v>7.8</v>
      </c>
      <c r="ET355">
        <v>3153.28</v>
      </c>
      <c r="EU355">
        <v>1999.4</v>
      </c>
      <c r="EV355">
        <v>6749.12</v>
      </c>
      <c r="EW355">
        <v>11.04</v>
      </c>
      <c r="EX355">
        <v>0</v>
      </c>
      <c r="EY355">
        <v>0</v>
      </c>
      <c r="FQ355">
        <v>0</v>
      </c>
      <c r="FR355">
        <f t="shared" si="304"/>
        <v>0</v>
      </c>
      <c r="FS355">
        <v>0</v>
      </c>
      <c r="FX355">
        <v>70</v>
      </c>
      <c r="FY355">
        <v>10</v>
      </c>
      <c r="GA355" t="s">
        <v>3</v>
      </c>
      <c r="GD355">
        <v>0</v>
      </c>
      <c r="GF355">
        <v>-2137535542</v>
      </c>
      <c r="GG355">
        <v>2</v>
      </c>
      <c r="GH355">
        <v>1</v>
      </c>
      <c r="GI355">
        <v>-2</v>
      </c>
      <c r="GJ355">
        <v>0</v>
      </c>
      <c r="GK355">
        <f>ROUND(R355*(R12)/100,2)</f>
        <v>207.3</v>
      </c>
      <c r="GL355">
        <f t="shared" si="305"/>
        <v>0</v>
      </c>
      <c r="GM355">
        <f t="shared" si="306"/>
        <v>1677.01</v>
      </c>
      <c r="GN355">
        <f t="shared" si="307"/>
        <v>0</v>
      </c>
      <c r="GO355">
        <f t="shared" si="308"/>
        <v>0</v>
      </c>
      <c r="GP355">
        <f t="shared" si="309"/>
        <v>1677.01</v>
      </c>
      <c r="GR355">
        <v>0</v>
      </c>
      <c r="GS355">
        <v>3</v>
      </c>
      <c r="GT355">
        <v>0</v>
      </c>
      <c r="GU355" t="s">
        <v>3</v>
      </c>
      <c r="GV355">
        <f t="shared" si="310"/>
        <v>0</v>
      </c>
      <c r="GW355">
        <v>1</v>
      </c>
      <c r="GX355">
        <f t="shared" si="311"/>
        <v>0</v>
      </c>
      <c r="HA355">
        <v>0</v>
      </c>
      <c r="HB355">
        <v>0</v>
      </c>
      <c r="HC355">
        <f t="shared" si="312"/>
        <v>0</v>
      </c>
      <c r="HE355" t="s">
        <v>3</v>
      </c>
      <c r="HF355" t="s">
        <v>3</v>
      </c>
      <c r="HM355" t="s">
        <v>3</v>
      </c>
      <c r="HN355" t="s">
        <v>3</v>
      </c>
      <c r="HO355" t="s">
        <v>3</v>
      </c>
      <c r="HP355" t="s">
        <v>3</v>
      </c>
      <c r="HQ355" t="s">
        <v>3</v>
      </c>
      <c r="IK355">
        <v>0</v>
      </c>
    </row>
    <row r="356" spans="1:245" x14ac:dyDescent="0.2">
      <c r="A356">
        <v>17</v>
      </c>
      <c r="B356">
        <v>1</v>
      </c>
      <c r="D356">
        <f>ROW(EtalonRes!A228)</f>
        <v>228</v>
      </c>
      <c r="E356" t="s">
        <v>313</v>
      </c>
      <c r="F356" t="s">
        <v>284</v>
      </c>
      <c r="G356" t="s">
        <v>285</v>
      </c>
      <c r="H356" t="s">
        <v>32</v>
      </c>
      <c r="I356">
        <v>1</v>
      </c>
      <c r="J356">
        <v>0</v>
      </c>
      <c r="K356">
        <v>1</v>
      </c>
      <c r="O356">
        <f t="shared" si="278"/>
        <v>88.88</v>
      </c>
      <c r="P356">
        <f t="shared" si="279"/>
        <v>2.2000000000000002</v>
      </c>
      <c r="Q356">
        <f t="shared" si="280"/>
        <v>0.23</v>
      </c>
      <c r="R356">
        <f t="shared" si="281"/>
        <v>0</v>
      </c>
      <c r="S356">
        <f t="shared" si="282"/>
        <v>86.45</v>
      </c>
      <c r="T356">
        <f t="shared" si="283"/>
        <v>0</v>
      </c>
      <c r="U356">
        <f t="shared" si="284"/>
        <v>0.14000000000000001</v>
      </c>
      <c r="V356">
        <f t="shared" si="285"/>
        <v>0</v>
      </c>
      <c r="W356">
        <f t="shared" si="286"/>
        <v>0</v>
      </c>
      <c r="X356">
        <f t="shared" si="287"/>
        <v>60.52</v>
      </c>
      <c r="Y356">
        <f t="shared" si="288"/>
        <v>8.65</v>
      </c>
      <c r="AA356">
        <v>1472224561</v>
      </c>
      <c r="AB356">
        <f t="shared" si="289"/>
        <v>88.88</v>
      </c>
      <c r="AC356">
        <f>ROUND((ES356),6)</f>
        <v>2.2000000000000002</v>
      </c>
      <c r="AD356">
        <f>ROUND((((ET356)-(EU356))+AE356),6)</f>
        <v>0.23</v>
      </c>
      <c r="AE356">
        <f>ROUND((EU356),6)</f>
        <v>0</v>
      </c>
      <c r="AF356">
        <f>ROUND((EV356),6)</f>
        <v>86.45</v>
      </c>
      <c r="AG356">
        <f t="shared" si="291"/>
        <v>0</v>
      </c>
      <c r="AH356">
        <f>(EW356)</f>
        <v>0.14000000000000001</v>
      </c>
      <c r="AI356">
        <f>(EX356)</f>
        <v>0</v>
      </c>
      <c r="AJ356">
        <f t="shared" si="293"/>
        <v>0</v>
      </c>
      <c r="AK356">
        <v>88.88</v>
      </c>
      <c r="AL356">
        <v>2.2000000000000002</v>
      </c>
      <c r="AM356">
        <v>0.23</v>
      </c>
      <c r="AN356">
        <v>0</v>
      </c>
      <c r="AO356">
        <v>86.45</v>
      </c>
      <c r="AP356">
        <v>0</v>
      </c>
      <c r="AQ356">
        <v>0.14000000000000001</v>
      </c>
      <c r="AR356">
        <v>0</v>
      </c>
      <c r="AS356">
        <v>0</v>
      </c>
      <c r="AT356">
        <v>70</v>
      </c>
      <c r="AU356">
        <v>10</v>
      </c>
      <c r="AV356">
        <v>1</v>
      </c>
      <c r="AW356">
        <v>1</v>
      </c>
      <c r="AZ356">
        <v>1</v>
      </c>
      <c r="BA356">
        <v>1</v>
      </c>
      <c r="BB356">
        <v>1</v>
      </c>
      <c r="BC356">
        <v>1</v>
      </c>
      <c r="BD356" t="s">
        <v>3</v>
      </c>
      <c r="BE356" t="s">
        <v>3</v>
      </c>
      <c r="BF356" t="s">
        <v>3</v>
      </c>
      <c r="BG356" t="s">
        <v>3</v>
      </c>
      <c r="BH356">
        <v>0</v>
      </c>
      <c r="BI356">
        <v>4</v>
      </c>
      <c r="BJ356" t="s">
        <v>286</v>
      </c>
      <c r="BM356">
        <v>0</v>
      </c>
      <c r="BN356">
        <v>0</v>
      </c>
      <c r="BO356" t="s">
        <v>3</v>
      </c>
      <c r="BP356">
        <v>0</v>
      </c>
      <c r="BQ356">
        <v>1</v>
      </c>
      <c r="BR356">
        <v>0</v>
      </c>
      <c r="BS356">
        <v>1</v>
      </c>
      <c r="BT356">
        <v>1</v>
      </c>
      <c r="BU356">
        <v>1</v>
      </c>
      <c r="BV356">
        <v>1</v>
      </c>
      <c r="BW356">
        <v>1</v>
      </c>
      <c r="BX356">
        <v>1</v>
      </c>
      <c r="BY356" t="s">
        <v>3</v>
      </c>
      <c r="BZ356">
        <v>70</v>
      </c>
      <c r="CA356">
        <v>10</v>
      </c>
      <c r="CB356" t="s">
        <v>3</v>
      </c>
      <c r="CE356">
        <v>0</v>
      </c>
      <c r="CF356">
        <v>0</v>
      </c>
      <c r="CG356">
        <v>0</v>
      </c>
      <c r="CM356">
        <v>0</v>
      </c>
      <c r="CN356" t="s">
        <v>3</v>
      </c>
      <c r="CO356">
        <v>0</v>
      </c>
      <c r="CP356">
        <f t="shared" si="294"/>
        <v>88.88000000000001</v>
      </c>
      <c r="CQ356">
        <f t="shared" si="295"/>
        <v>2.2000000000000002</v>
      </c>
      <c r="CR356">
        <f>((((ET356)*BB356-(EU356)*BS356)+AE356*BS356)*AV356)</f>
        <v>0.23</v>
      </c>
      <c r="CS356">
        <f t="shared" si="296"/>
        <v>0</v>
      </c>
      <c r="CT356">
        <f t="shared" si="297"/>
        <v>86.45</v>
      </c>
      <c r="CU356">
        <f t="shared" si="298"/>
        <v>0</v>
      </c>
      <c r="CV356">
        <f t="shared" si="299"/>
        <v>0.14000000000000001</v>
      </c>
      <c r="CW356">
        <f t="shared" si="300"/>
        <v>0</v>
      </c>
      <c r="CX356">
        <f t="shared" si="301"/>
        <v>0</v>
      </c>
      <c r="CY356">
        <f t="shared" si="302"/>
        <v>60.515000000000001</v>
      </c>
      <c r="CZ356">
        <f t="shared" si="303"/>
        <v>8.6449999999999996</v>
      </c>
      <c r="DC356" t="s">
        <v>3</v>
      </c>
      <c r="DD356" t="s">
        <v>3</v>
      </c>
      <c r="DE356" t="s">
        <v>3</v>
      </c>
      <c r="DF356" t="s">
        <v>3</v>
      </c>
      <c r="DG356" t="s">
        <v>3</v>
      </c>
      <c r="DH356" t="s">
        <v>3</v>
      </c>
      <c r="DI356" t="s">
        <v>3</v>
      </c>
      <c r="DJ356" t="s">
        <v>3</v>
      </c>
      <c r="DK356" t="s">
        <v>3</v>
      </c>
      <c r="DL356" t="s">
        <v>3</v>
      </c>
      <c r="DM356" t="s">
        <v>3</v>
      </c>
      <c r="DN356">
        <v>0</v>
      </c>
      <c r="DO356">
        <v>0</v>
      </c>
      <c r="DP356">
        <v>1</v>
      </c>
      <c r="DQ356">
        <v>1</v>
      </c>
      <c r="DU356">
        <v>16987630</v>
      </c>
      <c r="DV356" t="s">
        <v>32</v>
      </c>
      <c r="DW356" t="s">
        <v>32</v>
      </c>
      <c r="DX356">
        <v>1</v>
      </c>
      <c r="DZ356" t="s">
        <v>3</v>
      </c>
      <c r="EA356" t="s">
        <v>3</v>
      </c>
      <c r="EB356" t="s">
        <v>3</v>
      </c>
      <c r="EC356" t="s">
        <v>3</v>
      </c>
      <c r="EE356">
        <v>1441815344</v>
      </c>
      <c r="EF356">
        <v>1</v>
      </c>
      <c r="EG356" t="s">
        <v>23</v>
      </c>
      <c r="EH356">
        <v>0</v>
      </c>
      <c r="EI356" t="s">
        <v>3</v>
      </c>
      <c r="EJ356">
        <v>4</v>
      </c>
      <c r="EK356">
        <v>0</v>
      </c>
      <c r="EL356" t="s">
        <v>24</v>
      </c>
      <c r="EM356" t="s">
        <v>25</v>
      </c>
      <c r="EO356" t="s">
        <v>3</v>
      </c>
      <c r="EQ356">
        <v>0</v>
      </c>
      <c r="ER356">
        <v>88.88</v>
      </c>
      <c r="ES356">
        <v>2.2000000000000002</v>
      </c>
      <c r="ET356">
        <v>0.23</v>
      </c>
      <c r="EU356">
        <v>0</v>
      </c>
      <c r="EV356">
        <v>86.45</v>
      </c>
      <c r="EW356">
        <v>0.14000000000000001</v>
      </c>
      <c r="EX356">
        <v>0</v>
      </c>
      <c r="EY356">
        <v>0</v>
      </c>
      <c r="FQ356">
        <v>0</v>
      </c>
      <c r="FR356">
        <f t="shared" si="304"/>
        <v>0</v>
      </c>
      <c r="FS356">
        <v>0</v>
      </c>
      <c r="FX356">
        <v>70</v>
      </c>
      <c r="FY356">
        <v>10</v>
      </c>
      <c r="GA356" t="s">
        <v>3</v>
      </c>
      <c r="GD356">
        <v>0</v>
      </c>
      <c r="GF356">
        <v>-129403832</v>
      </c>
      <c r="GG356">
        <v>2</v>
      </c>
      <c r="GH356">
        <v>1</v>
      </c>
      <c r="GI356">
        <v>-2</v>
      </c>
      <c r="GJ356">
        <v>0</v>
      </c>
      <c r="GK356">
        <f>ROUND(R356*(R12)/100,2)</f>
        <v>0</v>
      </c>
      <c r="GL356">
        <f t="shared" si="305"/>
        <v>0</v>
      </c>
      <c r="GM356">
        <f t="shared" si="306"/>
        <v>158.05000000000001</v>
      </c>
      <c r="GN356">
        <f t="shared" si="307"/>
        <v>0</v>
      </c>
      <c r="GO356">
        <f t="shared" si="308"/>
        <v>0</v>
      </c>
      <c r="GP356">
        <f t="shared" si="309"/>
        <v>158.05000000000001</v>
      </c>
      <c r="GR356">
        <v>0</v>
      </c>
      <c r="GS356">
        <v>3</v>
      </c>
      <c r="GT356">
        <v>0</v>
      </c>
      <c r="GU356" t="s">
        <v>3</v>
      </c>
      <c r="GV356">
        <f t="shared" si="310"/>
        <v>0</v>
      </c>
      <c r="GW356">
        <v>1</v>
      </c>
      <c r="GX356">
        <f t="shared" si="311"/>
        <v>0</v>
      </c>
      <c r="HA356">
        <v>0</v>
      </c>
      <c r="HB356">
        <v>0</v>
      </c>
      <c r="HC356">
        <f t="shared" si="312"/>
        <v>0</v>
      </c>
      <c r="HE356" t="s">
        <v>3</v>
      </c>
      <c r="HF356" t="s">
        <v>3</v>
      </c>
      <c r="HM356" t="s">
        <v>3</v>
      </c>
      <c r="HN356" t="s">
        <v>3</v>
      </c>
      <c r="HO356" t="s">
        <v>3</v>
      </c>
      <c r="HP356" t="s">
        <v>3</v>
      </c>
      <c r="HQ356" t="s">
        <v>3</v>
      </c>
      <c r="IK356">
        <v>0</v>
      </c>
    </row>
    <row r="357" spans="1:245" x14ac:dyDescent="0.2">
      <c r="A357">
        <v>17</v>
      </c>
      <c r="B357">
        <v>1</v>
      </c>
      <c r="D357">
        <f>ROW(EtalonRes!A229)</f>
        <v>229</v>
      </c>
      <c r="E357" t="s">
        <v>3</v>
      </c>
      <c r="F357" t="s">
        <v>287</v>
      </c>
      <c r="G357" t="s">
        <v>288</v>
      </c>
      <c r="H357" t="s">
        <v>37</v>
      </c>
      <c r="I357">
        <f>ROUND(1/10,9)</f>
        <v>0.1</v>
      </c>
      <c r="J357">
        <v>0</v>
      </c>
      <c r="K357">
        <f>ROUND(1/10,9)</f>
        <v>0.1</v>
      </c>
      <c r="O357">
        <f t="shared" si="278"/>
        <v>62.34</v>
      </c>
      <c r="P357">
        <f t="shared" si="279"/>
        <v>0</v>
      </c>
      <c r="Q357">
        <f t="shared" si="280"/>
        <v>0</v>
      </c>
      <c r="R357">
        <f t="shared" si="281"/>
        <v>0</v>
      </c>
      <c r="S357">
        <f t="shared" si="282"/>
        <v>62.34</v>
      </c>
      <c r="T357">
        <f t="shared" si="283"/>
        <v>0</v>
      </c>
      <c r="U357">
        <f t="shared" si="284"/>
        <v>0.123</v>
      </c>
      <c r="V357">
        <f t="shared" si="285"/>
        <v>0</v>
      </c>
      <c r="W357">
        <f t="shared" si="286"/>
        <v>0</v>
      </c>
      <c r="X357">
        <f t="shared" si="287"/>
        <v>43.64</v>
      </c>
      <c r="Y357">
        <f t="shared" si="288"/>
        <v>6.23</v>
      </c>
      <c r="AA357">
        <v>-1</v>
      </c>
      <c r="AB357">
        <f t="shared" si="289"/>
        <v>623.42999999999995</v>
      </c>
      <c r="AC357">
        <f>ROUND(((ES357*3)),6)</f>
        <v>0</v>
      </c>
      <c r="AD357">
        <f>ROUND(((((ET357*3))-((EU357*3)))+AE357),6)</f>
        <v>0</v>
      </c>
      <c r="AE357">
        <f>ROUND(((EU357*3)),6)</f>
        <v>0</v>
      </c>
      <c r="AF357">
        <f>ROUND(((EV357*3)),6)</f>
        <v>623.42999999999995</v>
      </c>
      <c r="AG357">
        <f t="shared" si="291"/>
        <v>0</v>
      </c>
      <c r="AH357">
        <f>((EW357*3))</f>
        <v>1.23</v>
      </c>
      <c r="AI357">
        <f>((EX357*3))</f>
        <v>0</v>
      </c>
      <c r="AJ357">
        <f t="shared" si="293"/>
        <v>0</v>
      </c>
      <c r="AK357">
        <v>207.81</v>
      </c>
      <c r="AL357">
        <v>0</v>
      </c>
      <c r="AM357">
        <v>0</v>
      </c>
      <c r="AN357">
        <v>0</v>
      </c>
      <c r="AO357">
        <v>207.81</v>
      </c>
      <c r="AP357">
        <v>0</v>
      </c>
      <c r="AQ357">
        <v>0.41</v>
      </c>
      <c r="AR357">
        <v>0</v>
      </c>
      <c r="AS357">
        <v>0</v>
      </c>
      <c r="AT357">
        <v>70</v>
      </c>
      <c r="AU357">
        <v>10</v>
      </c>
      <c r="AV357">
        <v>1</v>
      </c>
      <c r="AW357">
        <v>1</v>
      </c>
      <c r="AZ357">
        <v>1</v>
      </c>
      <c r="BA357">
        <v>1</v>
      </c>
      <c r="BB357">
        <v>1</v>
      </c>
      <c r="BC357">
        <v>1</v>
      </c>
      <c r="BD357" t="s">
        <v>3</v>
      </c>
      <c r="BE357" t="s">
        <v>3</v>
      </c>
      <c r="BF357" t="s">
        <v>3</v>
      </c>
      <c r="BG357" t="s">
        <v>3</v>
      </c>
      <c r="BH357">
        <v>0</v>
      </c>
      <c r="BI357">
        <v>4</v>
      </c>
      <c r="BJ357" t="s">
        <v>289</v>
      </c>
      <c r="BM357">
        <v>0</v>
      </c>
      <c r="BN357">
        <v>0</v>
      </c>
      <c r="BO357" t="s">
        <v>3</v>
      </c>
      <c r="BP357">
        <v>0</v>
      </c>
      <c r="BQ357">
        <v>1</v>
      </c>
      <c r="BR357">
        <v>0</v>
      </c>
      <c r="BS357">
        <v>1</v>
      </c>
      <c r="BT357">
        <v>1</v>
      </c>
      <c r="BU357">
        <v>1</v>
      </c>
      <c r="BV357">
        <v>1</v>
      </c>
      <c r="BW357">
        <v>1</v>
      </c>
      <c r="BX357">
        <v>1</v>
      </c>
      <c r="BY357" t="s">
        <v>3</v>
      </c>
      <c r="BZ357">
        <v>70</v>
      </c>
      <c r="CA357">
        <v>10</v>
      </c>
      <c r="CB357" t="s">
        <v>3</v>
      </c>
      <c r="CE357">
        <v>0</v>
      </c>
      <c r="CF357">
        <v>0</v>
      </c>
      <c r="CG357">
        <v>0</v>
      </c>
      <c r="CM357">
        <v>0</v>
      </c>
      <c r="CN357" t="s">
        <v>3</v>
      </c>
      <c r="CO357">
        <v>0</v>
      </c>
      <c r="CP357">
        <f t="shared" si="294"/>
        <v>62.34</v>
      </c>
      <c r="CQ357">
        <f t="shared" si="295"/>
        <v>0</v>
      </c>
      <c r="CR357">
        <f>(((((ET357*3))*BB357-((EU357*3))*BS357)+AE357*BS357)*AV357)</f>
        <v>0</v>
      </c>
      <c r="CS357">
        <f t="shared" si="296"/>
        <v>0</v>
      </c>
      <c r="CT357">
        <f t="shared" si="297"/>
        <v>623.42999999999995</v>
      </c>
      <c r="CU357">
        <f t="shared" si="298"/>
        <v>0</v>
      </c>
      <c r="CV357">
        <f t="shared" si="299"/>
        <v>1.23</v>
      </c>
      <c r="CW357">
        <f t="shared" si="300"/>
        <v>0</v>
      </c>
      <c r="CX357">
        <f t="shared" si="301"/>
        <v>0</v>
      </c>
      <c r="CY357">
        <f t="shared" si="302"/>
        <v>43.638000000000005</v>
      </c>
      <c r="CZ357">
        <f t="shared" si="303"/>
        <v>6.2340000000000009</v>
      </c>
      <c r="DC357" t="s">
        <v>3</v>
      </c>
      <c r="DD357" t="s">
        <v>290</v>
      </c>
      <c r="DE357" t="s">
        <v>290</v>
      </c>
      <c r="DF357" t="s">
        <v>290</v>
      </c>
      <c r="DG357" t="s">
        <v>290</v>
      </c>
      <c r="DH357" t="s">
        <v>3</v>
      </c>
      <c r="DI357" t="s">
        <v>290</v>
      </c>
      <c r="DJ357" t="s">
        <v>290</v>
      </c>
      <c r="DK357" t="s">
        <v>3</v>
      </c>
      <c r="DL357" t="s">
        <v>3</v>
      </c>
      <c r="DM357" t="s">
        <v>3</v>
      </c>
      <c r="DN357">
        <v>0</v>
      </c>
      <c r="DO357">
        <v>0</v>
      </c>
      <c r="DP357">
        <v>1</v>
      </c>
      <c r="DQ357">
        <v>1</v>
      </c>
      <c r="DU357">
        <v>16987630</v>
      </c>
      <c r="DV357" t="s">
        <v>37</v>
      </c>
      <c r="DW357" t="s">
        <v>37</v>
      </c>
      <c r="DX357">
        <v>10</v>
      </c>
      <c r="DZ357" t="s">
        <v>3</v>
      </c>
      <c r="EA357" t="s">
        <v>3</v>
      </c>
      <c r="EB357" t="s">
        <v>3</v>
      </c>
      <c r="EC357" t="s">
        <v>3</v>
      </c>
      <c r="EE357">
        <v>1441815344</v>
      </c>
      <c r="EF357">
        <v>1</v>
      </c>
      <c r="EG357" t="s">
        <v>23</v>
      </c>
      <c r="EH357">
        <v>0</v>
      </c>
      <c r="EI357" t="s">
        <v>3</v>
      </c>
      <c r="EJ357">
        <v>4</v>
      </c>
      <c r="EK357">
        <v>0</v>
      </c>
      <c r="EL357" t="s">
        <v>24</v>
      </c>
      <c r="EM357" t="s">
        <v>25</v>
      </c>
      <c r="EO357" t="s">
        <v>3</v>
      </c>
      <c r="EQ357">
        <v>1024</v>
      </c>
      <c r="ER357">
        <v>207.81</v>
      </c>
      <c r="ES357">
        <v>0</v>
      </c>
      <c r="ET357">
        <v>0</v>
      </c>
      <c r="EU357">
        <v>0</v>
      </c>
      <c r="EV357">
        <v>207.81</v>
      </c>
      <c r="EW357">
        <v>0.41</v>
      </c>
      <c r="EX357">
        <v>0</v>
      </c>
      <c r="EY357">
        <v>0</v>
      </c>
      <c r="FQ357">
        <v>0</v>
      </c>
      <c r="FR357">
        <f t="shared" si="304"/>
        <v>0</v>
      </c>
      <c r="FS357">
        <v>0</v>
      </c>
      <c r="FX357">
        <v>70</v>
      </c>
      <c r="FY357">
        <v>10</v>
      </c>
      <c r="GA357" t="s">
        <v>3</v>
      </c>
      <c r="GD357">
        <v>0</v>
      </c>
      <c r="GF357">
        <v>1497006217</v>
      </c>
      <c r="GG357">
        <v>2</v>
      </c>
      <c r="GH357">
        <v>1</v>
      </c>
      <c r="GI357">
        <v>-2</v>
      </c>
      <c r="GJ357">
        <v>0</v>
      </c>
      <c r="GK357">
        <f>ROUND(R357*(R12)/100,2)</f>
        <v>0</v>
      </c>
      <c r="GL357">
        <f t="shared" si="305"/>
        <v>0</v>
      </c>
      <c r="GM357">
        <f t="shared" si="306"/>
        <v>112.21</v>
      </c>
      <c r="GN357">
        <f t="shared" si="307"/>
        <v>0</v>
      </c>
      <c r="GO357">
        <f t="shared" si="308"/>
        <v>0</v>
      </c>
      <c r="GP357">
        <f t="shared" si="309"/>
        <v>112.21</v>
      </c>
      <c r="GR357">
        <v>0</v>
      </c>
      <c r="GS357">
        <v>3</v>
      </c>
      <c r="GT357">
        <v>0</v>
      </c>
      <c r="GU357" t="s">
        <v>3</v>
      </c>
      <c r="GV357">
        <f t="shared" si="310"/>
        <v>0</v>
      </c>
      <c r="GW357">
        <v>1</v>
      </c>
      <c r="GX357">
        <f t="shared" si="311"/>
        <v>0</v>
      </c>
      <c r="HA357">
        <v>0</v>
      </c>
      <c r="HB357">
        <v>0</v>
      </c>
      <c r="HC357">
        <f t="shared" si="312"/>
        <v>0</v>
      </c>
      <c r="HE357" t="s">
        <v>3</v>
      </c>
      <c r="HF357" t="s">
        <v>3</v>
      </c>
      <c r="HM357" t="s">
        <v>3</v>
      </c>
      <c r="HN357" t="s">
        <v>3</v>
      </c>
      <c r="HO357" t="s">
        <v>3</v>
      </c>
      <c r="HP357" t="s">
        <v>3</v>
      </c>
      <c r="HQ357" t="s">
        <v>3</v>
      </c>
      <c r="IK357">
        <v>0</v>
      </c>
    </row>
    <row r="358" spans="1:245" x14ac:dyDescent="0.2">
      <c r="A358">
        <v>17</v>
      </c>
      <c r="B358">
        <v>1</v>
      </c>
      <c r="D358">
        <f>ROW(EtalonRes!A230)</f>
        <v>230</v>
      </c>
      <c r="E358" t="s">
        <v>314</v>
      </c>
      <c r="F358" t="s">
        <v>35</v>
      </c>
      <c r="G358" t="s">
        <v>36</v>
      </c>
      <c r="H358" t="s">
        <v>37</v>
      </c>
      <c r="I358">
        <f>ROUND(82/10,9)</f>
        <v>8.1999999999999993</v>
      </c>
      <c r="J358">
        <v>0</v>
      </c>
      <c r="K358">
        <f>ROUND(82/10,9)</f>
        <v>8.1999999999999993</v>
      </c>
      <c r="O358">
        <f t="shared" si="278"/>
        <v>2278.5300000000002</v>
      </c>
      <c r="P358">
        <f t="shared" si="279"/>
        <v>0</v>
      </c>
      <c r="Q358">
        <f t="shared" si="280"/>
        <v>0</v>
      </c>
      <c r="R358">
        <f t="shared" si="281"/>
        <v>0</v>
      </c>
      <c r="S358">
        <f t="shared" si="282"/>
        <v>2278.5300000000002</v>
      </c>
      <c r="T358">
        <f t="shared" si="283"/>
        <v>0</v>
      </c>
      <c r="U358">
        <f t="shared" si="284"/>
        <v>3.69</v>
      </c>
      <c r="V358">
        <f t="shared" si="285"/>
        <v>0</v>
      </c>
      <c r="W358">
        <f t="shared" si="286"/>
        <v>0</v>
      </c>
      <c r="X358">
        <f t="shared" si="287"/>
        <v>1594.97</v>
      </c>
      <c r="Y358">
        <f t="shared" si="288"/>
        <v>227.85</v>
      </c>
      <c r="AA358">
        <v>1472224561</v>
      </c>
      <c r="AB358">
        <f t="shared" si="289"/>
        <v>277.87</v>
      </c>
      <c r="AC358">
        <f>ROUND((ES358),6)</f>
        <v>0</v>
      </c>
      <c r="AD358">
        <f>ROUND((((ET358)-(EU358))+AE358),6)</f>
        <v>0</v>
      </c>
      <c r="AE358">
        <f>ROUND((EU358),6)</f>
        <v>0</v>
      </c>
      <c r="AF358">
        <f>ROUND((EV358),6)</f>
        <v>277.87</v>
      </c>
      <c r="AG358">
        <f t="shared" si="291"/>
        <v>0</v>
      </c>
      <c r="AH358">
        <f>(EW358)</f>
        <v>0.45</v>
      </c>
      <c r="AI358">
        <f>(EX358)</f>
        <v>0</v>
      </c>
      <c r="AJ358">
        <f t="shared" si="293"/>
        <v>0</v>
      </c>
      <c r="AK358">
        <v>277.87</v>
      </c>
      <c r="AL358">
        <v>0</v>
      </c>
      <c r="AM358">
        <v>0</v>
      </c>
      <c r="AN358">
        <v>0</v>
      </c>
      <c r="AO358">
        <v>277.87</v>
      </c>
      <c r="AP358">
        <v>0</v>
      </c>
      <c r="AQ358">
        <v>0.45</v>
      </c>
      <c r="AR358">
        <v>0</v>
      </c>
      <c r="AS358">
        <v>0</v>
      </c>
      <c r="AT358">
        <v>70</v>
      </c>
      <c r="AU358">
        <v>10</v>
      </c>
      <c r="AV358">
        <v>1</v>
      </c>
      <c r="AW358">
        <v>1</v>
      </c>
      <c r="AZ358">
        <v>1</v>
      </c>
      <c r="BA358">
        <v>1</v>
      </c>
      <c r="BB358">
        <v>1</v>
      </c>
      <c r="BC358">
        <v>1</v>
      </c>
      <c r="BD358" t="s">
        <v>3</v>
      </c>
      <c r="BE358" t="s">
        <v>3</v>
      </c>
      <c r="BF358" t="s">
        <v>3</v>
      </c>
      <c r="BG358" t="s">
        <v>3</v>
      </c>
      <c r="BH358">
        <v>0</v>
      </c>
      <c r="BI358">
        <v>4</v>
      </c>
      <c r="BJ358" t="s">
        <v>38</v>
      </c>
      <c r="BM358">
        <v>0</v>
      </c>
      <c r="BN358">
        <v>0</v>
      </c>
      <c r="BO358" t="s">
        <v>3</v>
      </c>
      <c r="BP358">
        <v>0</v>
      </c>
      <c r="BQ358">
        <v>1</v>
      </c>
      <c r="BR358">
        <v>0</v>
      </c>
      <c r="BS358">
        <v>1</v>
      </c>
      <c r="BT358">
        <v>1</v>
      </c>
      <c r="BU358">
        <v>1</v>
      </c>
      <c r="BV358">
        <v>1</v>
      </c>
      <c r="BW358">
        <v>1</v>
      </c>
      <c r="BX358">
        <v>1</v>
      </c>
      <c r="BY358" t="s">
        <v>3</v>
      </c>
      <c r="BZ358">
        <v>70</v>
      </c>
      <c r="CA358">
        <v>10</v>
      </c>
      <c r="CB358" t="s">
        <v>3</v>
      </c>
      <c r="CE358">
        <v>0</v>
      </c>
      <c r="CF358">
        <v>0</v>
      </c>
      <c r="CG358">
        <v>0</v>
      </c>
      <c r="CM358">
        <v>0</v>
      </c>
      <c r="CN358" t="s">
        <v>3</v>
      </c>
      <c r="CO358">
        <v>0</v>
      </c>
      <c r="CP358">
        <f t="shared" si="294"/>
        <v>2278.5300000000002</v>
      </c>
      <c r="CQ358">
        <f t="shared" si="295"/>
        <v>0</v>
      </c>
      <c r="CR358">
        <f>((((ET358)*BB358-(EU358)*BS358)+AE358*BS358)*AV358)</f>
        <v>0</v>
      </c>
      <c r="CS358">
        <f t="shared" si="296"/>
        <v>0</v>
      </c>
      <c r="CT358">
        <f t="shared" si="297"/>
        <v>277.87</v>
      </c>
      <c r="CU358">
        <f t="shared" si="298"/>
        <v>0</v>
      </c>
      <c r="CV358">
        <f t="shared" si="299"/>
        <v>0.45</v>
      </c>
      <c r="CW358">
        <f t="shared" si="300"/>
        <v>0</v>
      </c>
      <c r="CX358">
        <f t="shared" si="301"/>
        <v>0</v>
      </c>
      <c r="CY358">
        <f t="shared" si="302"/>
        <v>1594.971</v>
      </c>
      <c r="CZ358">
        <f t="shared" si="303"/>
        <v>227.85300000000004</v>
      </c>
      <c r="DC358" t="s">
        <v>3</v>
      </c>
      <c r="DD358" t="s">
        <v>3</v>
      </c>
      <c r="DE358" t="s">
        <v>3</v>
      </c>
      <c r="DF358" t="s">
        <v>3</v>
      </c>
      <c r="DG358" t="s">
        <v>3</v>
      </c>
      <c r="DH358" t="s">
        <v>3</v>
      </c>
      <c r="DI358" t="s">
        <v>3</v>
      </c>
      <c r="DJ358" t="s">
        <v>3</v>
      </c>
      <c r="DK358" t="s">
        <v>3</v>
      </c>
      <c r="DL358" t="s">
        <v>3</v>
      </c>
      <c r="DM358" t="s">
        <v>3</v>
      </c>
      <c r="DN358">
        <v>0</v>
      </c>
      <c r="DO358">
        <v>0</v>
      </c>
      <c r="DP358">
        <v>1</v>
      </c>
      <c r="DQ358">
        <v>1</v>
      </c>
      <c r="DU358">
        <v>16987630</v>
      </c>
      <c r="DV358" t="s">
        <v>37</v>
      </c>
      <c r="DW358" t="s">
        <v>37</v>
      </c>
      <c r="DX358">
        <v>10</v>
      </c>
      <c r="DZ358" t="s">
        <v>3</v>
      </c>
      <c r="EA358" t="s">
        <v>3</v>
      </c>
      <c r="EB358" t="s">
        <v>3</v>
      </c>
      <c r="EC358" t="s">
        <v>3</v>
      </c>
      <c r="EE358">
        <v>1441815344</v>
      </c>
      <c r="EF358">
        <v>1</v>
      </c>
      <c r="EG358" t="s">
        <v>23</v>
      </c>
      <c r="EH358">
        <v>0</v>
      </c>
      <c r="EI358" t="s">
        <v>3</v>
      </c>
      <c r="EJ358">
        <v>4</v>
      </c>
      <c r="EK358">
        <v>0</v>
      </c>
      <c r="EL358" t="s">
        <v>24</v>
      </c>
      <c r="EM358" t="s">
        <v>25</v>
      </c>
      <c r="EO358" t="s">
        <v>3</v>
      </c>
      <c r="EQ358">
        <v>0</v>
      </c>
      <c r="ER358">
        <v>277.87</v>
      </c>
      <c r="ES358">
        <v>0</v>
      </c>
      <c r="ET358">
        <v>0</v>
      </c>
      <c r="EU358">
        <v>0</v>
      </c>
      <c r="EV358">
        <v>277.87</v>
      </c>
      <c r="EW358">
        <v>0.45</v>
      </c>
      <c r="EX358">
        <v>0</v>
      </c>
      <c r="EY358">
        <v>0</v>
      </c>
      <c r="FQ358">
        <v>0</v>
      </c>
      <c r="FR358">
        <f t="shared" si="304"/>
        <v>0</v>
      </c>
      <c r="FS358">
        <v>0</v>
      </c>
      <c r="FX358">
        <v>70</v>
      </c>
      <c r="FY358">
        <v>10</v>
      </c>
      <c r="GA358" t="s">
        <v>3</v>
      </c>
      <c r="GD358">
        <v>0</v>
      </c>
      <c r="GF358">
        <v>-559430364</v>
      </c>
      <c r="GG358">
        <v>2</v>
      </c>
      <c r="GH358">
        <v>1</v>
      </c>
      <c r="GI358">
        <v>-2</v>
      </c>
      <c r="GJ358">
        <v>0</v>
      </c>
      <c r="GK358">
        <f>ROUND(R358*(R12)/100,2)</f>
        <v>0</v>
      </c>
      <c r="GL358">
        <f t="shared" si="305"/>
        <v>0</v>
      </c>
      <c r="GM358">
        <f t="shared" si="306"/>
        <v>4101.3500000000004</v>
      </c>
      <c r="GN358">
        <f t="shared" si="307"/>
        <v>0</v>
      </c>
      <c r="GO358">
        <f t="shared" si="308"/>
        <v>0</v>
      </c>
      <c r="GP358">
        <f t="shared" si="309"/>
        <v>4101.3500000000004</v>
      </c>
      <c r="GR358">
        <v>0</v>
      </c>
      <c r="GS358">
        <v>3</v>
      </c>
      <c r="GT358">
        <v>0</v>
      </c>
      <c r="GU358" t="s">
        <v>3</v>
      </c>
      <c r="GV358">
        <f t="shared" si="310"/>
        <v>0</v>
      </c>
      <c r="GW358">
        <v>1</v>
      </c>
      <c r="GX358">
        <f t="shared" si="311"/>
        <v>0</v>
      </c>
      <c r="HA358">
        <v>0</v>
      </c>
      <c r="HB358">
        <v>0</v>
      </c>
      <c r="HC358">
        <f t="shared" si="312"/>
        <v>0</v>
      </c>
      <c r="HE358" t="s">
        <v>3</v>
      </c>
      <c r="HF358" t="s">
        <v>3</v>
      </c>
      <c r="HM358" t="s">
        <v>3</v>
      </c>
      <c r="HN358" t="s">
        <v>3</v>
      </c>
      <c r="HO358" t="s">
        <v>3</v>
      </c>
      <c r="HP358" t="s">
        <v>3</v>
      </c>
      <c r="HQ358" t="s">
        <v>3</v>
      </c>
      <c r="IK358">
        <v>0</v>
      </c>
    </row>
    <row r="359" spans="1:245" x14ac:dyDescent="0.2">
      <c r="A359">
        <v>17</v>
      </c>
      <c r="B359">
        <v>1</v>
      </c>
      <c r="D359">
        <f>ROW(EtalonRes!A232)</f>
        <v>232</v>
      </c>
      <c r="E359" t="s">
        <v>315</v>
      </c>
      <c r="F359" t="s">
        <v>293</v>
      </c>
      <c r="G359" t="s">
        <v>294</v>
      </c>
      <c r="H359" t="s">
        <v>37</v>
      </c>
      <c r="I359">
        <f>ROUND(10/10,9)</f>
        <v>1</v>
      </c>
      <c r="J359">
        <v>0</v>
      </c>
      <c r="K359">
        <f>ROUND(10/10,9)</f>
        <v>1</v>
      </c>
      <c r="O359">
        <f t="shared" si="278"/>
        <v>939.21</v>
      </c>
      <c r="P359">
        <f t="shared" si="279"/>
        <v>0.63</v>
      </c>
      <c r="Q359">
        <f t="shared" si="280"/>
        <v>0</v>
      </c>
      <c r="R359">
        <f t="shared" si="281"/>
        <v>0</v>
      </c>
      <c r="S359">
        <f t="shared" si="282"/>
        <v>938.58</v>
      </c>
      <c r="T359">
        <f t="shared" si="283"/>
        <v>0</v>
      </c>
      <c r="U359">
        <f t="shared" si="284"/>
        <v>1.52</v>
      </c>
      <c r="V359">
        <f t="shared" si="285"/>
        <v>0</v>
      </c>
      <c r="W359">
        <f t="shared" si="286"/>
        <v>0</v>
      </c>
      <c r="X359">
        <f t="shared" si="287"/>
        <v>657.01</v>
      </c>
      <c r="Y359">
        <f t="shared" si="288"/>
        <v>93.86</v>
      </c>
      <c r="AA359">
        <v>1472224561</v>
      </c>
      <c r="AB359">
        <f t="shared" si="289"/>
        <v>939.21</v>
      </c>
      <c r="AC359">
        <f>ROUND((ES359),6)</f>
        <v>0.63</v>
      </c>
      <c r="AD359">
        <f>ROUND((((ET359)-(EU359))+AE359),6)</f>
        <v>0</v>
      </c>
      <c r="AE359">
        <f>ROUND((EU359),6)</f>
        <v>0</v>
      </c>
      <c r="AF359">
        <f>ROUND((EV359),6)</f>
        <v>938.58</v>
      </c>
      <c r="AG359">
        <f t="shared" si="291"/>
        <v>0</v>
      </c>
      <c r="AH359">
        <f>(EW359)</f>
        <v>1.52</v>
      </c>
      <c r="AI359">
        <f>(EX359)</f>
        <v>0</v>
      </c>
      <c r="AJ359">
        <f t="shared" si="293"/>
        <v>0</v>
      </c>
      <c r="AK359">
        <v>939.21</v>
      </c>
      <c r="AL359">
        <v>0.63</v>
      </c>
      <c r="AM359">
        <v>0</v>
      </c>
      <c r="AN359">
        <v>0</v>
      </c>
      <c r="AO359">
        <v>938.58</v>
      </c>
      <c r="AP359">
        <v>0</v>
      </c>
      <c r="AQ359">
        <v>1.52</v>
      </c>
      <c r="AR359">
        <v>0</v>
      </c>
      <c r="AS359">
        <v>0</v>
      </c>
      <c r="AT359">
        <v>70</v>
      </c>
      <c r="AU359">
        <v>10</v>
      </c>
      <c r="AV359">
        <v>1</v>
      </c>
      <c r="AW359">
        <v>1</v>
      </c>
      <c r="AZ359">
        <v>1</v>
      </c>
      <c r="BA359">
        <v>1</v>
      </c>
      <c r="BB359">
        <v>1</v>
      </c>
      <c r="BC359">
        <v>1</v>
      </c>
      <c r="BD359" t="s">
        <v>3</v>
      </c>
      <c r="BE359" t="s">
        <v>3</v>
      </c>
      <c r="BF359" t="s">
        <v>3</v>
      </c>
      <c r="BG359" t="s">
        <v>3</v>
      </c>
      <c r="BH359">
        <v>0</v>
      </c>
      <c r="BI359">
        <v>4</v>
      </c>
      <c r="BJ359" t="s">
        <v>295</v>
      </c>
      <c r="BM359">
        <v>0</v>
      </c>
      <c r="BN359">
        <v>0</v>
      </c>
      <c r="BO359" t="s">
        <v>3</v>
      </c>
      <c r="BP359">
        <v>0</v>
      </c>
      <c r="BQ359">
        <v>1</v>
      </c>
      <c r="BR359">
        <v>0</v>
      </c>
      <c r="BS359">
        <v>1</v>
      </c>
      <c r="BT359">
        <v>1</v>
      </c>
      <c r="BU359">
        <v>1</v>
      </c>
      <c r="BV359">
        <v>1</v>
      </c>
      <c r="BW359">
        <v>1</v>
      </c>
      <c r="BX359">
        <v>1</v>
      </c>
      <c r="BY359" t="s">
        <v>3</v>
      </c>
      <c r="BZ359">
        <v>70</v>
      </c>
      <c r="CA359">
        <v>10</v>
      </c>
      <c r="CB359" t="s">
        <v>3</v>
      </c>
      <c r="CE359">
        <v>0</v>
      </c>
      <c r="CF359">
        <v>0</v>
      </c>
      <c r="CG359">
        <v>0</v>
      </c>
      <c r="CM359">
        <v>0</v>
      </c>
      <c r="CN359" t="s">
        <v>3</v>
      </c>
      <c r="CO359">
        <v>0</v>
      </c>
      <c r="CP359">
        <f t="shared" si="294"/>
        <v>939.21</v>
      </c>
      <c r="CQ359">
        <f t="shared" si="295"/>
        <v>0.63</v>
      </c>
      <c r="CR359">
        <f>((((ET359)*BB359-(EU359)*BS359)+AE359*BS359)*AV359)</f>
        <v>0</v>
      </c>
      <c r="CS359">
        <f t="shared" si="296"/>
        <v>0</v>
      </c>
      <c r="CT359">
        <f t="shared" si="297"/>
        <v>938.58</v>
      </c>
      <c r="CU359">
        <f t="shared" si="298"/>
        <v>0</v>
      </c>
      <c r="CV359">
        <f t="shared" si="299"/>
        <v>1.52</v>
      </c>
      <c r="CW359">
        <f t="shared" si="300"/>
        <v>0</v>
      </c>
      <c r="CX359">
        <f t="shared" si="301"/>
        <v>0</v>
      </c>
      <c r="CY359">
        <f t="shared" si="302"/>
        <v>657.00600000000009</v>
      </c>
      <c r="CZ359">
        <f t="shared" si="303"/>
        <v>93.858000000000004</v>
      </c>
      <c r="DC359" t="s">
        <v>3</v>
      </c>
      <c r="DD359" t="s">
        <v>3</v>
      </c>
      <c r="DE359" t="s">
        <v>3</v>
      </c>
      <c r="DF359" t="s">
        <v>3</v>
      </c>
      <c r="DG359" t="s">
        <v>3</v>
      </c>
      <c r="DH359" t="s">
        <v>3</v>
      </c>
      <c r="DI359" t="s">
        <v>3</v>
      </c>
      <c r="DJ359" t="s">
        <v>3</v>
      </c>
      <c r="DK359" t="s">
        <v>3</v>
      </c>
      <c r="DL359" t="s">
        <v>3</v>
      </c>
      <c r="DM359" t="s">
        <v>3</v>
      </c>
      <c r="DN359">
        <v>0</v>
      </c>
      <c r="DO359">
        <v>0</v>
      </c>
      <c r="DP359">
        <v>1</v>
      </c>
      <c r="DQ359">
        <v>1</v>
      </c>
      <c r="DU359">
        <v>16987630</v>
      </c>
      <c r="DV359" t="s">
        <v>37</v>
      </c>
      <c r="DW359" t="s">
        <v>37</v>
      </c>
      <c r="DX359">
        <v>10</v>
      </c>
      <c r="DZ359" t="s">
        <v>3</v>
      </c>
      <c r="EA359" t="s">
        <v>3</v>
      </c>
      <c r="EB359" t="s">
        <v>3</v>
      </c>
      <c r="EC359" t="s">
        <v>3</v>
      </c>
      <c r="EE359">
        <v>1441815344</v>
      </c>
      <c r="EF359">
        <v>1</v>
      </c>
      <c r="EG359" t="s">
        <v>23</v>
      </c>
      <c r="EH359">
        <v>0</v>
      </c>
      <c r="EI359" t="s">
        <v>3</v>
      </c>
      <c r="EJ359">
        <v>4</v>
      </c>
      <c r="EK359">
        <v>0</v>
      </c>
      <c r="EL359" t="s">
        <v>24</v>
      </c>
      <c r="EM359" t="s">
        <v>25</v>
      </c>
      <c r="EO359" t="s">
        <v>3</v>
      </c>
      <c r="EQ359">
        <v>0</v>
      </c>
      <c r="ER359">
        <v>939.21</v>
      </c>
      <c r="ES359">
        <v>0.63</v>
      </c>
      <c r="ET359">
        <v>0</v>
      </c>
      <c r="EU359">
        <v>0</v>
      </c>
      <c r="EV359">
        <v>938.58</v>
      </c>
      <c r="EW359">
        <v>1.52</v>
      </c>
      <c r="EX359">
        <v>0</v>
      </c>
      <c r="EY359">
        <v>0</v>
      </c>
      <c r="FQ359">
        <v>0</v>
      </c>
      <c r="FR359">
        <f t="shared" si="304"/>
        <v>0</v>
      </c>
      <c r="FS359">
        <v>0</v>
      </c>
      <c r="FX359">
        <v>70</v>
      </c>
      <c r="FY359">
        <v>10</v>
      </c>
      <c r="GA359" t="s">
        <v>3</v>
      </c>
      <c r="GD359">
        <v>0</v>
      </c>
      <c r="GF359">
        <v>923339554</v>
      </c>
      <c r="GG359">
        <v>2</v>
      </c>
      <c r="GH359">
        <v>1</v>
      </c>
      <c r="GI359">
        <v>-2</v>
      </c>
      <c r="GJ359">
        <v>0</v>
      </c>
      <c r="GK359">
        <f>ROUND(R359*(R12)/100,2)</f>
        <v>0</v>
      </c>
      <c r="GL359">
        <f t="shared" si="305"/>
        <v>0</v>
      </c>
      <c r="GM359">
        <f t="shared" si="306"/>
        <v>1690.08</v>
      </c>
      <c r="GN359">
        <f t="shared" si="307"/>
        <v>0</v>
      </c>
      <c r="GO359">
        <f t="shared" si="308"/>
        <v>0</v>
      </c>
      <c r="GP359">
        <f t="shared" si="309"/>
        <v>1690.08</v>
      </c>
      <c r="GR359">
        <v>0</v>
      </c>
      <c r="GS359">
        <v>3</v>
      </c>
      <c r="GT359">
        <v>0</v>
      </c>
      <c r="GU359" t="s">
        <v>3</v>
      </c>
      <c r="GV359">
        <f t="shared" si="310"/>
        <v>0</v>
      </c>
      <c r="GW359">
        <v>1</v>
      </c>
      <c r="GX359">
        <f t="shared" si="311"/>
        <v>0</v>
      </c>
      <c r="HA359">
        <v>0</v>
      </c>
      <c r="HB359">
        <v>0</v>
      </c>
      <c r="HC359">
        <f t="shared" si="312"/>
        <v>0</v>
      </c>
      <c r="HE359" t="s">
        <v>3</v>
      </c>
      <c r="HF359" t="s">
        <v>3</v>
      </c>
      <c r="HM359" t="s">
        <v>3</v>
      </c>
      <c r="HN359" t="s">
        <v>3</v>
      </c>
      <c r="HO359" t="s">
        <v>3</v>
      </c>
      <c r="HP359" t="s">
        <v>3</v>
      </c>
      <c r="HQ359" t="s">
        <v>3</v>
      </c>
      <c r="IK359">
        <v>0</v>
      </c>
    </row>
    <row r="360" spans="1:245" x14ac:dyDescent="0.2">
      <c r="A360">
        <v>17</v>
      </c>
      <c r="B360">
        <v>1</v>
      </c>
      <c r="D360">
        <f>ROW(EtalonRes!A233)</f>
        <v>233</v>
      </c>
      <c r="E360" t="s">
        <v>3</v>
      </c>
      <c r="F360" t="s">
        <v>18</v>
      </c>
      <c r="G360" t="s">
        <v>19</v>
      </c>
      <c r="H360" t="s">
        <v>20</v>
      </c>
      <c r="I360">
        <f>ROUND((317+368+53+409)*0.25*0.1/100,9)</f>
        <v>0.28675</v>
      </c>
      <c r="J360">
        <v>0</v>
      </c>
      <c r="K360">
        <f>ROUND((317+368+53+409)*0.25*0.1/100,9)</f>
        <v>0.28675</v>
      </c>
      <c r="O360">
        <f t="shared" si="278"/>
        <v>580.32000000000005</v>
      </c>
      <c r="P360">
        <f t="shared" si="279"/>
        <v>0</v>
      </c>
      <c r="Q360">
        <f t="shared" si="280"/>
        <v>0</v>
      </c>
      <c r="R360">
        <f t="shared" si="281"/>
        <v>0</v>
      </c>
      <c r="S360">
        <f t="shared" si="282"/>
        <v>580.32000000000005</v>
      </c>
      <c r="T360">
        <f t="shared" si="283"/>
        <v>0</v>
      </c>
      <c r="U360">
        <f t="shared" si="284"/>
        <v>1.0323</v>
      </c>
      <c r="V360">
        <f t="shared" si="285"/>
        <v>0</v>
      </c>
      <c r="W360">
        <f t="shared" si="286"/>
        <v>0</v>
      </c>
      <c r="X360">
        <f t="shared" si="287"/>
        <v>406.22</v>
      </c>
      <c r="Y360">
        <f t="shared" si="288"/>
        <v>58.03</v>
      </c>
      <c r="AA360">
        <v>-1</v>
      </c>
      <c r="AB360">
        <f t="shared" si="289"/>
        <v>2023.8</v>
      </c>
      <c r="AC360">
        <f>ROUND(((ES360*4)),6)</f>
        <v>0</v>
      </c>
      <c r="AD360">
        <f>ROUND(((((ET360*4))-((EU360*4)))+AE360),6)</f>
        <v>0</v>
      </c>
      <c r="AE360">
        <f>ROUND(((EU360*4)),6)</f>
        <v>0</v>
      </c>
      <c r="AF360">
        <f>ROUND(((EV360*4)),6)</f>
        <v>2023.8</v>
      </c>
      <c r="AG360">
        <f t="shared" si="291"/>
        <v>0</v>
      </c>
      <c r="AH360">
        <f>((EW360*4))</f>
        <v>3.6</v>
      </c>
      <c r="AI360">
        <f>((EX360*4))</f>
        <v>0</v>
      </c>
      <c r="AJ360">
        <f t="shared" si="293"/>
        <v>0</v>
      </c>
      <c r="AK360">
        <v>505.95</v>
      </c>
      <c r="AL360">
        <v>0</v>
      </c>
      <c r="AM360">
        <v>0</v>
      </c>
      <c r="AN360">
        <v>0</v>
      </c>
      <c r="AO360">
        <v>505.95</v>
      </c>
      <c r="AP360">
        <v>0</v>
      </c>
      <c r="AQ360">
        <v>0.9</v>
      </c>
      <c r="AR360">
        <v>0</v>
      </c>
      <c r="AS360">
        <v>0</v>
      </c>
      <c r="AT360">
        <v>70</v>
      </c>
      <c r="AU360">
        <v>10</v>
      </c>
      <c r="AV360">
        <v>1</v>
      </c>
      <c r="AW360">
        <v>1</v>
      </c>
      <c r="AZ360">
        <v>1</v>
      </c>
      <c r="BA360">
        <v>1</v>
      </c>
      <c r="BB360">
        <v>1</v>
      </c>
      <c r="BC360">
        <v>1</v>
      </c>
      <c r="BD360" t="s">
        <v>3</v>
      </c>
      <c r="BE360" t="s">
        <v>3</v>
      </c>
      <c r="BF360" t="s">
        <v>3</v>
      </c>
      <c r="BG360" t="s">
        <v>3</v>
      </c>
      <c r="BH360">
        <v>0</v>
      </c>
      <c r="BI360">
        <v>4</v>
      </c>
      <c r="BJ360" t="s">
        <v>21</v>
      </c>
      <c r="BM360">
        <v>0</v>
      </c>
      <c r="BN360">
        <v>0</v>
      </c>
      <c r="BO360" t="s">
        <v>3</v>
      </c>
      <c r="BP360">
        <v>0</v>
      </c>
      <c r="BQ360">
        <v>1</v>
      </c>
      <c r="BR360">
        <v>0</v>
      </c>
      <c r="BS360">
        <v>1</v>
      </c>
      <c r="BT360">
        <v>1</v>
      </c>
      <c r="BU360">
        <v>1</v>
      </c>
      <c r="BV360">
        <v>1</v>
      </c>
      <c r="BW360">
        <v>1</v>
      </c>
      <c r="BX360">
        <v>1</v>
      </c>
      <c r="BY360" t="s">
        <v>3</v>
      </c>
      <c r="BZ360">
        <v>70</v>
      </c>
      <c r="CA360">
        <v>10</v>
      </c>
      <c r="CB360" t="s">
        <v>3</v>
      </c>
      <c r="CE360">
        <v>0</v>
      </c>
      <c r="CF360">
        <v>0</v>
      </c>
      <c r="CG360">
        <v>0</v>
      </c>
      <c r="CM360">
        <v>0</v>
      </c>
      <c r="CN360" t="s">
        <v>3</v>
      </c>
      <c r="CO360">
        <v>0</v>
      </c>
      <c r="CP360">
        <f t="shared" si="294"/>
        <v>580.32000000000005</v>
      </c>
      <c r="CQ360">
        <f t="shared" si="295"/>
        <v>0</v>
      </c>
      <c r="CR360">
        <f>(((((ET360*4))*BB360-((EU360*4))*BS360)+AE360*BS360)*AV360)</f>
        <v>0</v>
      </c>
      <c r="CS360">
        <f t="shared" si="296"/>
        <v>0</v>
      </c>
      <c r="CT360">
        <f t="shared" si="297"/>
        <v>2023.8</v>
      </c>
      <c r="CU360">
        <f t="shared" si="298"/>
        <v>0</v>
      </c>
      <c r="CV360">
        <f t="shared" si="299"/>
        <v>3.6</v>
      </c>
      <c r="CW360">
        <f t="shared" si="300"/>
        <v>0</v>
      </c>
      <c r="CX360">
        <f t="shared" si="301"/>
        <v>0</v>
      </c>
      <c r="CY360">
        <f t="shared" si="302"/>
        <v>406.22399999999999</v>
      </c>
      <c r="CZ360">
        <f t="shared" si="303"/>
        <v>58.032000000000011</v>
      </c>
      <c r="DC360" t="s">
        <v>3</v>
      </c>
      <c r="DD360" t="s">
        <v>22</v>
      </c>
      <c r="DE360" t="s">
        <v>22</v>
      </c>
      <c r="DF360" t="s">
        <v>22</v>
      </c>
      <c r="DG360" t="s">
        <v>22</v>
      </c>
      <c r="DH360" t="s">
        <v>3</v>
      </c>
      <c r="DI360" t="s">
        <v>22</v>
      </c>
      <c r="DJ360" t="s">
        <v>22</v>
      </c>
      <c r="DK360" t="s">
        <v>3</v>
      </c>
      <c r="DL360" t="s">
        <v>3</v>
      </c>
      <c r="DM360" t="s">
        <v>3</v>
      </c>
      <c r="DN360">
        <v>0</v>
      </c>
      <c r="DO360">
        <v>0</v>
      </c>
      <c r="DP360">
        <v>1</v>
      </c>
      <c r="DQ360">
        <v>1</v>
      </c>
      <c r="DU360">
        <v>1003</v>
      </c>
      <c r="DV360" t="s">
        <v>20</v>
      </c>
      <c r="DW360" t="s">
        <v>20</v>
      </c>
      <c r="DX360">
        <v>100</v>
      </c>
      <c r="DZ360" t="s">
        <v>3</v>
      </c>
      <c r="EA360" t="s">
        <v>3</v>
      </c>
      <c r="EB360" t="s">
        <v>3</v>
      </c>
      <c r="EC360" t="s">
        <v>3</v>
      </c>
      <c r="EE360">
        <v>1441815344</v>
      </c>
      <c r="EF360">
        <v>1</v>
      </c>
      <c r="EG360" t="s">
        <v>23</v>
      </c>
      <c r="EH360">
        <v>0</v>
      </c>
      <c r="EI360" t="s">
        <v>3</v>
      </c>
      <c r="EJ360">
        <v>4</v>
      </c>
      <c r="EK360">
        <v>0</v>
      </c>
      <c r="EL360" t="s">
        <v>24</v>
      </c>
      <c r="EM360" t="s">
        <v>25</v>
      </c>
      <c r="EO360" t="s">
        <v>3</v>
      </c>
      <c r="EQ360">
        <v>1024</v>
      </c>
      <c r="ER360">
        <v>505.95</v>
      </c>
      <c r="ES360">
        <v>0</v>
      </c>
      <c r="ET360">
        <v>0</v>
      </c>
      <c r="EU360">
        <v>0</v>
      </c>
      <c r="EV360">
        <v>505.95</v>
      </c>
      <c r="EW360">
        <v>0.9</v>
      </c>
      <c r="EX360">
        <v>0</v>
      </c>
      <c r="EY360">
        <v>0</v>
      </c>
      <c r="FQ360">
        <v>0</v>
      </c>
      <c r="FR360">
        <f t="shared" si="304"/>
        <v>0</v>
      </c>
      <c r="FS360">
        <v>0</v>
      </c>
      <c r="FX360">
        <v>70</v>
      </c>
      <c r="FY360">
        <v>10</v>
      </c>
      <c r="GA360" t="s">
        <v>3</v>
      </c>
      <c r="GD360">
        <v>0</v>
      </c>
      <c r="GF360">
        <v>-341239612</v>
      </c>
      <c r="GG360">
        <v>2</v>
      </c>
      <c r="GH360">
        <v>1</v>
      </c>
      <c r="GI360">
        <v>-2</v>
      </c>
      <c r="GJ360">
        <v>0</v>
      </c>
      <c r="GK360">
        <f>ROUND(R360*(R12)/100,2)</f>
        <v>0</v>
      </c>
      <c r="GL360">
        <f t="shared" si="305"/>
        <v>0</v>
      </c>
      <c r="GM360">
        <f t="shared" si="306"/>
        <v>1044.57</v>
      </c>
      <c r="GN360">
        <f t="shared" si="307"/>
        <v>0</v>
      </c>
      <c r="GO360">
        <f t="shared" si="308"/>
        <v>0</v>
      </c>
      <c r="GP360">
        <f t="shared" si="309"/>
        <v>1044.57</v>
      </c>
      <c r="GR360">
        <v>0</v>
      </c>
      <c r="GS360">
        <v>3</v>
      </c>
      <c r="GT360">
        <v>0</v>
      </c>
      <c r="GU360" t="s">
        <v>3</v>
      </c>
      <c r="GV360">
        <f t="shared" si="310"/>
        <v>0</v>
      </c>
      <c r="GW360">
        <v>1</v>
      </c>
      <c r="GX360">
        <f t="shared" si="311"/>
        <v>0</v>
      </c>
      <c r="HA360">
        <v>0</v>
      </c>
      <c r="HB360">
        <v>0</v>
      </c>
      <c r="HC360">
        <f t="shared" si="312"/>
        <v>0</v>
      </c>
      <c r="HE360" t="s">
        <v>3</v>
      </c>
      <c r="HF360" t="s">
        <v>3</v>
      </c>
      <c r="HM360" t="s">
        <v>3</v>
      </c>
      <c r="HN360" t="s">
        <v>3</v>
      </c>
      <c r="HO360" t="s">
        <v>3</v>
      </c>
      <c r="HP360" t="s">
        <v>3</v>
      </c>
      <c r="HQ360" t="s">
        <v>3</v>
      </c>
      <c r="IK360">
        <v>0</v>
      </c>
    </row>
    <row r="361" spans="1:245" x14ac:dyDescent="0.2">
      <c r="A361">
        <v>17</v>
      </c>
      <c r="B361">
        <v>1</v>
      </c>
      <c r="D361">
        <f>ROW(EtalonRes!A234)</f>
        <v>234</v>
      </c>
      <c r="E361" t="s">
        <v>3</v>
      </c>
      <c r="F361" t="s">
        <v>26</v>
      </c>
      <c r="G361" t="s">
        <v>27</v>
      </c>
      <c r="H361" t="s">
        <v>20</v>
      </c>
      <c r="I361">
        <f>ROUND((317+368+53+409)*0.75*0.1/100,9)</f>
        <v>0.86024999999999996</v>
      </c>
      <c r="J361">
        <v>0</v>
      </c>
      <c r="K361">
        <f>ROUND((317+368+53+409)*0.75*0.1/100,9)</f>
        <v>0.86024999999999996</v>
      </c>
      <c r="O361">
        <f t="shared" si="278"/>
        <v>9362.65</v>
      </c>
      <c r="P361">
        <f t="shared" si="279"/>
        <v>0</v>
      </c>
      <c r="Q361">
        <f t="shared" si="280"/>
        <v>0</v>
      </c>
      <c r="R361">
        <f t="shared" si="281"/>
        <v>0</v>
      </c>
      <c r="S361">
        <f t="shared" si="282"/>
        <v>9362.65</v>
      </c>
      <c r="T361">
        <f t="shared" si="283"/>
        <v>0</v>
      </c>
      <c r="U361">
        <f t="shared" si="284"/>
        <v>16.654439999999997</v>
      </c>
      <c r="V361">
        <f t="shared" si="285"/>
        <v>0</v>
      </c>
      <c r="W361">
        <f t="shared" si="286"/>
        <v>0</v>
      </c>
      <c r="X361">
        <f t="shared" si="287"/>
        <v>6553.86</v>
      </c>
      <c r="Y361">
        <f t="shared" si="288"/>
        <v>936.27</v>
      </c>
      <c r="AA361">
        <v>-1</v>
      </c>
      <c r="AB361">
        <f t="shared" si="289"/>
        <v>10883.64</v>
      </c>
      <c r="AC361">
        <f>ROUND(((ES361*4)),6)</f>
        <v>0</v>
      </c>
      <c r="AD361">
        <f>ROUND(((((ET361*4))-((EU361*4)))+AE361),6)</f>
        <v>0</v>
      </c>
      <c r="AE361">
        <f>ROUND(((EU361*4)),6)</f>
        <v>0</v>
      </c>
      <c r="AF361">
        <f>ROUND(((EV361*4)),6)</f>
        <v>10883.64</v>
      </c>
      <c r="AG361">
        <f t="shared" si="291"/>
        <v>0</v>
      </c>
      <c r="AH361">
        <f>((EW361*4))</f>
        <v>19.36</v>
      </c>
      <c r="AI361">
        <f>((EX361*4))</f>
        <v>0</v>
      </c>
      <c r="AJ361">
        <f t="shared" si="293"/>
        <v>0</v>
      </c>
      <c r="AK361">
        <v>2720.91</v>
      </c>
      <c r="AL361">
        <v>0</v>
      </c>
      <c r="AM361">
        <v>0</v>
      </c>
      <c r="AN361">
        <v>0</v>
      </c>
      <c r="AO361">
        <v>2720.91</v>
      </c>
      <c r="AP361">
        <v>0</v>
      </c>
      <c r="AQ361">
        <v>4.84</v>
      </c>
      <c r="AR361">
        <v>0</v>
      </c>
      <c r="AS361">
        <v>0</v>
      </c>
      <c r="AT361">
        <v>70</v>
      </c>
      <c r="AU361">
        <v>10</v>
      </c>
      <c r="AV361">
        <v>1</v>
      </c>
      <c r="AW361">
        <v>1</v>
      </c>
      <c r="AZ361">
        <v>1</v>
      </c>
      <c r="BA361">
        <v>1</v>
      </c>
      <c r="BB361">
        <v>1</v>
      </c>
      <c r="BC361">
        <v>1</v>
      </c>
      <c r="BD361" t="s">
        <v>3</v>
      </c>
      <c r="BE361" t="s">
        <v>3</v>
      </c>
      <c r="BF361" t="s">
        <v>3</v>
      </c>
      <c r="BG361" t="s">
        <v>3</v>
      </c>
      <c r="BH361">
        <v>0</v>
      </c>
      <c r="BI361">
        <v>4</v>
      </c>
      <c r="BJ361" t="s">
        <v>28</v>
      </c>
      <c r="BM361">
        <v>0</v>
      </c>
      <c r="BN361">
        <v>0</v>
      </c>
      <c r="BO361" t="s">
        <v>3</v>
      </c>
      <c r="BP361">
        <v>0</v>
      </c>
      <c r="BQ361">
        <v>1</v>
      </c>
      <c r="BR361">
        <v>0</v>
      </c>
      <c r="BS361">
        <v>1</v>
      </c>
      <c r="BT361">
        <v>1</v>
      </c>
      <c r="BU361">
        <v>1</v>
      </c>
      <c r="BV361">
        <v>1</v>
      </c>
      <c r="BW361">
        <v>1</v>
      </c>
      <c r="BX361">
        <v>1</v>
      </c>
      <c r="BY361" t="s">
        <v>3</v>
      </c>
      <c r="BZ361">
        <v>70</v>
      </c>
      <c r="CA361">
        <v>10</v>
      </c>
      <c r="CB361" t="s">
        <v>3</v>
      </c>
      <c r="CE361">
        <v>0</v>
      </c>
      <c r="CF361">
        <v>0</v>
      </c>
      <c r="CG361">
        <v>0</v>
      </c>
      <c r="CM361">
        <v>0</v>
      </c>
      <c r="CN361" t="s">
        <v>3</v>
      </c>
      <c r="CO361">
        <v>0</v>
      </c>
      <c r="CP361">
        <f t="shared" si="294"/>
        <v>9362.65</v>
      </c>
      <c r="CQ361">
        <f t="shared" si="295"/>
        <v>0</v>
      </c>
      <c r="CR361">
        <f>(((((ET361*4))*BB361-((EU361*4))*BS361)+AE361*BS361)*AV361)</f>
        <v>0</v>
      </c>
      <c r="CS361">
        <f t="shared" si="296"/>
        <v>0</v>
      </c>
      <c r="CT361">
        <f t="shared" si="297"/>
        <v>10883.64</v>
      </c>
      <c r="CU361">
        <f t="shared" si="298"/>
        <v>0</v>
      </c>
      <c r="CV361">
        <f t="shared" si="299"/>
        <v>19.36</v>
      </c>
      <c r="CW361">
        <f t="shared" si="300"/>
        <v>0</v>
      </c>
      <c r="CX361">
        <f t="shared" si="301"/>
        <v>0</v>
      </c>
      <c r="CY361">
        <f t="shared" si="302"/>
        <v>6553.8549999999996</v>
      </c>
      <c r="CZ361">
        <f t="shared" si="303"/>
        <v>936.26499999999999</v>
      </c>
      <c r="DC361" t="s">
        <v>3</v>
      </c>
      <c r="DD361" t="s">
        <v>22</v>
      </c>
      <c r="DE361" t="s">
        <v>22</v>
      </c>
      <c r="DF361" t="s">
        <v>22</v>
      </c>
      <c r="DG361" t="s">
        <v>22</v>
      </c>
      <c r="DH361" t="s">
        <v>3</v>
      </c>
      <c r="DI361" t="s">
        <v>22</v>
      </c>
      <c r="DJ361" t="s">
        <v>22</v>
      </c>
      <c r="DK361" t="s">
        <v>3</v>
      </c>
      <c r="DL361" t="s">
        <v>3</v>
      </c>
      <c r="DM361" t="s">
        <v>3</v>
      </c>
      <c r="DN361">
        <v>0</v>
      </c>
      <c r="DO361">
        <v>0</v>
      </c>
      <c r="DP361">
        <v>1</v>
      </c>
      <c r="DQ361">
        <v>1</v>
      </c>
      <c r="DU361">
        <v>1003</v>
      </c>
      <c r="DV361" t="s">
        <v>20</v>
      </c>
      <c r="DW361" t="s">
        <v>20</v>
      </c>
      <c r="DX361">
        <v>100</v>
      </c>
      <c r="DZ361" t="s">
        <v>3</v>
      </c>
      <c r="EA361" t="s">
        <v>3</v>
      </c>
      <c r="EB361" t="s">
        <v>3</v>
      </c>
      <c r="EC361" t="s">
        <v>3</v>
      </c>
      <c r="EE361">
        <v>1441815344</v>
      </c>
      <c r="EF361">
        <v>1</v>
      </c>
      <c r="EG361" t="s">
        <v>23</v>
      </c>
      <c r="EH361">
        <v>0</v>
      </c>
      <c r="EI361" t="s">
        <v>3</v>
      </c>
      <c r="EJ361">
        <v>4</v>
      </c>
      <c r="EK361">
        <v>0</v>
      </c>
      <c r="EL361" t="s">
        <v>24</v>
      </c>
      <c r="EM361" t="s">
        <v>25</v>
      </c>
      <c r="EO361" t="s">
        <v>3</v>
      </c>
      <c r="EQ361">
        <v>1024</v>
      </c>
      <c r="ER361">
        <v>2720.91</v>
      </c>
      <c r="ES361">
        <v>0</v>
      </c>
      <c r="ET361">
        <v>0</v>
      </c>
      <c r="EU361">
        <v>0</v>
      </c>
      <c r="EV361">
        <v>2720.91</v>
      </c>
      <c r="EW361">
        <v>4.84</v>
      </c>
      <c r="EX361">
        <v>0</v>
      </c>
      <c r="EY361">
        <v>0</v>
      </c>
      <c r="FQ361">
        <v>0</v>
      </c>
      <c r="FR361">
        <f t="shared" si="304"/>
        <v>0</v>
      </c>
      <c r="FS361">
        <v>0</v>
      </c>
      <c r="FX361">
        <v>70</v>
      </c>
      <c r="FY361">
        <v>10</v>
      </c>
      <c r="GA361" t="s">
        <v>3</v>
      </c>
      <c r="GD361">
        <v>0</v>
      </c>
      <c r="GF361">
        <v>-1706933960</v>
      </c>
      <c r="GG361">
        <v>2</v>
      </c>
      <c r="GH361">
        <v>1</v>
      </c>
      <c r="GI361">
        <v>-2</v>
      </c>
      <c r="GJ361">
        <v>0</v>
      </c>
      <c r="GK361">
        <f>ROUND(R361*(R12)/100,2)</f>
        <v>0</v>
      </c>
      <c r="GL361">
        <f t="shared" si="305"/>
        <v>0</v>
      </c>
      <c r="GM361">
        <f t="shared" si="306"/>
        <v>16852.78</v>
      </c>
      <c r="GN361">
        <f t="shared" si="307"/>
        <v>0</v>
      </c>
      <c r="GO361">
        <f t="shared" si="308"/>
        <v>0</v>
      </c>
      <c r="GP361">
        <f t="shared" si="309"/>
        <v>16852.78</v>
      </c>
      <c r="GR361">
        <v>0</v>
      </c>
      <c r="GS361">
        <v>3</v>
      </c>
      <c r="GT361">
        <v>0</v>
      </c>
      <c r="GU361" t="s">
        <v>3</v>
      </c>
      <c r="GV361">
        <f t="shared" si="310"/>
        <v>0</v>
      </c>
      <c r="GW361">
        <v>1</v>
      </c>
      <c r="GX361">
        <f t="shared" si="311"/>
        <v>0</v>
      </c>
      <c r="HA361">
        <v>0</v>
      </c>
      <c r="HB361">
        <v>0</v>
      </c>
      <c r="HC361">
        <f t="shared" si="312"/>
        <v>0</v>
      </c>
      <c r="HE361" t="s">
        <v>3</v>
      </c>
      <c r="HF361" t="s">
        <v>3</v>
      </c>
      <c r="HM361" t="s">
        <v>3</v>
      </c>
      <c r="HN361" t="s">
        <v>3</v>
      </c>
      <c r="HO361" t="s">
        <v>3</v>
      </c>
      <c r="HP361" t="s">
        <v>3</v>
      </c>
      <c r="HQ361" t="s">
        <v>3</v>
      </c>
      <c r="IK361">
        <v>0</v>
      </c>
    </row>
    <row r="362" spans="1:245" x14ac:dyDescent="0.2">
      <c r="A362">
        <v>17</v>
      </c>
      <c r="B362">
        <v>1</v>
      </c>
      <c r="D362">
        <f>ROW(EtalonRes!A240)</f>
        <v>240</v>
      </c>
      <c r="E362" t="s">
        <v>3</v>
      </c>
      <c r="F362" t="s">
        <v>296</v>
      </c>
      <c r="G362" t="s">
        <v>297</v>
      </c>
      <c r="H362" t="s">
        <v>20</v>
      </c>
      <c r="I362">
        <f>ROUND((317+368+53+409)/100,9)</f>
        <v>11.47</v>
      </c>
      <c r="J362">
        <v>0</v>
      </c>
      <c r="K362">
        <f>ROUND((317+368+53+409)/100,9)</f>
        <v>11.47</v>
      </c>
      <c r="O362">
        <f t="shared" si="278"/>
        <v>90918.68</v>
      </c>
      <c r="P362">
        <f t="shared" si="279"/>
        <v>805.54</v>
      </c>
      <c r="Q362">
        <f t="shared" si="280"/>
        <v>581.53</v>
      </c>
      <c r="R362">
        <f t="shared" si="281"/>
        <v>9.2899999999999991</v>
      </c>
      <c r="S362">
        <f t="shared" si="282"/>
        <v>89531.61</v>
      </c>
      <c r="T362">
        <f t="shared" si="283"/>
        <v>0</v>
      </c>
      <c r="U362">
        <f t="shared" si="284"/>
        <v>122.04080000000002</v>
      </c>
      <c r="V362">
        <f t="shared" si="285"/>
        <v>0</v>
      </c>
      <c r="W362">
        <f t="shared" si="286"/>
        <v>0</v>
      </c>
      <c r="X362">
        <f t="shared" si="287"/>
        <v>62672.13</v>
      </c>
      <c r="Y362">
        <f t="shared" si="288"/>
        <v>8953.16</v>
      </c>
      <c r="AA362">
        <v>-1</v>
      </c>
      <c r="AB362">
        <f t="shared" si="289"/>
        <v>7926.65</v>
      </c>
      <c r="AC362">
        <f>ROUND((ES362),6)</f>
        <v>70.23</v>
      </c>
      <c r="AD362">
        <f>ROUND((((ET362)-(EU362))+AE362),6)</f>
        <v>50.7</v>
      </c>
      <c r="AE362">
        <f>ROUND((EU362),6)</f>
        <v>0.81</v>
      </c>
      <c r="AF362">
        <f>ROUND((EV362),6)</f>
        <v>7805.72</v>
      </c>
      <c r="AG362">
        <f t="shared" si="291"/>
        <v>0</v>
      </c>
      <c r="AH362">
        <f>(EW362)</f>
        <v>10.64</v>
      </c>
      <c r="AI362">
        <f>(EX362)</f>
        <v>0</v>
      </c>
      <c r="AJ362">
        <f t="shared" si="293"/>
        <v>0</v>
      </c>
      <c r="AK362">
        <v>7926.65</v>
      </c>
      <c r="AL362">
        <v>70.23</v>
      </c>
      <c r="AM362">
        <v>50.7</v>
      </c>
      <c r="AN362">
        <v>0.81</v>
      </c>
      <c r="AO362">
        <v>7805.72</v>
      </c>
      <c r="AP362">
        <v>0</v>
      </c>
      <c r="AQ362">
        <v>10.64</v>
      </c>
      <c r="AR362">
        <v>0</v>
      </c>
      <c r="AS362">
        <v>0</v>
      </c>
      <c r="AT362">
        <v>70</v>
      </c>
      <c r="AU362">
        <v>10</v>
      </c>
      <c r="AV362">
        <v>1</v>
      </c>
      <c r="AW362">
        <v>1</v>
      </c>
      <c r="AZ362">
        <v>1</v>
      </c>
      <c r="BA362">
        <v>1</v>
      </c>
      <c r="BB362">
        <v>1</v>
      </c>
      <c r="BC362">
        <v>1</v>
      </c>
      <c r="BD362" t="s">
        <v>3</v>
      </c>
      <c r="BE362" t="s">
        <v>3</v>
      </c>
      <c r="BF362" t="s">
        <v>3</v>
      </c>
      <c r="BG362" t="s">
        <v>3</v>
      </c>
      <c r="BH362">
        <v>0</v>
      </c>
      <c r="BI362">
        <v>4</v>
      </c>
      <c r="BJ362" t="s">
        <v>298</v>
      </c>
      <c r="BM362">
        <v>0</v>
      </c>
      <c r="BN362">
        <v>0</v>
      </c>
      <c r="BO362" t="s">
        <v>3</v>
      </c>
      <c r="BP362">
        <v>0</v>
      </c>
      <c r="BQ362">
        <v>1</v>
      </c>
      <c r="BR362">
        <v>0</v>
      </c>
      <c r="BS362">
        <v>1</v>
      </c>
      <c r="BT362">
        <v>1</v>
      </c>
      <c r="BU362">
        <v>1</v>
      </c>
      <c r="BV362">
        <v>1</v>
      </c>
      <c r="BW362">
        <v>1</v>
      </c>
      <c r="BX362">
        <v>1</v>
      </c>
      <c r="BY362" t="s">
        <v>3</v>
      </c>
      <c r="BZ362">
        <v>70</v>
      </c>
      <c r="CA362">
        <v>10</v>
      </c>
      <c r="CB362" t="s">
        <v>3</v>
      </c>
      <c r="CE362">
        <v>0</v>
      </c>
      <c r="CF362">
        <v>0</v>
      </c>
      <c r="CG362">
        <v>0</v>
      </c>
      <c r="CM362">
        <v>0</v>
      </c>
      <c r="CN362" t="s">
        <v>3</v>
      </c>
      <c r="CO362">
        <v>0</v>
      </c>
      <c r="CP362">
        <f t="shared" si="294"/>
        <v>90918.680000000008</v>
      </c>
      <c r="CQ362">
        <f t="shared" si="295"/>
        <v>70.23</v>
      </c>
      <c r="CR362">
        <f>((((ET362)*BB362-(EU362)*BS362)+AE362*BS362)*AV362)</f>
        <v>50.7</v>
      </c>
      <c r="CS362">
        <f t="shared" si="296"/>
        <v>0.81</v>
      </c>
      <c r="CT362">
        <f t="shared" si="297"/>
        <v>7805.72</v>
      </c>
      <c r="CU362">
        <f t="shared" si="298"/>
        <v>0</v>
      </c>
      <c r="CV362">
        <f t="shared" si="299"/>
        <v>10.64</v>
      </c>
      <c r="CW362">
        <f t="shared" si="300"/>
        <v>0</v>
      </c>
      <c r="CX362">
        <f t="shared" si="301"/>
        <v>0</v>
      </c>
      <c r="CY362">
        <f t="shared" si="302"/>
        <v>62672.127</v>
      </c>
      <c r="CZ362">
        <f t="shared" si="303"/>
        <v>8953.1610000000001</v>
      </c>
      <c r="DC362" t="s">
        <v>3</v>
      </c>
      <c r="DD362" t="s">
        <v>3</v>
      </c>
      <c r="DE362" t="s">
        <v>3</v>
      </c>
      <c r="DF362" t="s">
        <v>3</v>
      </c>
      <c r="DG362" t="s">
        <v>3</v>
      </c>
      <c r="DH362" t="s">
        <v>3</v>
      </c>
      <c r="DI362" t="s">
        <v>3</v>
      </c>
      <c r="DJ362" t="s">
        <v>3</v>
      </c>
      <c r="DK362" t="s">
        <v>3</v>
      </c>
      <c r="DL362" t="s">
        <v>3</v>
      </c>
      <c r="DM362" t="s">
        <v>3</v>
      </c>
      <c r="DN362">
        <v>0</v>
      </c>
      <c r="DO362">
        <v>0</v>
      </c>
      <c r="DP362">
        <v>1</v>
      </c>
      <c r="DQ362">
        <v>1</v>
      </c>
      <c r="DU362">
        <v>1003</v>
      </c>
      <c r="DV362" t="s">
        <v>20</v>
      </c>
      <c r="DW362" t="s">
        <v>20</v>
      </c>
      <c r="DX362">
        <v>100</v>
      </c>
      <c r="DZ362" t="s">
        <v>3</v>
      </c>
      <c r="EA362" t="s">
        <v>3</v>
      </c>
      <c r="EB362" t="s">
        <v>3</v>
      </c>
      <c r="EC362" t="s">
        <v>3</v>
      </c>
      <c r="EE362">
        <v>1441815344</v>
      </c>
      <c r="EF362">
        <v>1</v>
      </c>
      <c r="EG362" t="s">
        <v>23</v>
      </c>
      <c r="EH362">
        <v>0</v>
      </c>
      <c r="EI362" t="s">
        <v>3</v>
      </c>
      <c r="EJ362">
        <v>4</v>
      </c>
      <c r="EK362">
        <v>0</v>
      </c>
      <c r="EL362" t="s">
        <v>24</v>
      </c>
      <c r="EM362" t="s">
        <v>25</v>
      </c>
      <c r="EO362" t="s">
        <v>3</v>
      </c>
      <c r="EQ362">
        <v>1024</v>
      </c>
      <c r="ER362">
        <v>7926.65</v>
      </c>
      <c r="ES362">
        <v>70.23</v>
      </c>
      <c r="ET362">
        <v>50.7</v>
      </c>
      <c r="EU362">
        <v>0.81</v>
      </c>
      <c r="EV362">
        <v>7805.72</v>
      </c>
      <c r="EW362">
        <v>10.64</v>
      </c>
      <c r="EX362">
        <v>0</v>
      </c>
      <c r="EY362">
        <v>0</v>
      </c>
      <c r="FQ362">
        <v>0</v>
      </c>
      <c r="FR362">
        <f t="shared" si="304"/>
        <v>0</v>
      </c>
      <c r="FS362">
        <v>0</v>
      </c>
      <c r="FX362">
        <v>70</v>
      </c>
      <c r="FY362">
        <v>10</v>
      </c>
      <c r="GA362" t="s">
        <v>3</v>
      </c>
      <c r="GD362">
        <v>0</v>
      </c>
      <c r="GF362">
        <v>1087258960</v>
      </c>
      <c r="GG362">
        <v>2</v>
      </c>
      <c r="GH362">
        <v>1</v>
      </c>
      <c r="GI362">
        <v>-2</v>
      </c>
      <c r="GJ362">
        <v>0</v>
      </c>
      <c r="GK362">
        <f>ROUND(R362*(R12)/100,2)</f>
        <v>10.029999999999999</v>
      </c>
      <c r="GL362">
        <f t="shared" si="305"/>
        <v>0</v>
      </c>
      <c r="GM362">
        <f t="shared" si="306"/>
        <v>162554</v>
      </c>
      <c r="GN362">
        <f t="shared" si="307"/>
        <v>0</v>
      </c>
      <c r="GO362">
        <f t="shared" si="308"/>
        <v>0</v>
      </c>
      <c r="GP362">
        <f t="shared" si="309"/>
        <v>162554</v>
      </c>
      <c r="GR362">
        <v>0</v>
      </c>
      <c r="GS362">
        <v>3</v>
      </c>
      <c r="GT362">
        <v>0</v>
      </c>
      <c r="GU362" t="s">
        <v>3</v>
      </c>
      <c r="GV362">
        <f t="shared" si="310"/>
        <v>0</v>
      </c>
      <c r="GW362">
        <v>1</v>
      </c>
      <c r="GX362">
        <f t="shared" si="311"/>
        <v>0</v>
      </c>
      <c r="HA362">
        <v>0</v>
      </c>
      <c r="HB362">
        <v>0</v>
      </c>
      <c r="HC362">
        <f t="shared" si="312"/>
        <v>0</v>
      </c>
      <c r="HE362" t="s">
        <v>3</v>
      </c>
      <c r="HF362" t="s">
        <v>3</v>
      </c>
      <c r="HM362" t="s">
        <v>3</v>
      </c>
      <c r="HN362" t="s">
        <v>3</v>
      </c>
      <c r="HO362" t="s">
        <v>3</v>
      </c>
      <c r="HP362" t="s">
        <v>3</v>
      </c>
      <c r="HQ362" t="s">
        <v>3</v>
      </c>
      <c r="IK362">
        <v>0</v>
      </c>
    </row>
    <row r="363" spans="1:245" x14ac:dyDescent="0.2">
      <c r="A363">
        <v>17</v>
      </c>
      <c r="B363">
        <v>1</v>
      </c>
      <c r="D363">
        <f>ROW(EtalonRes!A243)</f>
        <v>243</v>
      </c>
      <c r="E363" t="s">
        <v>3</v>
      </c>
      <c r="F363" t="s">
        <v>299</v>
      </c>
      <c r="G363" t="s">
        <v>300</v>
      </c>
      <c r="H363" t="s">
        <v>20</v>
      </c>
      <c r="I363">
        <f>ROUND((317+368+53+409)/100,9)</f>
        <v>11.47</v>
      </c>
      <c r="J363">
        <v>0</v>
      </c>
      <c r="K363">
        <f>ROUND((317+368+53+409)/100,9)</f>
        <v>11.47</v>
      </c>
      <c r="O363">
        <f t="shared" si="278"/>
        <v>19192.18</v>
      </c>
      <c r="P363">
        <f t="shared" si="279"/>
        <v>647.48</v>
      </c>
      <c r="Q363">
        <f t="shared" si="280"/>
        <v>125.6</v>
      </c>
      <c r="R363">
        <f t="shared" si="281"/>
        <v>0.34</v>
      </c>
      <c r="S363">
        <f t="shared" si="282"/>
        <v>18419.099999999999</v>
      </c>
      <c r="T363">
        <f t="shared" si="283"/>
        <v>0</v>
      </c>
      <c r="U363">
        <f t="shared" si="284"/>
        <v>27.757400000000001</v>
      </c>
      <c r="V363">
        <f t="shared" si="285"/>
        <v>0</v>
      </c>
      <c r="W363">
        <f t="shared" si="286"/>
        <v>0</v>
      </c>
      <c r="X363">
        <f t="shared" si="287"/>
        <v>12893.37</v>
      </c>
      <c r="Y363">
        <f t="shared" si="288"/>
        <v>1841.91</v>
      </c>
      <c r="AA363">
        <v>-1</v>
      </c>
      <c r="AB363">
        <f t="shared" si="289"/>
        <v>1673.25</v>
      </c>
      <c r="AC363">
        <f>ROUND((ES363),6)</f>
        <v>56.45</v>
      </c>
      <c r="AD363">
        <f>ROUND((((ET363)-(EU363))+AE363),6)</f>
        <v>10.95</v>
      </c>
      <c r="AE363">
        <f>ROUND((EU363),6)</f>
        <v>0.03</v>
      </c>
      <c r="AF363">
        <f>ROUND((EV363),6)</f>
        <v>1605.85</v>
      </c>
      <c r="AG363">
        <f t="shared" si="291"/>
        <v>0</v>
      </c>
      <c r="AH363">
        <f>(EW363)</f>
        <v>2.42</v>
      </c>
      <c r="AI363">
        <f>(EX363)</f>
        <v>0</v>
      </c>
      <c r="AJ363">
        <f t="shared" si="293"/>
        <v>0</v>
      </c>
      <c r="AK363">
        <v>1673.25</v>
      </c>
      <c r="AL363">
        <v>56.45</v>
      </c>
      <c r="AM363">
        <v>10.95</v>
      </c>
      <c r="AN363">
        <v>0.03</v>
      </c>
      <c r="AO363">
        <v>1605.85</v>
      </c>
      <c r="AP363">
        <v>0</v>
      </c>
      <c r="AQ363">
        <v>2.42</v>
      </c>
      <c r="AR363">
        <v>0</v>
      </c>
      <c r="AS363">
        <v>0</v>
      </c>
      <c r="AT363">
        <v>70</v>
      </c>
      <c r="AU363">
        <v>10</v>
      </c>
      <c r="AV363">
        <v>1</v>
      </c>
      <c r="AW363">
        <v>1</v>
      </c>
      <c r="AZ363">
        <v>1</v>
      </c>
      <c r="BA363">
        <v>1</v>
      </c>
      <c r="BB363">
        <v>1</v>
      </c>
      <c r="BC363">
        <v>1</v>
      </c>
      <c r="BD363" t="s">
        <v>3</v>
      </c>
      <c r="BE363" t="s">
        <v>3</v>
      </c>
      <c r="BF363" t="s">
        <v>3</v>
      </c>
      <c r="BG363" t="s">
        <v>3</v>
      </c>
      <c r="BH363">
        <v>0</v>
      </c>
      <c r="BI363">
        <v>4</v>
      </c>
      <c r="BJ363" t="s">
        <v>301</v>
      </c>
      <c r="BM363">
        <v>0</v>
      </c>
      <c r="BN363">
        <v>0</v>
      </c>
      <c r="BO363" t="s">
        <v>3</v>
      </c>
      <c r="BP363">
        <v>0</v>
      </c>
      <c r="BQ363">
        <v>1</v>
      </c>
      <c r="BR363">
        <v>0</v>
      </c>
      <c r="BS363">
        <v>1</v>
      </c>
      <c r="BT363">
        <v>1</v>
      </c>
      <c r="BU363">
        <v>1</v>
      </c>
      <c r="BV363">
        <v>1</v>
      </c>
      <c r="BW363">
        <v>1</v>
      </c>
      <c r="BX363">
        <v>1</v>
      </c>
      <c r="BY363" t="s">
        <v>3</v>
      </c>
      <c r="BZ363">
        <v>70</v>
      </c>
      <c r="CA363">
        <v>10</v>
      </c>
      <c r="CB363" t="s">
        <v>3</v>
      </c>
      <c r="CE363">
        <v>0</v>
      </c>
      <c r="CF363">
        <v>0</v>
      </c>
      <c r="CG363">
        <v>0</v>
      </c>
      <c r="CM363">
        <v>0</v>
      </c>
      <c r="CN363" t="s">
        <v>3</v>
      </c>
      <c r="CO363">
        <v>0</v>
      </c>
      <c r="CP363">
        <f t="shared" si="294"/>
        <v>19192.18</v>
      </c>
      <c r="CQ363">
        <f t="shared" si="295"/>
        <v>56.45</v>
      </c>
      <c r="CR363">
        <f>((((ET363)*BB363-(EU363)*BS363)+AE363*BS363)*AV363)</f>
        <v>10.95</v>
      </c>
      <c r="CS363">
        <f t="shared" si="296"/>
        <v>0.03</v>
      </c>
      <c r="CT363">
        <f t="shared" si="297"/>
        <v>1605.85</v>
      </c>
      <c r="CU363">
        <f t="shared" si="298"/>
        <v>0</v>
      </c>
      <c r="CV363">
        <f t="shared" si="299"/>
        <v>2.42</v>
      </c>
      <c r="CW363">
        <f t="shared" si="300"/>
        <v>0</v>
      </c>
      <c r="CX363">
        <f t="shared" si="301"/>
        <v>0</v>
      </c>
      <c r="CY363">
        <f t="shared" si="302"/>
        <v>12893.37</v>
      </c>
      <c r="CZ363">
        <f t="shared" si="303"/>
        <v>1841.91</v>
      </c>
      <c r="DC363" t="s">
        <v>3</v>
      </c>
      <c r="DD363" t="s">
        <v>3</v>
      </c>
      <c r="DE363" t="s">
        <v>3</v>
      </c>
      <c r="DF363" t="s">
        <v>3</v>
      </c>
      <c r="DG363" t="s">
        <v>3</v>
      </c>
      <c r="DH363" t="s">
        <v>3</v>
      </c>
      <c r="DI363" t="s">
        <v>3</v>
      </c>
      <c r="DJ363" t="s">
        <v>3</v>
      </c>
      <c r="DK363" t="s">
        <v>3</v>
      </c>
      <c r="DL363" t="s">
        <v>3</v>
      </c>
      <c r="DM363" t="s">
        <v>3</v>
      </c>
      <c r="DN363">
        <v>0</v>
      </c>
      <c r="DO363">
        <v>0</v>
      </c>
      <c r="DP363">
        <v>1</v>
      </c>
      <c r="DQ363">
        <v>1</v>
      </c>
      <c r="DU363">
        <v>1003</v>
      </c>
      <c r="DV363" t="s">
        <v>20</v>
      </c>
      <c r="DW363" t="s">
        <v>20</v>
      </c>
      <c r="DX363">
        <v>100</v>
      </c>
      <c r="DZ363" t="s">
        <v>3</v>
      </c>
      <c r="EA363" t="s">
        <v>3</v>
      </c>
      <c r="EB363" t="s">
        <v>3</v>
      </c>
      <c r="EC363" t="s">
        <v>3</v>
      </c>
      <c r="EE363">
        <v>1441815344</v>
      </c>
      <c r="EF363">
        <v>1</v>
      </c>
      <c r="EG363" t="s">
        <v>23</v>
      </c>
      <c r="EH363">
        <v>0</v>
      </c>
      <c r="EI363" t="s">
        <v>3</v>
      </c>
      <c r="EJ363">
        <v>4</v>
      </c>
      <c r="EK363">
        <v>0</v>
      </c>
      <c r="EL363" t="s">
        <v>24</v>
      </c>
      <c r="EM363" t="s">
        <v>25</v>
      </c>
      <c r="EO363" t="s">
        <v>3</v>
      </c>
      <c r="EQ363">
        <v>1024</v>
      </c>
      <c r="ER363">
        <v>1673.25</v>
      </c>
      <c r="ES363">
        <v>56.45</v>
      </c>
      <c r="ET363">
        <v>10.95</v>
      </c>
      <c r="EU363">
        <v>0.03</v>
      </c>
      <c r="EV363">
        <v>1605.85</v>
      </c>
      <c r="EW363">
        <v>2.42</v>
      </c>
      <c r="EX363">
        <v>0</v>
      </c>
      <c r="EY363">
        <v>0</v>
      </c>
      <c r="FQ363">
        <v>0</v>
      </c>
      <c r="FR363">
        <f t="shared" si="304"/>
        <v>0</v>
      </c>
      <c r="FS363">
        <v>0</v>
      </c>
      <c r="FX363">
        <v>70</v>
      </c>
      <c r="FY363">
        <v>10</v>
      </c>
      <c r="GA363" t="s">
        <v>3</v>
      </c>
      <c r="GD363">
        <v>0</v>
      </c>
      <c r="GF363">
        <v>1032671561</v>
      </c>
      <c r="GG363">
        <v>2</v>
      </c>
      <c r="GH363">
        <v>1</v>
      </c>
      <c r="GI363">
        <v>-2</v>
      </c>
      <c r="GJ363">
        <v>0</v>
      </c>
      <c r="GK363">
        <f>ROUND(R363*(R12)/100,2)</f>
        <v>0.37</v>
      </c>
      <c r="GL363">
        <f t="shared" si="305"/>
        <v>0</v>
      </c>
      <c r="GM363">
        <f t="shared" si="306"/>
        <v>33927.83</v>
      </c>
      <c r="GN363">
        <f t="shared" si="307"/>
        <v>0</v>
      </c>
      <c r="GO363">
        <f t="shared" si="308"/>
        <v>0</v>
      </c>
      <c r="GP363">
        <f t="shared" si="309"/>
        <v>33927.83</v>
      </c>
      <c r="GR363">
        <v>0</v>
      </c>
      <c r="GS363">
        <v>3</v>
      </c>
      <c r="GT363">
        <v>0</v>
      </c>
      <c r="GU363" t="s">
        <v>3</v>
      </c>
      <c r="GV363">
        <f t="shared" si="310"/>
        <v>0</v>
      </c>
      <c r="GW363">
        <v>1</v>
      </c>
      <c r="GX363">
        <f t="shared" si="311"/>
        <v>0</v>
      </c>
      <c r="HA363">
        <v>0</v>
      </c>
      <c r="HB363">
        <v>0</v>
      </c>
      <c r="HC363">
        <f t="shared" si="312"/>
        <v>0</v>
      </c>
      <c r="HE363" t="s">
        <v>3</v>
      </c>
      <c r="HF363" t="s">
        <v>3</v>
      </c>
      <c r="HM363" t="s">
        <v>3</v>
      </c>
      <c r="HN363" t="s">
        <v>3</v>
      </c>
      <c r="HO363" t="s">
        <v>3</v>
      </c>
      <c r="HP363" t="s">
        <v>3</v>
      </c>
      <c r="HQ363" t="s">
        <v>3</v>
      </c>
      <c r="IK363">
        <v>0</v>
      </c>
    </row>
    <row r="364" spans="1:245" x14ac:dyDescent="0.2">
      <c r="A364">
        <v>19</v>
      </c>
      <c r="B364">
        <v>1</v>
      </c>
      <c r="F364" t="s">
        <v>3</v>
      </c>
      <c r="G364" t="s">
        <v>316</v>
      </c>
      <c r="H364" t="s">
        <v>3</v>
      </c>
      <c r="AA364">
        <v>1</v>
      </c>
      <c r="IK364">
        <v>0</v>
      </c>
    </row>
    <row r="365" spans="1:245" x14ac:dyDescent="0.2">
      <c r="A365">
        <v>19</v>
      </c>
      <c r="B365">
        <v>1</v>
      </c>
      <c r="F365" t="s">
        <v>3</v>
      </c>
      <c r="G365" t="s">
        <v>261</v>
      </c>
      <c r="H365" t="s">
        <v>3</v>
      </c>
      <c r="AA365">
        <v>1</v>
      </c>
      <c r="IK365">
        <v>0</v>
      </c>
    </row>
    <row r="366" spans="1:245" x14ac:dyDescent="0.2">
      <c r="A366">
        <v>17</v>
      </c>
      <c r="B366">
        <v>1</v>
      </c>
      <c r="D366">
        <f>ROW(EtalonRes!A244)</f>
        <v>244</v>
      </c>
      <c r="E366" t="s">
        <v>3</v>
      </c>
      <c r="F366" t="s">
        <v>18</v>
      </c>
      <c r="G366" t="s">
        <v>19</v>
      </c>
      <c r="H366" t="s">
        <v>20</v>
      </c>
      <c r="I366">
        <f>ROUND((40+3)*0.25*3*0.1/100,9)</f>
        <v>3.2250000000000001E-2</v>
      </c>
      <c r="J366">
        <v>0</v>
      </c>
      <c r="K366">
        <f>ROUND((40+3)*0.25*3*0.1/100,9)</f>
        <v>3.2250000000000001E-2</v>
      </c>
      <c r="O366">
        <f>ROUND(CP366,2)</f>
        <v>65.27</v>
      </c>
      <c r="P366">
        <f>ROUND(CQ366*I366,2)</f>
        <v>0</v>
      </c>
      <c r="Q366">
        <f>ROUND(CR366*I366,2)</f>
        <v>0</v>
      </c>
      <c r="R366">
        <f>ROUND(CS366*I366,2)</f>
        <v>0</v>
      </c>
      <c r="S366">
        <f>ROUND(CT366*I366,2)</f>
        <v>65.27</v>
      </c>
      <c r="T366">
        <f>ROUND(CU366*I366,2)</f>
        <v>0</v>
      </c>
      <c r="U366">
        <f>CV366*I366</f>
        <v>0.11610000000000001</v>
      </c>
      <c r="V366">
        <f>CW366*I366</f>
        <v>0</v>
      </c>
      <c r="W366">
        <f>ROUND(CX366*I366,2)</f>
        <v>0</v>
      </c>
      <c r="X366">
        <f t="shared" ref="X366:Y369" si="313">ROUND(CY366,2)</f>
        <v>45.69</v>
      </c>
      <c r="Y366">
        <f t="shared" si="313"/>
        <v>6.53</v>
      </c>
      <c r="AA366">
        <v>-1</v>
      </c>
      <c r="AB366">
        <f>ROUND((AC366+AD366+AF366),6)</f>
        <v>2023.8</v>
      </c>
      <c r="AC366">
        <f>ROUND(((ES366*4)),6)</f>
        <v>0</v>
      </c>
      <c r="AD366">
        <f>ROUND(((((ET366*4))-((EU366*4)))+AE366),6)</f>
        <v>0</v>
      </c>
      <c r="AE366">
        <f>ROUND(((EU366*4)),6)</f>
        <v>0</v>
      </c>
      <c r="AF366">
        <f>ROUND(((EV366*4)),6)</f>
        <v>2023.8</v>
      </c>
      <c r="AG366">
        <f>ROUND((AP366),6)</f>
        <v>0</v>
      </c>
      <c r="AH366">
        <f>((EW366*4))</f>
        <v>3.6</v>
      </c>
      <c r="AI366">
        <f>((EX366*4))</f>
        <v>0</v>
      </c>
      <c r="AJ366">
        <f>(AS366)</f>
        <v>0</v>
      </c>
      <c r="AK366">
        <v>505.95</v>
      </c>
      <c r="AL366">
        <v>0</v>
      </c>
      <c r="AM366">
        <v>0</v>
      </c>
      <c r="AN366">
        <v>0</v>
      </c>
      <c r="AO366">
        <v>505.95</v>
      </c>
      <c r="AP366">
        <v>0</v>
      </c>
      <c r="AQ366">
        <v>0.9</v>
      </c>
      <c r="AR366">
        <v>0</v>
      </c>
      <c r="AS366">
        <v>0</v>
      </c>
      <c r="AT366">
        <v>70</v>
      </c>
      <c r="AU366">
        <v>10</v>
      </c>
      <c r="AV366">
        <v>1</v>
      </c>
      <c r="AW366">
        <v>1</v>
      </c>
      <c r="AZ366">
        <v>1</v>
      </c>
      <c r="BA366">
        <v>1</v>
      </c>
      <c r="BB366">
        <v>1</v>
      </c>
      <c r="BC366">
        <v>1</v>
      </c>
      <c r="BD366" t="s">
        <v>3</v>
      </c>
      <c r="BE366" t="s">
        <v>3</v>
      </c>
      <c r="BF366" t="s">
        <v>3</v>
      </c>
      <c r="BG366" t="s">
        <v>3</v>
      </c>
      <c r="BH366">
        <v>0</v>
      </c>
      <c r="BI366">
        <v>4</v>
      </c>
      <c r="BJ366" t="s">
        <v>21</v>
      </c>
      <c r="BM366">
        <v>0</v>
      </c>
      <c r="BN366">
        <v>0</v>
      </c>
      <c r="BO366" t="s">
        <v>3</v>
      </c>
      <c r="BP366">
        <v>0</v>
      </c>
      <c r="BQ366">
        <v>1</v>
      </c>
      <c r="BR366">
        <v>0</v>
      </c>
      <c r="BS366">
        <v>1</v>
      </c>
      <c r="BT366">
        <v>1</v>
      </c>
      <c r="BU366">
        <v>1</v>
      </c>
      <c r="BV366">
        <v>1</v>
      </c>
      <c r="BW366">
        <v>1</v>
      </c>
      <c r="BX366">
        <v>1</v>
      </c>
      <c r="BY366" t="s">
        <v>3</v>
      </c>
      <c r="BZ366">
        <v>70</v>
      </c>
      <c r="CA366">
        <v>10</v>
      </c>
      <c r="CB366" t="s">
        <v>3</v>
      </c>
      <c r="CE366">
        <v>0</v>
      </c>
      <c r="CF366">
        <v>0</v>
      </c>
      <c r="CG366">
        <v>0</v>
      </c>
      <c r="CM366">
        <v>0</v>
      </c>
      <c r="CN366" t="s">
        <v>3</v>
      </c>
      <c r="CO366">
        <v>0</v>
      </c>
      <c r="CP366">
        <f>(P366+Q366+S366)</f>
        <v>65.27</v>
      </c>
      <c r="CQ366">
        <f>(AC366*BC366*AW366)</f>
        <v>0</v>
      </c>
      <c r="CR366">
        <f>(((((ET366*4))*BB366-((EU366*4))*BS366)+AE366*BS366)*AV366)</f>
        <v>0</v>
      </c>
      <c r="CS366">
        <f>(AE366*BS366*AV366)</f>
        <v>0</v>
      </c>
      <c r="CT366">
        <f>(AF366*BA366*AV366)</f>
        <v>2023.8</v>
      </c>
      <c r="CU366">
        <f>AG366</f>
        <v>0</v>
      </c>
      <c r="CV366">
        <f>(AH366*AV366)</f>
        <v>3.6</v>
      </c>
      <c r="CW366">
        <f t="shared" ref="CW366:CX369" si="314">AI366</f>
        <v>0</v>
      </c>
      <c r="CX366">
        <f t="shared" si="314"/>
        <v>0</v>
      </c>
      <c r="CY366">
        <f>((S366*BZ366)/100)</f>
        <v>45.688999999999993</v>
      </c>
      <c r="CZ366">
        <f>((S366*CA366)/100)</f>
        <v>6.5269999999999992</v>
      </c>
      <c r="DC366" t="s">
        <v>3</v>
      </c>
      <c r="DD366" t="s">
        <v>22</v>
      </c>
      <c r="DE366" t="s">
        <v>22</v>
      </c>
      <c r="DF366" t="s">
        <v>22</v>
      </c>
      <c r="DG366" t="s">
        <v>22</v>
      </c>
      <c r="DH366" t="s">
        <v>3</v>
      </c>
      <c r="DI366" t="s">
        <v>22</v>
      </c>
      <c r="DJ366" t="s">
        <v>22</v>
      </c>
      <c r="DK366" t="s">
        <v>3</v>
      </c>
      <c r="DL366" t="s">
        <v>3</v>
      </c>
      <c r="DM366" t="s">
        <v>3</v>
      </c>
      <c r="DN366">
        <v>0</v>
      </c>
      <c r="DO366">
        <v>0</v>
      </c>
      <c r="DP366">
        <v>1</v>
      </c>
      <c r="DQ366">
        <v>1</v>
      </c>
      <c r="DU366">
        <v>1003</v>
      </c>
      <c r="DV366" t="s">
        <v>20</v>
      </c>
      <c r="DW366" t="s">
        <v>20</v>
      </c>
      <c r="DX366">
        <v>100</v>
      </c>
      <c r="DZ366" t="s">
        <v>3</v>
      </c>
      <c r="EA366" t="s">
        <v>3</v>
      </c>
      <c r="EB366" t="s">
        <v>3</v>
      </c>
      <c r="EC366" t="s">
        <v>3</v>
      </c>
      <c r="EE366">
        <v>1441815344</v>
      </c>
      <c r="EF366">
        <v>1</v>
      </c>
      <c r="EG366" t="s">
        <v>23</v>
      </c>
      <c r="EH366">
        <v>0</v>
      </c>
      <c r="EI366" t="s">
        <v>3</v>
      </c>
      <c r="EJ366">
        <v>4</v>
      </c>
      <c r="EK366">
        <v>0</v>
      </c>
      <c r="EL366" t="s">
        <v>24</v>
      </c>
      <c r="EM366" t="s">
        <v>25</v>
      </c>
      <c r="EO366" t="s">
        <v>3</v>
      </c>
      <c r="EQ366">
        <v>1024</v>
      </c>
      <c r="ER366">
        <v>505.95</v>
      </c>
      <c r="ES366">
        <v>0</v>
      </c>
      <c r="ET366">
        <v>0</v>
      </c>
      <c r="EU366">
        <v>0</v>
      </c>
      <c r="EV366">
        <v>505.95</v>
      </c>
      <c r="EW366">
        <v>0.9</v>
      </c>
      <c r="EX366">
        <v>0</v>
      </c>
      <c r="EY366">
        <v>0</v>
      </c>
      <c r="FQ366">
        <v>0</v>
      </c>
      <c r="FR366">
        <f>ROUND(IF(BI366=3,GM366,0),2)</f>
        <v>0</v>
      </c>
      <c r="FS366">
        <v>0</v>
      </c>
      <c r="FX366">
        <v>70</v>
      </c>
      <c r="FY366">
        <v>10</v>
      </c>
      <c r="GA366" t="s">
        <v>3</v>
      </c>
      <c r="GD366">
        <v>0</v>
      </c>
      <c r="GF366">
        <v>-341239612</v>
      </c>
      <c r="GG366">
        <v>2</v>
      </c>
      <c r="GH366">
        <v>1</v>
      </c>
      <c r="GI366">
        <v>-2</v>
      </c>
      <c r="GJ366">
        <v>0</v>
      </c>
      <c r="GK366">
        <f>ROUND(R366*(R12)/100,2)</f>
        <v>0</v>
      </c>
      <c r="GL366">
        <f>ROUND(IF(AND(BH366=3,BI366=3,FS366&lt;&gt;0),P366,0),2)</f>
        <v>0</v>
      </c>
      <c r="GM366">
        <f>ROUND(O366+X366+Y366+GK366,2)+GX366</f>
        <v>117.49</v>
      </c>
      <c r="GN366">
        <f>IF(OR(BI366=0,BI366=1),GM366-GX366,0)</f>
        <v>0</v>
      </c>
      <c r="GO366">
        <f>IF(BI366=2,GM366-GX366,0)</f>
        <v>0</v>
      </c>
      <c r="GP366">
        <f>IF(BI366=4,GM366-GX366,0)</f>
        <v>117.49</v>
      </c>
      <c r="GR366">
        <v>0</v>
      </c>
      <c r="GS366">
        <v>3</v>
      </c>
      <c r="GT366">
        <v>0</v>
      </c>
      <c r="GU366" t="s">
        <v>3</v>
      </c>
      <c r="GV366">
        <f>ROUND((GT366),6)</f>
        <v>0</v>
      </c>
      <c r="GW366">
        <v>1</v>
      </c>
      <c r="GX366">
        <f>ROUND(HC366*I366,2)</f>
        <v>0</v>
      </c>
      <c r="HA366">
        <v>0</v>
      </c>
      <c r="HB366">
        <v>0</v>
      </c>
      <c r="HC366">
        <f>GV366*GW366</f>
        <v>0</v>
      </c>
      <c r="HE366" t="s">
        <v>3</v>
      </c>
      <c r="HF366" t="s">
        <v>3</v>
      </c>
      <c r="HM366" t="s">
        <v>3</v>
      </c>
      <c r="HN366" t="s">
        <v>3</v>
      </c>
      <c r="HO366" t="s">
        <v>3</v>
      </c>
      <c r="HP366" t="s">
        <v>3</v>
      </c>
      <c r="HQ366" t="s">
        <v>3</v>
      </c>
      <c r="IK366">
        <v>0</v>
      </c>
    </row>
    <row r="367" spans="1:245" x14ac:dyDescent="0.2">
      <c r="A367">
        <v>17</v>
      </c>
      <c r="B367">
        <v>1</v>
      </c>
      <c r="D367">
        <f>ROW(EtalonRes!A245)</f>
        <v>245</v>
      </c>
      <c r="E367" t="s">
        <v>3</v>
      </c>
      <c r="F367" t="s">
        <v>26</v>
      </c>
      <c r="G367" t="s">
        <v>27</v>
      </c>
      <c r="H367" t="s">
        <v>20</v>
      </c>
      <c r="I367">
        <f>ROUND((40+3)*0.75*3*0.1/100,9)</f>
        <v>9.6750000000000003E-2</v>
      </c>
      <c r="J367">
        <v>0</v>
      </c>
      <c r="K367">
        <f>ROUND((40+3)*0.75*3*0.1/100,9)</f>
        <v>9.6750000000000003E-2</v>
      </c>
      <c r="O367">
        <f>ROUND(CP367,2)</f>
        <v>1052.99</v>
      </c>
      <c r="P367">
        <f>ROUND(CQ367*I367,2)</f>
        <v>0</v>
      </c>
      <c r="Q367">
        <f>ROUND(CR367*I367,2)</f>
        <v>0</v>
      </c>
      <c r="R367">
        <f>ROUND(CS367*I367,2)</f>
        <v>0</v>
      </c>
      <c r="S367">
        <f>ROUND(CT367*I367,2)</f>
        <v>1052.99</v>
      </c>
      <c r="T367">
        <f>ROUND(CU367*I367,2)</f>
        <v>0</v>
      </c>
      <c r="U367">
        <f>CV367*I367</f>
        <v>1.8730800000000001</v>
      </c>
      <c r="V367">
        <f>CW367*I367</f>
        <v>0</v>
      </c>
      <c r="W367">
        <f>ROUND(CX367*I367,2)</f>
        <v>0</v>
      </c>
      <c r="X367">
        <f t="shared" si="313"/>
        <v>737.09</v>
      </c>
      <c r="Y367">
        <f t="shared" si="313"/>
        <v>105.3</v>
      </c>
      <c r="AA367">
        <v>-1</v>
      </c>
      <c r="AB367">
        <f>ROUND((AC367+AD367+AF367),6)</f>
        <v>10883.64</v>
      </c>
      <c r="AC367">
        <f>ROUND(((ES367*4)),6)</f>
        <v>0</v>
      </c>
      <c r="AD367">
        <f>ROUND(((((ET367*4))-((EU367*4)))+AE367),6)</f>
        <v>0</v>
      </c>
      <c r="AE367">
        <f>ROUND(((EU367*4)),6)</f>
        <v>0</v>
      </c>
      <c r="AF367">
        <f>ROUND(((EV367*4)),6)</f>
        <v>10883.64</v>
      </c>
      <c r="AG367">
        <f>ROUND((AP367),6)</f>
        <v>0</v>
      </c>
      <c r="AH367">
        <f>((EW367*4))</f>
        <v>19.36</v>
      </c>
      <c r="AI367">
        <f>((EX367*4))</f>
        <v>0</v>
      </c>
      <c r="AJ367">
        <f>(AS367)</f>
        <v>0</v>
      </c>
      <c r="AK367">
        <v>2720.91</v>
      </c>
      <c r="AL367">
        <v>0</v>
      </c>
      <c r="AM367">
        <v>0</v>
      </c>
      <c r="AN367">
        <v>0</v>
      </c>
      <c r="AO367">
        <v>2720.91</v>
      </c>
      <c r="AP367">
        <v>0</v>
      </c>
      <c r="AQ367">
        <v>4.84</v>
      </c>
      <c r="AR367">
        <v>0</v>
      </c>
      <c r="AS367">
        <v>0</v>
      </c>
      <c r="AT367">
        <v>70</v>
      </c>
      <c r="AU367">
        <v>10</v>
      </c>
      <c r="AV367">
        <v>1</v>
      </c>
      <c r="AW367">
        <v>1</v>
      </c>
      <c r="AZ367">
        <v>1</v>
      </c>
      <c r="BA367">
        <v>1</v>
      </c>
      <c r="BB367">
        <v>1</v>
      </c>
      <c r="BC367">
        <v>1</v>
      </c>
      <c r="BD367" t="s">
        <v>3</v>
      </c>
      <c r="BE367" t="s">
        <v>3</v>
      </c>
      <c r="BF367" t="s">
        <v>3</v>
      </c>
      <c r="BG367" t="s">
        <v>3</v>
      </c>
      <c r="BH367">
        <v>0</v>
      </c>
      <c r="BI367">
        <v>4</v>
      </c>
      <c r="BJ367" t="s">
        <v>28</v>
      </c>
      <c r="BM367">
        <v>0</v>
      </c>
      <c r="BN367">
        <v>0</v>
      </c>
      <c r="BO367" t="s">
        <v>3</v>
      </c>
      <c r="BP367">
        <v>0</v>
      </c>
      <c r="BQ367">
        <v>1</v>
      </c>
      <c r="BR367">
        <v>0</v>
      </c>
      <c r="BS367">
        <v>1</v>
      </c>
      <c r="BT367">
        <v>1</v>
      </c>
      <c r="BU367">
        <v>1</v>
      </c>
      <c r="BV367">
        <v>1</v>
      </c>
      <c r="BW367">
        <v>1</v>
      </c>
      <c r="BX367">
        <v>1</v>
      </c>
      <c r="BY367" t="s">
        <v>3</v>
      </c>
      <c r="BZ367">
        <v>70</v>
      </c>
      <c r="CA367">
        <v>10</v>
      </c>
      <c r="CB367" t="s">
        <v>3</v>
      </c>
      <c r="CE367">
        <v>0</v>
      </c>
      <c r="CF367">
        <v>0</v>
      </c>
      <c r="CG367">
        <v>0</v>
      </c>
      <c r="CM367">
        <v>0</v>
      </c>
      <c r="CN367" t="s">
        <v>3</v>
      </c>
      <c r="CO367">
        <v>0</v>
      </c>
      <c r="CP367">
        <f>(P367+Q367+S367)</f>
        <v>1052.99</v>
      </c>
      <c r="CQ367">
        <f>(AC367*BC367*AW367)</f>
        <v>0</v>
      </c>
      <c r="CR367">
        <f>(((((ET367*4))*BB367-((EU367*4))*BS367)+AE367*BS367)*AV367)</f>
        <v>0</v>
      </c>
      <c r="CS367">
        <f>(AE367*BS367*AV367)</f>
        <v>0</v>
      </c>
      <c r="CT367">
        <f>(AF367*BA367*AV367)</f>
        <v>10883.64</v>
      </c>
      <c r="CU367">
        <f>AG367</f>
        <v>0</v>
      </c>
      <c r="CV367">
        <f>(AH367*AV367)</f>
        <v>19.36</v>
      </c>
      <c r="CW367">
        <f t="shared" si="314"/>
        <v>0</v>
      </c>
      <c r="CX367">
        <f t="shared" si="314"/>
        <v>0</v>
      </c>
      <c r="CY367">
        <f>((S367*BZ367)/100)</f>
        <v>737.09300000000007</v>
      </c>
      <c r="CZ367">
        <f>((S367*CA367)/100)</f>
        <v>105.29899999999999</v>
      </c>
      <c r="DC367" t="s">
        <v>3</v>
      </c>
      <c r="DD367" t="s">
        <v>22</v>
      </c>
      <c r="DE367" t="s">
        <v>22</v>
      </c>
      <c r="DF367" t="s">
        <v>22</v>
      </c>
      <c r="DG367" t="s">
        <v>22</v>
      </c>
      <c r="DH367" t="s">
        <v>3</v>
      </c>
      <c r="DI367" t="s">
        <v>22</v>
      </c>
      <c r="DJ367" t="s">
        <v>22</v>
      </c>
      <c r="DK367" t="s">
        <v>3</v>
      </c>
      <c r="DL367" t="s">
        <v>3</v>
      </c>
      <c r="DM367" t="s">
        <v>3</v>
      </c>
      <c r="DN367">
        <v>0</v>
      </c>
      <c r="DO367">
        <v>0</v>
      </c>
      <c r="DP367">
        <v>1</v>
      </c>
      <c r="DQ367">
        <v>1</v>
      </c>
      <c r="DU367">
        <v>1003</v>
      </c>
      <c r="DV367" t="s">
        <v>20</v>
      </c>
      <c r="DW367" t="s">
        <v>20</v>
      </c>
      <c r="DX367">
        <v>100</v>
      </c>
      <c r="DZ367" t="s">
        <v>3</v>
      </c>
      <c r="EA367" t="s">
        <v>3</v>
      </c>
      <c r="EB367" t="s">
        <v>3</v>
      </c>
      <c r="EC367" t="s">
        <v>3</v>
      </c>
      <c r="EE367">
        <v>1441815344</v>
      </c>
      <c r="EF367">
        <v>1</v>
      </c>
      <c r="EG367" t="s">
        <v>23</v>
      </c>
      <c r="EH367">
        <v>0</v>
      </c>
      <c r="EI367" t="s">
        <v>3</v>
      </c>
      <c r="EJ367">
        <v>4</v>
      </c>
      <c r="EK367">
        <v>0</v>
      </c>
      <c r="EL367" t="s">
        <v>24</v>
      </c>
      <c r="EM367" t="s">
        <v>25</v>
      </c>
      <c r="EO367" t="s">
        <v>3</v>
      </c>
      <c r="EQ367">
        <v>1024</v>
      </c>
      <c r="ER367">
        <v>2720.91</v>
      </c>
      <c r="ES367">
        <v>0</v>
      </c>
      <c r="ET367">
        <v>0</v>
      </c>
      <c r="EU367">
        <v>0</v>
      </c>
      <c r="EV367">
        <v>2720.91</v>
      </c>
      <c r="EW367">
        <v>4.84</v>
      </c>
      <c r="EX367">
        <v>0</v>
      </c>
      <c r="EY367">
        <v>0</v>
      </c>
      <c r="FQ367">
        <v>0</v>
      </c>
      <c r="FR367">
        <f>ROUND(IF(BI367=3,GM367,0),2)</f>
        <v>0</v>
      </c>
      <c r="FS367">
        <v>0</v>
      </c>
      <c r="FX367">
        <v>70</v>
      </c>
      <c r="FY367">
        <v>10</v>
      </c>
      <c r="GA367" t="s">
        <v>3</v>
      </c>
      <c r="GD367">
        <v>0</v>
      </c>
      <c r="GF367">
        <v>-1706933960</v>
      </c>
      <c r="GG367">
        <v>2</v>
      </c>
      <c r="GH367">
        <v>1</v>
      </c>
      <c r="GI367">
        <v>-2</v>
      </c>
      <c r="GJ367">
        <v>0</v>
      </c>
      <c r="GK367">
        <f>ROUND(R367*(R12)/100,2)</f>
        <v>0</v>
      </c>
      <c r="GL367">
        <f>ROUND(IF(AND(BH367=3,BI367=3,FS367&lt;&gt;0),P367,0),2)</f>
        <v>0</v>
      </c>
      <c r="GM367">
        <f>ROUND(O367+X367+Y367+GK367,2)+GX367</f>
        <v>1895.38</v>
      </c>
      <c r="GN367">
        <f>IF(OR(BI367=0,BI367=1),GM367-GX367,0)</f>
        <v>0</v>
      </c>
      <c r="GO367">
        <f>IF(BI367=2,GM367-GX367,0)</f>
        <v>0</v>
      </c>
      <c r="GP367">
        <f>IF(BI367=4,GM367-GX367,0)</f>
        <v>1895.38</v>
      </c>
      <c r="GR367">
        <v>0</v>
      </c>
      <c r="GS367">
        <v>3</v>
      </c>
      <c r="GT367">
        <v>0</v>
      </c>
      <c r="GU367" t="s">
        <v>3</v>
      </c>
      <c r="GV367">
        <f>ROUND((GT367),6)</f>
        <v>0</v>
      </c>
      <c r="GW367">
        <v>1</v>
      </c>
      <c r="GX367">
        <f>ROUND(HC367*I367,2)</f>
        <v>0</v>
      </c>
      <c r="HA367">
        <v>0</v>
      </c>
      <c r="HB367">
        <v>0</v>
      </c>
      <c r="HC367">
        <f>GV367*GW367</f>
        <v>0</v>
      </c>
      <c r="HE367" t="s">
        <v>3</v>
      </c>
      <c r="HF367" t="s">
        <v>3</v>
      </c>
      <c r="HM367" t="s">
        <v>3</v>
      </c>
      <c r="HN367" t="s">
        <v>3</v>
      </c>
      <c r="HO367" t="s">
        <v>3</v>
      </c>
      <c r="HP367" t="s">
        <v>3</v>
      </c>
      <c r="HQ367" t="s">
        <v>3</v>
      </c>
      <c r="IK367">
        <v>0</v>
      </c>
    </row>
    <row r="368" spans="1:245" x14ac:dyDescent="0.2">
      <c r="A368">
        <v>17</v>
      </c>
      <c r="B368">
        <v>1</v>
      </c>
      <c r="D368">
        <f>ROW(EtalonRes!A251)</f>
        <v>251</v>
      </c>
      <c r="E368" t="s">
        <v>3</v>
      </c>
      <c r="F368" t="s">
        <v>296</v>
      </c>
      <c r="G368" t="s">
        <v>297</v>
      </c>
      <c r="H368" t="s">
        <v>20</v>
      </c>
      <c r="I368">
        <f>ROUND((40+3)*3/100,9)</f>
        <v>1.29</v>
      </c>
      <c r="J368">
        <v>0</v>
      </c>
      <c r="K368">
        <f>ROUND((40+3)*3/100,9)</f>
        <v>1.29</v>
      </c>
      <c r="O368">
        <f>ROUND(CP368,2)</f>
        <v>10225.379999999999</v>
      </c>
      <c r="P368">
        <f>ROUND(CQ368*I368,2)</f>
        <v>90.6</v>
      </c>
      <c r="Q368">
        <f>ROUND(CR368*I368,2)</f>
        <v>65.400000000000006</v>
      </c>
      <c r="R368">
        <f>ROUND(CS368*I368,2)</f>
        <v>1.04</v>
      </c>
      <c r="S368">
        <f>ROUND(CT368*I368,2)</f>
        <v>10069.379999999999</v>
      </c>
      <c r="T368">
        <f>ROUND(CU368*I368,2)</f>
        <v>0</v>
      </c>
      <c r="U368">
        <f>CV368*I368</f>
        <v>13.725600000000002</v>
      </c>
      <c r="V368">
        <f>CW368*I368</f>
        <v>0</v>
      </c>
      <c r="W368">
        <f>ROUND(CX368*I368,2)</f>
        <v>0</v>
      </c>
      <c r="X368">
        <f t="shared" si="313"/>
        <v>7048.57</v>
      </c>
      <c r="Y368">
        <f t="shared" si="313"/>
        <v>1006.94</v>
      </c>
      <c r="AA368">
        <v>-1</v>
      </c>
      <c r="AB368">
        <f>ROUND((AC368+AD368+AF368),6)</f>
        <v>7926.65</v>
      </c>
      <c r="AC368">
        <f>ROUND((ES368),6)</f>
        <v>70.23</v>
      </c>
      <c r="AD368">
        <f>ROUND((((ET368)-(EU368))+AE368),6)</f>
        <v>50.7</v>
      </c>
      <c r="AE368">
        <f>ROUND((EU368),6)</f>
        <v>0.81</v>
      </c>
      <c r="AF368">
        <f>ROUND((EV368),6)</f>
        <v>7805.72</v>
      </c>
      <c r="AG368">
        <f>ROUND((AP368),6)</f>
        <v>0</v>
      </c>
      <c r="AH368">
        <f>(EW368)</f>
        <v>10.64</v>
      </c>
      <c r="AI368">
        <f>(EX368)</f>
        <v>0</v>
      </c>
      <c r="AJ368">
        <f>(AS368)</f>
        <v>0</v>
      </c>
      <c r="AK368">
        <v>7926.65</v>
      </c>
      <c r="AL368">
        <v>70.23</v>
      </c>
      <c r="AM368">
        <v>50.7</v>
      </c>
      <c r="AN368">
        <v>0.81</v>
      </c>
      <c r="AO368">
        <v>7805.72</v>
      </c>
      <c r="AP368">
        <v>0</v>
      </c>
      <c r="AQ368">
        <v>10.64</v>
      </c>
      <c r="AR368">
        <v>0</v>
      </c>
      <c r="AS368">
        <v>0</v>
      </c>
      <c r="AT368">
        <v>70</v>
      </c>
      <c r="AU368">
        <v>10</v>
      </c>
      <c r="AV368">
        <v>1</v>
      </c>
      <c r="AW368">
        <v>1</v>
      </c>
      <c r="AZ368">
        <v>1</v>
      </c>
      <c r="BA368">
        <v>1</v>
      </c>
      <c r="BB368">
        <v>1</v>
      </c>
      <c r="BC368">
        <v>1</v>
      </c>
      <c r="BD368" t="s">
        <v>3</v>
      </c>
      <c r="BE368" t="s">
        <v>3</v>
      </c>
      <c r="BF368" t="s">
        <v>3</v>
      </c>
      <c r="BG368" t="s">
        <v>3</v>
      </c>
      <c r="BH368">
        <v>0</v>
      </c>
      <c r="BI368">
        <v>4</v>
      </c>
      <c r="BJ368" t="s">
        <v>298</v>
      </c>
      <c r="BM368">
        <v>0</v>
      </c>
      <c r="BN368">
        <v>0</v>
      </c>
      <c r="BO368" t="s">
        <v>3</v>
      </c>
      <c r="BP368">
        <v>0</v>
      </c>
      <c r="BQ368">
        <v>1</v>
      </c>
      <c r="BR368">
        <v>0</v>
      </c>
      <c r="BS368">
        <v>1</v>
      </c>
      <c r="BT368">
        <v>1</v>
      </c>
      <c r="BU368">
        <v>1</v>
      </c>
      <c r="BV368">
        <v>1</v>
      </c>
      <c r="BW368">
        <v>1</v>
      </c>
      <c r="BX368">
        <v>1</v>
      </c>
      <c r="BY368" t="s">
        <v>3</v>
      </c>
      <c r="BZ368">
        <v>70</v>
      </c>
      <c r="CA368">
        <v>10</v>
      </c>
      <c r="CB368" t="s">
        <v>3</v>
      </c>
      <c r="CE368">
        <v>0</v>
      </c>
      <c r="CF368">
        <v>0</v>
      </c>
      <c r="CG368">
        <v>0</v>
      </c>
      <c r="CM368">
        <v>0</v>
      </c>
      <c r="CN368" t="s">
        <v>3</v>
      </c>
      <c r="CO368">
        <v>0</v>
      </c>
      <c r="CP368">
        <f>(P368+Q368+S368)</f>
        <v>10225.379999999999</v>
      </c>
      <c r="CQ368">
        <f>(AC368*BC368*AW368)</f>
        <v>70.23</v>
      </c>
      <c r="CR368">
        <f>((((ET368)*BB368-(EU368)*BS368)+AE368*BS368)*AV368)</f>
        <v>50.7</v>
      </c>
      <c r="CS368">
        <f>(AE368*BS368*AV368)</f>
        <v>0.81</v>
      </c>
      <c r="CT368">
        <f>(AF368*BA368*AV368)</f>
        <v>7805.72</v>
      </c>
      <c r="CU368">
        <f>AG368</f>
        <v>0</v>
      </c>
      <c r="CV368">
        <f>(AH368*AV368)</f>
        <v>10.64</v>
      </c>
      <c r="CW368">
        <f t="shared" si="314"/>
        <v>0</v>
      </c>
      <c r="CX368">
        <f t="shared" si="314"/>
        <v>0</v>
      </c>
      <c r="CY368">
        <f>((S368*BZ368)/100)</f>
        <v>7048.5659999999998</v>
      </c>
      <c r="CZ368">
        <f>((S368*CA368)/100)</f>
        <v>1006.9379999999999</v>
      </c>
      <c r="DC368" t="s">
        <v>3</v>
      </c>
      <c r="DD368" t="s">
        <v>3</v>
      </c>
      <c r="DE368" t="s">
        <v>3</v>
      </c>
      <c r="DF368" t="s">
        <v>3</v>
      </c>
      <c r="DG368" t="s">
        <v>3</v>
      </c>
      <c r="DH368" t="s">
        <v>3</v>
      </c>
      <c r="DI368" t="s">
        <v>3</v>
      </c>
      <c r="DJ368" t="s">
        <v>3</v>
      </c>
      <c r="DK368" t="s">
        <v>3</v>
      </c>
      <c r="DL368" t="s">
        <v>3</v>
      </c>
      <c r="DM368" t="s">
        <v>3</v>
      </c>
      <c r="DN368">
        <v>0</v>
      </c>
      <c r="DO368">
        <v>0</v>
      </c>
      <c r="DP368">
        <v>1</v>
      </c>
      <c r="DQ368">
        <v>1</v>
      </c>
      <c r="DU368">
        <v>1003</v>
      </c>
      <c r="DV368" t="s">
        <v>20</v>
      </c>
      <c r="DW368" t="s">
        <v>20</v>
      </c>
      <c r="DX368">
        <v>100</v>
      </c>
      <c r="DZ368" t="s">
        <v>3</v>
      </c>
      <c r="EA368" t="s">
        <v>3</v>
      </c>
      <c r="EB368" t="s">
        <v>3</v>
      </c>
      <c r="EC368" t="s">
        <v>3</v>
      </c>
      <c r="EE368">
        <v>1441815344</v>
      </c>
      <c r="EF368">
        <v>1</v>
      </c>
      <c r="EG368" t="s">
        <v>23</v>
      </c>
      <c r="EH368">
        <v>0</v>
      </c>
      <c r="EI368" t="s">
        <v>3</v>
      </c>
      <c r="EJ368">
        <v>4</v>
      </c>
      <c r="EK368">
        <v>0</v>
      </c>
      <c r="EL368" t="s">
        <v>24</v>
      </c>
      <c r="EM368" t="s">
        <v>25</v>
      </c>
      <c r="EO368" t="s">
        <v>3</v>
      </c>
      <c r="EQ368">
        <v>1024</v>
      </c>
      <c r="ER368">
        <v>7926.65</v>
      </c>
      <c r="ES368">
        <v>70.23</v>
      </c>
      <c r="ET368">
        <v>50.7</v>
      </c>
      <c r="EU368">
        <v>0.81</v>
      </c>
      <c r="EV368">
        <v>7805.72</v>
      </c>
      <c r="EW368">
        <v>10.64</v>
      </c>
      <c r="EX368">
        <v>0</v>
      </c>
      <c r="EY368">
        <v>0</v>
      </c>
      <c r="FQ368">
        <v>0</v>
      </c>
      <c r="FR368">
        <f>ROUND(IF(BI368=3,GM368,0),2)</f>
        <v>0</v>
      </c>
      <c r="FS368">
        <v>0</v>
      </c>
      <c r="FX368">
        <v>70</v>
      </c>
      <c r="FY368">
        <v>10</v>
      </c>
      <c r="GA368" t="s">
        <v>3</v>
      </c>
      <c r="GD368">
        <v>0</v>
      </c>
      <c r="GF368">
        <v>1087258960</v>
      </c>
      <c r="GG368">
        <v>2</v>
      </c>
      <c r="GH368">
        <v>1</v>
      </c>
      <c r="GI368">
        <v>-2</v>
      </c>
      <c r="GJ368">
        <v>0</v>
      </c>
      <c r="GK368">
        <f>ROUND(R368*(R12)/100,2)</f>
        <v>1.1200000000000001</v>
      </c>
      <c r="GL368">
        <f>ROUND(IF(AND(BH368=3,BI368=3,FS368&lt;&gt;0),P368,0),2)</f>
        <v>0</v>
      </c>
      <c r="GM368">
        <f>ROUND(O368+X368+Y368+GK368,2)+GX368</f>
        <v>18282.009999999998</v>
      </c>
      <c r="GN368">
        <f>IF(OR(BI368=0,BI368=1),GM368-GX368,0)</f>
        <v>0</v>
      </c>
      <c r="GO368">
        <f>IF(BI368=2,GM368-GX368,0)</f>
        <v>0</v>
      </c>
      <c r="GP368">
        <f>IF(BI368=4,GM368-GX368,0)</f>
        <v>18282.009999999998</v>
      </c>
      <c r="GR368">
        <v>0</v>
      </c>
      <c r="GS368">
        <v>3</v>
      </c>
      <c r="GT368">
        <v>0</v>
      </c>
      <c r="GU368" t="s">
        <v>3</v>
      </c>
      <c r="GV368">
        <f>ROUND((GT368),6)</f>
        <v>0</v>
      </c>
      <c r="GW368">
        <v>1</v>
      </c>
      <c r="GX368">
        <f>ROUND(HC368*I368,2)</f>
        <v>0</v>
      </c>
      <c r="HA368">
        <v>0</v>
      </c>
      <c r="HB368">
        <v>0</v>
      </c>
      <c r="HC368">
        <f>GV368*GW368</f>
        <v>0</v>
      </c>
      <c r="HE368" t="s">
        <v>3</v>
      </c>
      <c r="HF368" t="s">
        <v>3</v>
      </c>
      <c r="HM368" t="s">
        <v>3</v>
      </c>
      <c r="HN368" t="s">
        <v>3</v>
      </c>
      <c r="HO368" t="s">
        <v>3</v>
      </c>
      <c r="HP368" t="s">
        <v>3</v>
      </c>
      <c r="HQ368" t="s">
        <v>3</v>
      </c>
      <c r="IK368">
        <v>0</v>
      </c>
    </row>
    <row r="369" spans="1:245" x14ac:dyDescent="0.2">
      <c r="A369">
        <v>17</v>
      </c>
      <c r="B369">
        <v>1</v>
      </c>
      <c r="D369">
        <f>ROW(EtalonRes!A254)</f>
        <v>254</v>
      </c>
      <c r="E369" t="s">
        <v>3</v>
      </c>
      <c r="F369" t="s">
        <v>299</v>
      </c>
      <c r="G369" t="s">
        <v>300</v>
      </c>
      <c r="H369" t="s">
        <v>20</v>
      </c>
      <c r="I369">
        <f>ROUND((40+3)*3/100,9)</f>
        <v>1.29</v>
      </c>
      <c r="J369">
        <v>0</v>
      </c>
      <c r="K369">
        <f>ROUND((40+3)*3/100,9)</f>
        <v>1.29</v>
      </c>
      <c r="O369">
        <f>ROUND(CP369,2)</f>
        <v>2158.5</v>
      </c>
      <c r="P369">
        <f>ROUND(CQ369*I369,2)</f>
        <v>72.819999999999993</v>
      </c>
      <c r="Q369">
        <f>ROUND(CR369*I369,2)</f>
        <v>14.13</v>
      </c>
      <c r="R369">
        <f>ROUND(CS369*I369,2)</f>
        <v>0.04</v>
      </c>
      <c r="S369">
        <f>ROUND(CT369*I369,2)</f>
        <v>2071.5500000000002</v>
      </c>
      <c r="T369">
        <f>ROUND(CU369*I369,2)</f>
        <v>0</v>
      </c>
      <c r="U369">
        <f>CV369*I369</f>
        <v>3.1217999999999999</v>
      </c>
      <c r="V369">
        <f>CW369*I369</f>
        <v>0</v>
      </c>
      <c r="W369">
        <f>ROUND(CX369*I369,2)</f>
        <v>0</v>
      </c>
      <c r="X369">
        <f t="shared" si="313"/>
        <v>1450.09</v>
      </c>
      <c r="Y369">
        <f t="shared" si="313"/>
        <v>207.16</v>
      </c>
      <c r="AA369">
        <v>-1</v>
      </c>
      <c r="AB369">
        <f>ROUND((AC369+AD369+AF369),6)</f>
        <v>1673.25</v>
      </c>
      <c r="AC369">
        <f>ROUND((ES369),6)</f>
        <v>56.45</v>
      </c>
      <c r="AD369">
        <f>ROUND((((ET369)-(EU369))+AE369),6)</f>
        <v>10.95</v>
      </c>
      <c r="AE369">
        <f>ROUND((EU369),6)</f>
        <v>0.03</v>
      </c>
      <c r="AF369">
        <f>ROUND((EV369),6)</f>
        <v>1605.85</v>
      </c>
      <c r="AG369">
        <f>ROUND((AP369),6)</f>
        <v>0</v>
      </c>
      <c r="AH369">
        <f>(EW369)</f>
        <v>2.42</v>
      </c>
      <c r="AI369">
        <f>(EX369)</f>
        <v>0</v>
      </c>
      <c r="AJ369">
        <f>(AS369)</f>
        <v>0</v>
      </c>
      <c r="AK369">
        <v>1673.25</v>
      </c>
      <c r="AL369">
        <v>56.45</v>
      </c>
      <c r="AM369">
        <v>10.95</v>
      </c>
      <c r="AN369">
        <v>0.03</v>
      </c>
      <c r="AO369">
        <v>1605.85</v>
      </c>
      <c r="AP369">
        <v>0</v>
      </c>
      <c r="AQ369">
        <v>2.42</v>
      </c>
      <c r="AR369">
        <v>0</v>
      </c>
      <c r="AS369">
        <v>0</v>
      </c>
      <c r="AT369">
        <v>70</v>
      </c>
      <c r="AU369">
        <v>10</v>
      </c>
      <c r="AV369">
        <v>1</v>
      </c>
      <c r="AW369">
        <v>1</v>
      </c>
      <c r="AZ369">
        <v>1</v>
      </c>
      <c r="BA369">
        <v>1</v>
      </c>
      <c r="BB369">
        <v>1</v>
      </c>
      <c r="BC369">
        <v>1</v>
      </c>
      <c r="BD369" t="s">
        <v>3</v>
      </c>
      <c r="BE369" t="s">
        <v>3</v>
      </c>
      <c r="BF369" t="s">
        <v>3</v>
      </c>
      <c r="BG369" t="s">
        <v>3</v>
      </c>
      <c r="BH369">
        <v>0</v>
      </c>
      <c r="BI369">
        <v>4</v>
      </c>
      <c r="BJ369" t="s">
        <v>301</v>
      </c>
      <c r="BM369">
        <v>0</v>
      </c>
      <c r="BN369">
        <v>0</v>
      </c>
      <c r="BO369" t="s">
        <v>3</v>
      </c>
      <c r="BP369">
        <v>0</v>
      </c>
      <c r="BQ369">
        <v>1</v>
      </c>
      <c r="BR369">
        <v>0</v>
      </c>
      <c r="BS369">
        <v>1</v>
      </c>
      <c r="BT369">
        <v>1</v>
      </c>
      <c r="BU369">
        <v>1</v>
      </c>
      <c r="BV369">
        <v>1</v>
      </c>
      <c r="BW369">
        <v>1</v>
      </c>
      <c r="BX369">
        <v>1</v>
      </c>
      <c r="BY369" t="s">
        <v>3</v>
      </c>
      <c r="BZ369">
        <v>70</v>
      </c>
      <c r="CA369">
        <v>10</v>
      </c>
      <c r="CB369" t="s">
        <v>3</v>
      </c>
      <c r="CE369">
        <v>0</v>
      </c>
      <c r="CF369">
        <v>0</v>
      </c>
      <c r="CG369">
        <v>0</v>
      </c>
      <c r="CM369">
        <v>0</v>
      </c>
      <c r="CN369" t="s">
        <v>3</v>
      </c>
      <c r="CO369">
        <v>0</v>
      </c>
      <c r="CP369">
        <f>(P369+Q369+S369)</f>
        <v>2158.5</v>
      </c>
      <c r="CQ369">
        <f>(AC369*BC369*AW369)</f>
        <v>56.45</v>
      </c>
      <c r="CR369">
        <f>((((ET369)*BB369-(EU369)*BS369)+AE369*BS369)*AV369)</f>
        <v>10.95</v>
      </c>
      <c r="CS369">
        <f>(AE369*BS369*AV369)</f>
        <v>0.03</v>
      </c>
      <c r="CT369">
        <f>(AF369*BA369*AV369)</f>
        <v>1605.85</v>
      </c>
      <c r="CU369">
        <f>AG369</f>
        <v>0</v>
      </c>
      <c r="CV369">
        <f>(AH369*AV369)</f>
        <v>2.42</v>
      </c>
      <c r="CW369">
        <f t="shared" si="314"/>
        <v>0</v>
      </c>
      <c r="CX369">
        <f t="shared" si="314"/>
        <v>0</v>
      </c>
      <c r="CY369">
        <f>((S369*BZ369)/100)</f>
        <v>1450.085</v>
      </c>
      <c r="CZ369">
        <f>((S369*CA369)/100)</f>
        <v>207.155</v>
      </c>
      <c r="DC369" t="s">
        <v>3</v>
      </c>
      <c r="DD369" t="s">
        <v>3</v>
      </c>
      <c r="DE369" t="s">
        <v>3</v>
      </c>
      <c r="DF369" t="s">
        <v>3</v>
      </c>
      <c r="DG369" t="s">
        <v>3</v>
      </c>
      <c r="DH369" t="s">
        <v>3</v>
      </c>
      <c r="DI369" t="s">
        <v>3</v>
      </c>
      <c r="DJ369" t="s">
        <v>3</v>
      </c>
      <c r="DK369" t="s">
        <v>3</v>
      </c>
      <c r="DL369" t="s">
        <v>3</v>
      </c>
      <c r="DM369" t="s">
        <v>3</v>
      </c>
      <c r="DN369">
        <v>0</v>
      </c>
      <c r="DO369">
        <v>0</v>
      </c>
      <c r="DP369">
        <v>1</v>
      </c>
      <c r="DQ369">
        <v>1</v>
      </c>
      <c r="DU369">
        <v>1003</v>
      </c>
      <c r="DV369" t="s">
        <v>20</v>
      </c>
      <c r="DW369" t="s">
        <v>20</v>
      </c>
      <c r="DX369">
        <v>100</v>
      </c>
      <c r="DZ369" t="s">
        <v>3</v>
      </c>
      <c r="EA369" t="s">
        <v>3</v>
      </c>
      <c r="EB369" t="s">
        <v>3</v>
      </c>
      <c r="EC369" t="s">
        <v>3</v>
      </c>
      <c r="EE369">
        <v>1441815344</v>
      </c>
      <c r="EF369">
        <v>1</v>
      </c>
      <c r="EG369" t="s">
        <v>23</v>
      </c>
      <c r="EH369">
        <v>0</v>
      </c>
      <c r="EI369" t="s">
        <v>3</v>
      </c>
      <c r="EJ369">
        <v>4</v>
      </c>
      <c r="EK369">
        <v>0</v>
      </c>
      <c r="EL369" t="s">
        <v>24</v>
      </c>
      <c r="EM369" t="s">
        <v>25</v>
      </c>
      <c r="EO369" t="s">
        <v>3</v>
      </c>
      <c r="EQ369">
        <v>1024</v>
      </c>
      <c r="ER369">
        <v>1673.25</v>
      </c>
      <c r="ES369">
        <v>56.45</v>
      </c>
      <c r="ET369">
        <v>10.95</v>
      </c>
      <c r="EU369">
        <v>0.03</v>
      </c>
      <c r="EV369">
        <v>1605.85</v>
      </c>
      <c r="EW369">
        <v>2.42</v>
      </c>
      <c r="EX369">
        <v>0</v>
      </c>
      <c r="EY369">
        <v>0</v>
      </c>
      <c r="FQ369">
        <v>0</v>
      </c>
      <c r="FR369">
        <f>ROUND(IF(BI369=3,GM369,0),2)</f>
        <v>0</v>
      </c>
      <c r="FS369">
        <v>0</v>
      </c>
      <c r="FX369">
        <v>70</v>
      </c>
      <c r="FY369">
        <v>10</v>
      </c>
      <c r="GA369" t="s">
        <v>3</v>
      </c>
      <c r="GD369">
        <v>0</v>
      </c>
      <c r="GF369">
        <v>1032671561</v>
      </c>
      <c r="GG369">
        <v>2</v>
      </c>
      <c r="GH369">
        <v>1</v>
      </c>
      <c r="GI369">
        <v>-2</v>
      </c>
      <c r="GJ369">
        <v>0</v>
      </c>
      <c r="GK369">
        <f>ROUND(R369*(R12)/100,2)</f>
        <v>0.04</v>
      </c>
      <c r="GL369">
        <f>ROUND(IF(AND(BH369=3,BI369=3,FS369&lt;&gt;0),P369,0),2)</f>
        <v>0</v>
      </c>
      <c r="GM369">
        <f>ROUND(O369+X369+Y369+GK369,2)+GX369</f>
        <v>3815.79</v>
      </c>
      <c r="GN369">
        <f>IF(OR(BI369=0,BI369=1),GM369-GX369,0)</f>
        <v>0</v>
      </c>
      <c r="GO369">
        <f>IF(BI369=2,GM369-GX369,0)</f>
        <v>0</v>
      </c>
      <c r="GP369">
        <f>IF(BI369=4,GM369-GX369,0)</f>
        <v>3815.79</v>
      </c>
      <c r="GR369">
        <v>0</v>
      </c>
      <c r="GS369">
        <v>3</v>
      </c>
      <c r="GT369">
        <v>0</v>
      </c>
      <c r="GU369" t="s">
        <v>3</v>
      </c>
      <c r="GV369">
        <f>ROUND((GT369),6)</f>
        <v>0</v>
      </c>
      <c r="GW369">
        <v>1</v>
      </c>
      <c r="GX369">
        <f>ROUND(HC369*I369,2)</f>
        <v>0</v>
      </c>
      <c r="HA369">
        <v>0</v>
      </c>
      <c r="HB369">
        <v>0</v>
      </c>
      <c r="HC369">
        <f>GV369*GW369</f>
        <v>0</v>
      </c>
      <c r="HE369" t="s">
        <v>3</v>
      </c>
      <c r="HF369" t="s">
        <v>3</v>
      </c>
      <c r="HM369" t="s">
        <v>3</v>
      </c>
      <c r="HN369" t="s">
        <v>3</v>
      </c>
      <c r="HO369" t="s">
        <v>3</v>
      </c>
      <c r="HP369" t="s">
        <v>3</v>
      </c>
      <c r="HQ369" t="s">
        <v>3</v>
      </c>
      <c r="IK369">
        <v>0</v>
      </c>
    </row>
    <row r="370" spans="1:245" x14ac:dyDescent="0.2">
      <c r="A370">
        <v>19</v>
      </c>
      <c r="B370">
        <v>1</v>
      </c>
      <c r="F370" t="s">
        <v>3</v>
      </c>
      <c r="G370" t="s">
        <v>43</v>
      </c>
      <c r="H370" t="s">
        <v>3</v>
      </c>
      <c r="AA370">
        <v>1</v>
      </c>
      <c r="IK370">
        <v>0</v>
      </c>
    </row>
    <row r="371" spans="1:245" x14ac:dyDescent="0.2">
      <c r="A371">
        <v>17</v>
      </c>
      <c r="B371">
        <v>1</v>
      </c>
      <c r="D371">
        <f>ROW(EtalonRes!A255)</f>
        <v>255</v>
      </c>
      <c r="E371" t="s">
        <v>3</v>
      </c>
      <c r="F371" t="s">
        <v>18</v>
      </c>
      <c r="G371" t="s">
        <v>19</v>
      </c>
      <c r="H371" t="s">
        <v>20</v>
      </c>
      <c r="I371">
        <f>ROUND((2+2+70+11)*0.25*0.1/100,9)</f>
        <v>2.1250000000000002E-2</v>
      </c>
      <c r="J371">
        <v>0</v>
      </c>
      <c r="K371">
        <f>ROUND((2+2+70+11)*0.25*0.1/100,9)</f>
        <v>2.1250000000000002E-2</v>
      </c>
      <c r="O371">
        <f t="shared" ref="O371:O376" si="315">ROUND(CP371,2)</f>
        <v>43.01</v>
      </c>
      <c r="P371">
        <f t="shared" ref="P371:P376" si="316">ROUND(CQ371*I371,2)</f>
        <v>0</v>
      </c>
      <c r="Q371">
        <f t="shared" ref="Q371:Q376" si="317">ROUND(CR371*I371,2)</f>
        <v>0</v>
      </c>
      <c r="R371">
        <f t="shared" ref="R371:R376" si="318">ROUND(CS371*I371,2)</f>
        <v>0</v>
      </c>
      <c r="S371">
        <f t="shared" ref="S371:S376" si="319">ROUND(CT371*I371,2)</f>
        <v>43.01</v>
      </c>
      <c r="T371">
        <f t="shared" ref="T371:T376" si="320">ROUND(CU371*I371,2)</f>
        <v>0</v>
      </c>
      <c r="U371">
        <f t="shared" ref="U371:U376" si="321">CV371*I371</f>
        <v>7.6500000000000012E-2</v>
      </c>
      <c r="V371">
        <f t="shared" ref="V371:V376" si="322">CW371*I371</f>
        <v>0</v>
      </c>
      <c r="W371">
        <f t="shared" ref="W371:W376" si="323">ROUND(CX371*I371,2)</f>
        <v>0</v>
      </c>
      <c r="X371">
        <f t="shared" ref="X371:Y376" si="324">ROUND(CY371,2)</f>
        <v>30.11</v>
      </c>
      <c r="Y371">
        <f t="shared" si="324"/>
        <v>4.3</v>
      </c>
      <c r="AA371">
        <v>-1</v>
      </c>
      <c r="AB371">
        <f t="shared" ref="AB371:AB376" si="325">ROUND((AC371+AD371+AF371),6)</f>
        <v>2023.8</v>
      </c>
      <c r="AC371">
        <f>ROUND(((ES371*4)),6)</f>
        <v>0</v>
      </c>
      <c r="AD371">
        <f>ROUND(((((ET371*4))-((EU371*4)))+AE371),6)</f>
        <v>0</v>
      </c>
      <c r="AE371">
        <f>ROUND(((EU371*4)),6)</f>
        <v>0</v>
      </c>
      <c r="AF371">
        <f>ROUND(((EV371*4)),6)</f>
        <v>2023.8</v>
      </c>
      <c r="AG371">
        <f t="shared" ref="AG371:AG376" si="326">ROUND((AP371),6)</f>
        <v>0</v>
      </c>
      <c r="AH371">
        <f>((EW371*4))</f>
        <v>3.6</v>
      </c>
      <c r="AI371">
        <f>((EX371*4))</f>
        <v>0</v>
      </c>
      <c r="AJ371">
        <f t="shared" ref="AJ371:AJ376" si="327">(AS371)</f>
        <v>0</v>
      </c>
      <c r="AK371">
        <v>505.95</v>
      </c>
      <c r="AL371">
        <v>0</v>
      </c>
      <c r="AM371">
        <v>0</v>
      </c>
      <c r="AN371">
        <v>0</v>
      </c>
      <c r="AO371">
        <v>505.95</v>
      </c>
      <c r="AP371">
        <v>0</v>
      </c>
      <c r="AQ371">
        <v>0.9</v>
      </c>
      <c r="AR371">
        <v>0</v>
      </c>
      <c r="AS371">
        <v>0</v>
      </c>
      <c r="AT371">
        <v>70</v>
      </c>
      <c r="AU371">
        <v>10</v>
      </c>
      <c r="AV371">
        <v>1</v>
      </c>
      <c r="AW371">
        <v>1</v>
      </c>
      <c r="AZ371">
        <v>1</v>
      </c>
      <c r="BA371">
        <v>1</v>
      </c>
      <c r="BB371">
        <v>1</v>
      </c>
      <c r="BC371">
        <v>1</v>
      </c>
      <c r="BD371" t="s">
        <v>3</v>
      </c>
      <c r="BE371" t="s">
        <v>3</v>
      </c>
      <c r="BF371" t="s">
        <v>3</v>
      </c>
      <c r="BG371" t="s">
        <v>3</v>
      </c>
      <c r="BH371">
        <v>0</v>
      </c>
      <c r="BI371">
        <v>4</v>
      </c>
      <c r="BJ371" t="s">
        <v>21</v>
      </c>
      <c r="BM371">
        <v>0</v>
      </c>
      <c r="BN371">
        <v>0</v>
      </c>
      <c r="BO371" t="s">
        <v>3</v>
      </c>
      <c r="BP371">
        <v>0</v>
      </c>
      <c r="BQ371">
        <v>1</v>
      </c>
      <c r="BR371">
        <v>0</v>
      </c>
      <c r="BS371">
        <v>1</v>
      </c>
      <c r="BT371">
        <v>1</v>
      </c>
      <c r="BU371">
        <v>1</v>
      </c>
      <c r="BV371">
        <v>1</v>
      </c>
      <c r="BW371">
        <v>1</v>
      </c>
      <c r="BX371">
        <v>1</v>
      </c>
      <c r="BY371" t="s">
        <v>3</v>
      </c>
      <c r="BZ371">
        <v>70</v>
      </c>
      <c r="CA371">
        <v>10</v>
      </c>
      <c r="CB371" t="s">
        <v>3</v>
      </c>
      <c r="CE371">
        <v>0</v>
      </c>
      <c r="CF371">
        <v>0</v>
      </c>
      <c r="CG371">
        <v>0</v>
      </c>
      <c r="CM371">
        <v>0</v>
      </c>
      <c r="CN371" t="s">
        <v>3</v>
      </c>
      <c r="CO371">
        <v>0</v>
      </c>
      <c r="CP371">
        <f t="shared" ref="CP371:CP376" si="328">(P371+Q371+S371)</f>
        <v>43.01</v>
      </c>
      <c r="CQ371">
        <f t="shared" ref="CQ371:CQ376" si="329">(AC371*BC371*AW371)</f>
        <v>0</v>
      </c>
      <c r="CR371">
        <f>(((((ET371*4))*BB371-((EU371*4))*BS371)+AE371*BS371)*AV371)</f>
        <v>0</v>
      </c>
      <c r="CS371">
        <f t="shared" ref="CS371:CS376" si="330">(AE371*BS371*AV371)</f>
        <v>0</v>
      </c>
      <c r="CT371">
        <f t="shared" ref="CT371:CT376" si="331">(AF371*BA371*AV371)</f>
        <v>2023.8</v>
      </c>
      <c r="CU371">
        <f t="shared" ref="CU371:CU376" si="332">AG371</f>
        <v>0</v>
      </c>
      <c r="CV371">
        <f t="shared" ref="CV371:CV376" si="333">(AH371*AV371)</f>
        <v>3.6</v>
      </c>
      <c r="CW371">
        <f t="shared" ref="CW371:CX376" si="334">AI371</f>
        <v>0</v>
      </c>
      <c r="CX371">
        <f t="shared" si="334"/>
        <v>0</v>
      </c>
      <c r="CY371">
        <f t="shared" ref="CY371:CY376" si="335">((S371*BZ371)/100)</f>
        <v>30.106999999999999</v>
      </c>
      <c r="CZ371">
        <f t="shared" ref="CZ371:CZ376" si="336">((S371*CA371)/100)</f>
        <v>4.3009999999999993</v>
      </c>
      <c r="DC371" t="s">
        <v>3</v>
      </c>
      <c r="DD371" t="s">
        <v>22</v>
      </c>
      <c r="DE371" t="s">
        <v>22</v>
      </c>
      <c r="DF371" t="s">
        <v>22</v>
      </c>
      <c r="DG371" t="s">
        <v>22</v>
      </c>
      <c r="DH371" t="s">
        <v>3</v>
      </c>
      <c r="DI371" t="s">
        <v>22</v>
      </c>
      <c r="DJ371" t="s">
        <v>22</v>
      </c>
      <c r="DK371" t="s">
        <v>3</v>
      </c>
      <c r="DL371" t="s">
        <v>3</v>
      </c>
      <c r="DM371" t="s">
        <v>3</v>
      </c>
      <c r="DN371">
        <v>0</v>
      </c>
      <c r="DO371">
        <v>0</v>
      </c>
      <c r="DP371">
        <v>1</v>
      </c>
      <c r="DQ371">
        <v>1</v>
      </c>
      <c r="DU371">
        <v>1003</v>
      </c>
      <c r="DV371" t="s">
        <v>20</v>
      </c>
      <c r="DW371" t="s">
        <v>20</v>
      </c>
      <c r="DX371">
        <v>100</v>
      </c>
      <c r="DZ371" t="s">
        <v>3</v>
      </c>
      <c r="EA371" t="s">
        <v>3</v>
      </c>
      <c r="EB371" t="s">
        <v>3</v>
      </c>
      <c r="EC371" t="s">
        <v>3</v>
      </c>
      <c r="EE371">
        <v>1441815344</v>
      </c>
      <c r="EF371">
        <v>1</v>
      </c>
      <c r="EG371" t="s">
        <v>23</v>
      </c>
      <c r="EH371">
        <v>0</v>
      </c>
      <c r="EI371" t="s">
        <v>3</v>
      </c>
      <c r="EJ371">
        <v>4</v>
      </c>
      <c r="EK371">
        <v>0</v>
      </c>
      <c r="EL371" t="s">
        <v>24</v>
      </c>
      <c r="EM371" t="s">
        <v>25</v>
      </c>
      <c r="EO371" t="s">
        <v>3</v>
      </c>
      <c r="EQ371">
        <v>1024</v>
      </c>
      <c r="ER371">
        <v>505.95</v>
      </c>
      <c r="ES371">
        <v>0</v>
      </c>
      <c r="ET371">
        <v>0</v>
      </c>
      <c r="EU371">
        <v>0</v>
      </c>
      <c r="EV371">
        <v>505.95</v>
      </c>
      <c r="EW371">
        <v>0.9</v>
      </c>
      <c r="EX371">
        <v>0</v>
      </c>
      <c r="EY371">
        <v>0</v>
      </c>
      <c r="FQ371">
        <v>0</v>
      </c>
      <c r="FR371">
        <f t="shared" ref="FR371:FR376" si="337">ROUND(IF(BI371=3,GM371,0),2)</f>
        <v>0</v>
      </c>
      <c r="FS371">
        <v>0</v>
      </c>
      <c r="FX371">
        <v>70</v>
      </c>
      <c r="FY371">
        <v>10</v>
      </c>
      <c r="GA371" t="s">
        <v>3</v>
      </c>
      <c r="GD371">
        <v>0</v>
      </c>
      <c r="GF371">
        <v>-341239612</v>
      </c>
      <c r="GG371">
        <v>2</v>
      </c>
      <c r="GH371">
        <v>1</v>
      </c>
      <c r="GI371">
        <v>-2</v>
      </c>
      <c r="GJ371">
        <v>0</v>
      </c>
      <c r="GK371">
        <f>ROUND(R371*(R12)/100,2)</f>
        <v>0</v>
      </c>
      <c r="GL371">
        <f t="shared" ref="GL371:GL376" si="338">ROUND(IF(AND(BH371=3,BI371=3,FS371&lt;&gt;0),P371,0),2)</f>
        <v>0</v>
      </c>
      <c r="GM371">
        <f t="shared" ref="GM371:GM376" si="339">ROUND(O371+X371+Y371+GK371,2)+GX371</f>
        <v>77.42</v>
      </c>
      <c r="GN371">
        <f t="shared" ref="GN371:GN376" si="340">IF(OR(BI371=0,BI371=1),GM371-GX371,0)</f>
        <v>0</v>
      </c>
      <c r="GO371">
        <f t="shared" ref="GO371:GO376" si="341">IF(BI371=2,GM371-GX371,0)</f>
        <v>0</v>
      </c>
      <c r="GP371">
        <f t="shared" ref="GP371:GP376" si="342">IF(BI371=4,GM371-GX371,0)</f>
        <v>77.42</v>
      </c>
      <c r="GR371">
        <v>0</v>
      </c>
      <c r="GS371">
        <v>3</v>
      </c>
      <c r="GT371">
        <v>0</v>
      </c>
      <c r="GU371" t="s">
        <v>3</v>
      </c>
      <c r="GV371">
        <f t="shared" ref="GV371:GV376" si="343">ROUND((GT371),6)</f>
        <v>0</v>
      </c>
      <c r="GW371">
        <v>1</v>
      </c>
      <c r="GX371">
        <f t="shared" ref="GX371:GX376" si="344">ROUND(HC371*I371,2)</f>
        <v>0</v>
      </c>
      <c r="HA371">
        <v>0</v>
      </c>
      <c r="HB371">
        <v>0</v>
      </c>
      <c r="HC371">
        <f t="shared" ref="HC371:HC376" si="345">GV371*GW371</f>
        <v>0</v>
      </c>
      <c r="HE371" t="s">
        <v>3</v>
      </c>
      <c r="HF371" t="s">
        <v>3</v>
      </c>
      <c r="HM371" t="s">
        <v>3</v>
      </c>
      <c r="HN371" t="s">
        <v>3</v>
      </c>
      <c r="HO371" t="s">
        <v>3</v>
      </c>
      <c r="HP371" t="s">
        <v>3</v>
      </c>
      <c r="HQ371" t="s">
        <v>3</v>
      </c>
      <c r="IK371">
        <v>0</v>
      </c>
    </row>
    <row r="372" spans="1:245" x14ac:dyDescent="0.2">
      <c r="A372">
        <v>17</v>
      </c>
      <c r="B372">
        <v>1</v>
      </c>
      <c r="D372">
        <f>ROW(EtalonRes!A256)</f>
        <v>256</v>
      </c>
      <c r="E372" t="s">
        <v>3</v>
      </c>
      <c r="F372" t="s">
        <v>26</v>
      </c>
      <c r="G372" t="s">
        <v>27</v>
      </c>
      <c r="H372" t="s">
        <v>20</v>
      </c>
      <c r="I372">
        <f>ROUND((2+2+70+11)*0.75*0.1/100,9)</f>
        <v>6.3750000000000001E-2</v>
      </c>
      <c r="J372">
        <v>0</v>
      </c>
      <c r="K372">
        <f>ROUND((2+2+70+11)*0.75*0.1/100,9)</f>
        <v>6.3750000000000001E-2</v>
      </c>
      <c r="O372">
        <f t="shared" si="315"/>
        <v>693.83</v>
      </c>
      <c r="P372">
        <f t="shared" si="316"/>
        <v>0</v>
      </c>
      <c r="Q372">
        <f t="shared" si="317"/>
        <v>0</v>
      </c>
      <c r="R372">
        <f t="shared" si="318"/>
        <v>0</v>
      </c>
      <c r="S372">
        <f t="shared" si="319"/>
        <v>693.83</v>
      </c>
      <c r="T372">
        <f t="shared" si="320"/>
        <v>0</v>
      </c>
      <c r="U372">
        <f t="shared" si="321"/>
        <v>1.2342</v>
      </c>
      <c r="V372">
        <f t="shared" si="322"/>
        <v>0</v>
      </c>
      <c r="W372">
        <f t="shared" si="323"/>
        <v>0</v>
      </c>
      <c r="X372">
        <f t="shared" si="324"/>
        <v>485.68</v>
      </c>
      <c r="Y372">
        <f t="shared" si="324"/>
        <v>69.38</v>
      </c>
      <c r="AA372">
        <v>-1</v>
      </c>
      <c r="AB372">
        <f t="shared" si="325"/>
        <v>10883.64</v>
      </c>
      <c r="AC372">
        <f>ROUND(((ES372*4)),6)</f>
        <v>0</v>
      </c>
      <c r="AD372">
        <f>ROUND(((((ET372*4))-((EU372*4)))+AE372),6)</f>
        <v>0</v>
      </c>
      <c r="AE372">
        <f>ROUND(((EU372*4)),6)</f>
        <v>0</v>
      </c>
      <c r="AF372">
        <f>ROUND(((EV372*4)),6)</f>
        <v>10883.64</v>
      </c>
      <c r="AG372">
        <f t="shared" si="326"/>
        <v>0</v>
      </c>
      <c r="AH372">
        <f>((EW372*4))</f>
        <v>19.36</v>
      </c>
      <c r="AI372">
        <f>((EX372*4))</f>
        <v>0</v>
      </c>
      <c r="AJ372">
        <f t="shared" si="327"/>
        <v>0</v>
      </c>
      <c r="AK372">
        <v>2720.91</v>
      </c>
      <c r="AL372">
        <v>0</v>
      </c>
      <c r="AM372">
        <v>0</v>
      </c>
      <c r="AN372">
        <v>0</v>
      </c>
      <c r="AO372">
        <v>2720.91</v>
      </c>
      <c r="AP372">
        <v>0</v>
      </c>
      <c r="AQ372">
        <v>4.84</v>
      </c>
      <c r="AR372">
        <v>0</v>
      </c>
      <c r="AS372">
        <v>0</v>
      </c>
      <c r="AT372">
        <v>70</v>
      </c>
      <c r="AU372">
        <v>10</v>
      </c>
      <c r="AV372">
        <v>1</v>
      </c>
      <c r="AW372">
        <v>1</v>
      </c>
      <c r="AZ372">
        <v>1</v>
      </c>
      <c r="BA372">
        <v>1</v>
      </c>
      <c r="BB372">
        <v>1</v>
      </c>
      <c r="BC372">
        <v>1</v>
      </c>
      <c r="BD372" t="s">
        <v>3</v>
      </c>
      <c r="BE372" t="s">
        <v>3</v>
      </c>
      <c r="BF372" t="s">
        <v>3</v>
      </c>
      <c r="BG372" t="s">
        <v>3</v>
      </c>
      <c r="BH372">
        <v>0</v>
      </c>
      <c r="BI372">
        <v>4</v>
      </c>
      <c r="BJ372" t="s">
        <v>28</v>
      </c>
      <c r="BM372">
        <v>0</v>
      </c>
      <c r="BN372">
        <v>0</v>
      </c>
      <c r="BO372" t="s">
        <v>3</v>
      </c>
      <c r="BP372">
        <v>0</v>
      </c>
      <c r="BQ372">
        <v>1</v>
      </c>
      <c r="BR372">
        <v>0</v>
      </c>
      <c r="BS372">
        <v>1</v>
      </c>
      <c r="BT372">
        <v>1</v>
      </c>
      <c r="BU372">
        <v>1</v>
      </c>
      <c r="BV372">
        <v>1</v>
      </c>
      <c r="BW372">
        <v>1</v>
      </c>
      <c r="BX372">
        <v>1</v>
      </c>
      <c r="BY372" t="s">
        <v>3</v>
      </c>
      <c r="BZ372">
        <v>70</v>
      </c>
      <c r="CA372">
        <v>10</v>
      </c>
      <c r="CB372" t="s">
        <v>3</v>
      </c>
      <c r="CE372">
        <v>0</v>
      </c>
      <c r="CF372">
        <v>0</v>
      </c>
      <c r="CG372">
        <v>0</v>
      </c>
      <c r="CM372">
        <v>0</v>
      </c>
      <c r="CN372" t="s">
        <v>3</v>
      </c>
      <c r="CO372">
        <v>0</v>
      </c>
      <c r="CP372">
        <f t="shared" si="328"/>
        <v>693.83</v>
      </c>
      <c r="CQ372">
        <f t="shared" si="329"/>
        <v>0</v>
      </c>
      <c r="CR372">
        <f>(((((ET372*4))*BB372-((EU372*4))*BS372)+AE372*BS372)*AV372)</f>
        <v>0</v>
      </c>
      <c r="CS372">
        <f t="shared" si="330"/>
        <v>0</v>
      </c>
      <c r="CT372">
        <f t="shared" si="331"/>
        <v>10883.64</v>
      </c>
      <c r="CU372">
        <f t="shared" si="332"/>
        <v>0</v>
      </c>
      <c r="CV372">
        <f t="shared" si="333"/>
        <v>19.36</v>
      </c>
      <c r="CW372">
        <f t="shared" si="334"/>
        <v>0</v>
      </c>
      <c r="CX372">
        <f t="shared" si="334"/>
        <v>0</v>
      </c>
      <c r="CY372">
        <f t="shared" si="335"/>
        <v>485.68100000000004</v>
      </c>
      <c r="CZ372">
        <f t="shared" si="336"/>
        <v>69.382999999999996</v>
      </c>
      <c r="DC372" t="s">
        <v>3</v>
      </c>
      <c r="DD372" t="s">
        <v>22</v>
      </c>
      <c r="DE372" t="s">
        <v>22</v>
      </c>
      <c r="DF372" t="s">
        <v>22</v>
      </c>
      <c r="DG372" t="s">
        <v>22</v>
      </c>
      <c r="DH372" t="s">
        <v>3</v>
      </c>
      <c r="DI372" t="s">
        <v>22</v>
      </c>
      <c r="DJ372" t="s">
        <v>22</v>
      </c>
      <c r="DK372" t="s">
        <v>3</v>
      </c>
      <c r="DL372" t="s">
        <v>3</v>
      </c>
      <c r="DM372" t="s">
        <v>3</v>
      </c>
      <c r="DN372">
        <v>0</v>
      </c>
      <c r="DO372">
        <v>0</v>
      </c>
      <c r="DP372">
        <v>1</v>
      </c>
      <c r="DQ372">
        <v>1</v>
      </c>
      <c r="DU372">
        <v>1003</v>
      </c>
      <c r="DV372" t="s">
        <v>20</v>
      </c>
      <c r="DW372" t="s">
        <v>20</v>
      </c>
      <c r="DX372">
        <v>100</v>
      </c>
      <c r="DZ372" t="s">
        <v>3</v>
      </c>
      <c r="EA372" t="s">
        <v>3</v>
      </c>
      <c r="EB372" t="s">
        <v>3</v>
      </c>
      <c r="EC372" t="s">
        <v>3</v>
      </c>
      <c r="EE372">
        <v>1441815344</v>
      </c>
      <c r="EF372">
        <v>1</v>
      </c>
      <c r="EG372" t="s">
        <v>23</v>
      </c>
      <c r="EH372">
        <v>0</v>
      </c>
      <c r="EI372" t="s">
        <v>3</v>
      </c>
      <c r="EJ372">
        <v>4</v>
      </c>
      <c r="EK372">
        <v>0</v>
      </c>
      <c r="EL372" t="s">
        <v>24</v>
      </c>
      <c r="EM372" t="s">
        <v>25</v>
      </c>
      <c r="EO372" t="s">
        <v>3</v>
      </c>
      <c r="EQ372">
        <v>1024</v>
      </c>
      <c r="ER372">
        <v>2720.91</v>
      </c>
      <c r="ES372">
        <v>0</v>
      </c>
      <c r="ET372">
        <v>0</v>
      </c>
      <c r="EU372">
        <v>0</v>
      </c>
      <c r="EV372">
        <v>2720.91</v>
      </c>
      <c r="EW372">
        <v>4.84</v>
      </c>
      <c r="EX372">
        <v>0</v>
      </c>
      <c r="EY372">
        <v>0</v>
      </c>
      <c r="FQ372">
        <v>0</v>
      </c>
      <c r="FR372">
        <f t="shared" si="337"/>
        <v>0</v>
      </c>
      <c r="FS372">
        <v>0</v>
      </c>
      <c r="FX372">
        <v>70</v>
      </c>
      <c r="FY372">
        <v>10</v>
      </c>
      <c r="GA372" t="s">
        <v>3</v>
      </c>
      <c r="GD372">
        <v>0</v>
      </c>
      <c r="GF372">
        <v>-1706933960</v>
      </c>
      <c r="GG372">
        <v>2</v>
      </c>
      <c r="GH372">
        <v>1</v>
      </c>
      <c r="GI372">
        <v>-2</v>
      </c>
      <c r="GJ372">
        <v>0</v>
      </c>
      <c r="GK372">
        <f>ROUND(R372*(R12)/100,2)</f>
        <v>0</v>
      </c>
      <c r="GL372">
        <f t="shared" si="338"/>
        <v>0</v>
      </c>
      <c r="GM372">
        <f t="shared" si="339"/>
        <v>1248.8900000000001</v>
      </c>
      <c r="GN372">
        <f t="shared" si="340"/>
        <v>0</v>
      </c>
      <c r="GO372">
        <f t="shared" si="341"/>
        <v>0</v>
      </c>
      <c r="GP372">
        <f t="shared" si="342"/>
        <v>1248.8900000000001</v>
      </c>
      <c r="GR372">
        <v>0</v>
      </c>
      <c r="GS372">
        <v>3</v>
      </c>
      <c r="GT372">
        <v>0</v>
      </c>
      <c r="GU372" t="s">
        <v>3</v>
      </c>
      <c r="GV372">
        <f t="shared" si="343"/>
        <v>0</v>
      </c>
      <c r="GW372">
        <v>1</v>
      </c>
      <c r="GX372">
        <f t="shared" si="344"/>
        <v>0</v>
      </c>
      <c r="HA372">
        <v>0</v>
      </c>
      <c r="HB372">
        <v>0</v>
      </c>
      <c r="HC372">
        <f t="shared" si="345"/>
        <v>0</v>
      </c>
      <c r="HE372" t="s">
        <v>3</v>
      </c>
      <c r="HF372" t="s">
        <v>3</v>
      </c>
      <c r="HM372" t="s">
        <v>3</v>
      </c>
      <c r="HN372" t="s">
        <v>3</v>
      </c>
      <c r="HO372" t="s">
        <v>3</v>
      </c>
      <c r="HP372" t="s">
        <v>3</v>
      </c>
      <c r="HQ372" t="s">
        <v>3</v>
      </c>
      <c r="IK372">
        <v>0</v>
      </c>
    </row>
    <row r="373" spans="1:245" x14ac:dyDescent="0.2">
      <c r="A373">
        <v>17</v>
      </c>
      <c r="B373">
        <v>1</v>
      </c>
      <c r="D373">
        <f>ROW(EtalonRes!A262)</f>
        <v>262</v>
      </c>
      <c r="E373" t="s">
        <v>3</v>
      </c>
      <c r="F373" t="s">
        <v>296</v>
      </c>
      <c r="G373" t="s">
        <v>297</v>
      </c>
      <c r="H373" t="s">
        <v>20</v>
      </c>
      <c r="I373">
        <f>ROUND((2+2+70)/100,9)</f>
        <v>0.74</v>
      </c>
      <c r="J373">
        <v>0</v>
      </c>
      <c r="K373">
        <f>ROUND((2+2+70)/100,9)</f>
        <v>0.74</v>
      </c>
      <c r="O373">
        <f t="shared" si="315"/>
        <v>5865.72</v>
      </c>
      <c r="P373">
        <f t="shared" si="316"/>
        <v>51.97</v>
      </c>
      <c r="Q373">
        <f t="shared" si="317"/>
        <v>37.520000000000003</v>
      </c>
      <c r="R373">
        <f t="shared" si="318"/>
        <v>0.6</v>
      </c>
      <c r="S373">
        <f t="shared" si="319"/>
        <v>5776.23</v>
      </c>
      <c r="T373">
        <f t="shared" si="320"/>
        <v>0</v>
      </c>
      <c r="U373">
        <f t="shared" si="321"/>
        <v>7.8736000000000006</v>
      </c>
      <c r="V373">
        <f t="shared" si="322"/>
        <v>0</v>
      </c>
      <c r="W373">
        <f t="shared" si="323"/>
        <v>0</v>
      </c>
      <c r="X373">
        <f t="shared" si="324"/>
        <v>4043.36</v>
      </c>
      <c r="Y373">
        <f t="shared" si="324"/>
        <v>577.62</v>
      </c>
      <c r="AA373">
        <v>-1</v>
      </c>
      <c r="AB373">
        <f t="shared" si="325"/>
        <v>7926.65</v>
      </c>
      <c r="AC373">
        <f>ROUND((ES373),6)</f>
        <v>70.23</v>
      </c>
      <c r="AD373">
        <f>ROUND((((ET373)-(EU373))+AE373),6)</f>
        <v>50.7</v>
      </c>
      <c r="AE373">
        <f t="shared" ref="AE373:AF376" si="346">ROUND((EU373),6)</f>
        <v>0.81</v>
      </c>
      <c r="AF373">
        <f t="shared" si="346"/>
        <v>7805.72</v>
      </c>
      <c r="AG373">
        <f t="shared" si="326"/>
        <v>0</v>
      </c>
      <c r="AH373">
        <f t="shared" ref="AH373:AI376" si="347">(EW373)</f>
        <v>10.64</v>
      </c>
      <c r="AI373">
        <f t="shared" si="347"/>
        <v>0</v>
      </c>
      <c r="AJ373">
        <f t="shared" si="327"/>
        <v>0</v>
      </c>
      <c r="AK373">
        <v>7926.65</v>
      </c>
      <c r="AL373">
        <v>70.23</v>
      </c>
      <c r="AM373">
        <v>50.7</v>
      </c>
      <c r="AN373">
        <v>0.81</v>
      </c>
      <c r="AO373">
        <v>7805.72</v>
      </c>
      <c r="AP373">
        <v>0</v>
      </c>
      <c r="AQ373">
        <v>10.64</v>
      </c>
      <c r="AR373">
        <v>0</v>
      </c>
      <c r="AS373">
        <v>0</v>
      </c>
      <c r="AT373">
        <v>70</v>
      </c>
      <c r="AU373">
        <v>10</v>
      </c>
      <c r="AV373">
        <v>1</v>
      </c>
      <c r="AW373">
        <v>1</v>
      </c>
      <c r="AZ373">
        <v>1</v>
      </c>
      <c r="BA373">
        <v>1</v>
      </c>
      <c r="BB373">
        <v>1</v>
      </c>
      <c r="BC373">
        <v>1</v>
      </c>
      <c r="BD373" t="s">
        <v>3</v>
      </c>
      <c r="BE373" t="s">
        <v>3</v>
      </c>
      <c r="BF373" t="s">
        <v>3</v>
      </c>
      <c r="BG373" t="s">
        <v>3</v>
      </c>
      <c r="BH373">
        <v>0</v>
      </c>
      <c r="BI373">
        <v>4</v>
      </c>
      <c r="BJ373" t="s">
        <v>298</v>
      </c>
      <c r="BM373">
        <v>0</v>
      </c>
      <c r="BN373">
        <v>0</v>
      </c>
      <c r="BO373" t="s">
        <v>3</v>
      </c>
      <c r="BP373">
        <v>0</v>
      </c>
      <c r="BQ373">
        <v>1</v>
      </c>
      <c r="BR373">
        <v>0</v>
      </c>
      <c r="BS373">
        <v>1</v>
      </c>
      <c r="BT373">
        <v>1</v>
      </c>
      <c r="BU373">
        <v>1</v>
      </c>
      <c r="BV373">
        <v>1</v>
      </c>
      <c r="BW373">
        <v>1</v>
      </c>
      <c r="BX373">
        <v>1</v>
      </c>
      <c r="BY373" t="s">
        <v>3</v>
      </c>
      <c r="BZ373">
        <v>70</v>
      </c>
      <c r="CA373">
        <v>10</v>
      </c>
      <c r="CB373" t="s">
        <v>3</v>
      </c>
      <c r="CE373">
        <v>0</v>
      </c>
      <c r="CF373">
        <v>0</v>
      </c>
      <c r="CG373">
        <v>0</v>
      </c>
      <c r="CM373">
        <v>0</v>
      </c>
      <c r="CN373" t="s">
        <v>3</v>
      </c>
      <c r="CO373">
        <v>0</v>
      </c>
      <c r="CP373">
        <f t="shared" si="328"/>
        <v>5865.7199999999993</v>
      </c>
      <c r="CQ373">
        <f t="shared" si="329"/>
        <v>70.23</v>
      </c>
      <c r="CR373">
        <f>((((ET373)*BB373-(EU373)*BS373)+AE373*BS373)*AV373)</f>
        <v>50.7</v>
      </c>
      <c r="CS373">
        <f t="shared" si="330"/>
        <v>0.81</v>
      </c>
      <c r="CT373">
        <f t="shared" si="331"/>
        <v>7805.72</v>
      </c>
      <c r="CU373">
        <f t="shared" si="332"/>
        <v>0</v>
      </c>
      <c r="CV373">
        <f t="shared" si="333"/>
        <v>10.64</v>
      </c>
      <c r="CW373">
        <f t="shared" si="334"/>
        <v>0</v>
      </c>
      <c r="CX373">
        <f t="shared" si="334"/>
        <v>0</v>
      </c>
      <c r="CY373">
        <f t="shared" si="335"/>
        <v>4043.3609999999999</v>
      </c>
      <c r="CZ373">
        <f t="shared" si="336"/>
        <v>577.62299999999993</v>
      </c>
      <c r="DC373" t="s">
        <v>3</v>
      </c>
      <c r="DD373" t="s">
        <v>3</v>
      </c>
      <c r="DE373" t="s">
        <v>3</v>
      </c>
      <c r="DF373" t="s">
        <v>3</v>
      </c>
      <c r="DG373" t="s">
        <v>3</v>
      </c>
      <c r="DH373" t="s">
        <v>3</v>
      </c>
      <c r="DI373" t="s">
        <v>3</v>
      </c>
      <c r="DJ373" t="s">
        <v>3</v>
      </c>
      <c r="DK373" t="s">
        <v>3</v>
      </c>
      <c r="DL373" t="s">
        <v>3</v>
      </c>
      <c r="DM373" t="s">
        <v>3</v>
      </c>
      <c r="DN373">
        <v>0</v>
      </c>
      <c r="DO373">
        <v>0</v>
      </c>
      <c r="DP373">
        <v>1</v>
      </c>
      <c r="DQ373">
        <v>1</v>
      </c>
      <c r="DU373">
        <v>1003</v>
      </c>
      <c r="DV373" t="s">
        <v>20</v>
      </c>
      <c r="DW373" t="s">
        <v>20</v>
      </c>
      <c r="DX373">
        <v>100</v>
      </c>
      <c r="DZ373" t="s">
        <v>3</v>
      </c>
      <c r="EA373" t="s">
        <v>3</v>
      </c>
      <c r="EB373" t="s">
        <v>3</v>
      </c>
      <c r="EC373" t="s">
        <v>3</v>
      </c>
      <c r="EE373">
        <v>1441815344</v>
      </c>
      <c r="EF373">
        <v>1</v>
      </c>
      <c r="EG373" t="s">
        <v>23</v>
      </c>
      <c r="EH373">
        <v>0</v>
      </c>
      <c r="EI373" t="s">
        <v>3</v>
      </c>
      <c r="EJ373">
        <v>4</v>
      </c>
      <c r="EK373">
        <v>0</v>
      </c>
      <c r="EL373" t="s">
        <v>24</v>
      </c>
      <c r="EM373" t="s">
        <v>25</v>
      </c>
      <c r="EO373" t="s">
        <v>3</v>
      </c>
      <c r="EQ373">
        <v>1024</v>
      </c>
      <c r="ER373">
        <v>7926.65</v>
      </c>
      <c r="ES373">
        <v>70.23</v>
      </c>
      <c r="ET373">
        <v>50.7</v>
      </c>
      <c r="EU373">
        <v>0.81</v>
      </c>
      <c r="EV373">
        <v>7805.72</v>
      </c>
      <c r="EW373">
        <v>10.64</v>
      </c>
      <c r="EX373">
        <v>0</v>
      </c>
      <c r="EY373">
        <v>0</v>
      </c>
      <c r="FQ373">
        <v>0</v>
      </c>
      <c r="FR373">
        <f t="shared" si="337"/>
        <v>0</v>
      </c>
      <c r="FS373">
        <v>0</v>
      </c>
      <c r="FX373">
        <v>70</v>
      </c>
      <c r="FY373">
        <v>10</v>
      </c>
      <c r="GA373" t="s">
        <v>3</v>
      </c>
      <c r="GD373">
        <v>0</v>
      </c>
      <c r="GF373">
        <v>1087258960</v>
      </c>
      <c r="GG373">
        <v>2</v>
      </c>
      <c r="GH373">
        <v>1</v>
      </c>
      <c r="GI373">
        <v>-2</v>
      </c>
      <c r="GJ373">
        <v>0</v>
      </c>
      <c r="GK373">
        <f>ROUND(R373*(R12)/100,2)</f>
        <v>0.65</v>
      </c>
      <c r="GL373">
        <f t="shared" si="338"/>
        <v>0</v>
      </c>
      <c r="GM373">
        <f t="shared" si="339"/>
        <v>10487.35</v>
      </c>
      <c r="GN373">
        <f t="shared" si="340"/>
        <v>0</v>
      </c>
      <c r="GO373">
        <f t="shared" si="341"/>
        <v>0</v>
      </c>
      <c r="GP373">
        <f t="shared" si="342"/>
        <v>10487.35</v>
      </c>
      <c r="GR373">
        <v>0</v>
      </c>
      <c r="GS373">
        <v>3</v>
      </c>
      <c r="GT373">
        <v>0</v>
      </c>
      <c r="GU373" t="s">
        <v>3</v>
      </c>
      <c r="GV373">
        <f t="shared" si="343"/>
        <v>0</v>
      </c>
      <c r="GW373">
        <v>1</v>
      </c>
      <c r="GX373">
        <f t="shared" si="344"/>
        <v>0</v>
      </c>
      <c r="HA373">
        <v>0</v>
      </c>
      <c r="HB373">
        <v>0</v>
      </c>
      <c r="HC373">
        <f t="shared" si="345"/>
        <v>0</v>
      </c>
      <c r="HE373" t="s">
        <v>3</v>
      </c>
      <c r="HF373" t="s">
        <v>3</v>
      </c>
      <c r="HM373" t="s">
        <v>3</v>
      </c>
      <c r="HN373" t="s">
        <v>3</v>
      </c>
      <c r="HO373" t="s">
        <v>3</v>
      </c>
      <c r="HP373" t="s">
        <v>3</v>
      </c>
      <c r="HQ373" t="s">
        <v>3</v>
      </c>
      <c r="IK373">
        <v>0</v>
      </c>
    </row>
    <row r="374" spans="1:245" x14ac:dyDescent="0.2">
      <c r="A374">
        <v>17</v>
      </c>
      <c r="B374">
        <v>1</v>
      </c>
      <c r="D374">
        <f>ROW(EtalonRes!A265)</f>
        <v>265</v>
      </c>
      <c r="E374" t="s">
        <v>3</v>
      </c>
      <c r="F374" t="s">
        <v>299</v>
      </c>
      <c r="G374" t="s">
        <v>300</v>
      </c>
      <c r="H374" t="s">
        <v>20</v>
      </c>
      <c r="I374">
        <f>ROUND((2+2+70)/100,9)</f>
        <v>0.74</v>
      </c>
      <c r="J374">
        <v>0</v>
      </c>
      <c r="K374">
        <f>ROUND((2+2+70)/100,9)</f>
        <v>0.74</v>
      </c>
      <c r="O374">
        <f t="shared" si="315"/>
        <v>1238.2</v>
      </c>
      <c r="P374">
        <f t="shared" si="316"/>
        <v>41.77</v>
      </c>
      <c r="Q374">
        <f t="shared" si="317"/>
        <v>8.1</v>
      </c>
      <c r="R374">
        <f t="shared" si="318"/>
        <v>0.02</v>
      </c>
      <c r="S374">
        <f t="shared" si="319"/>
        <v>1188.33</v>
      </c>
      <c r="T374">
        <f t="shared" si="320"/>
        <v>0</v>
      </c>
      <c r="U374">
        <f t="shared" si="321"/>
        <v>1.7907999999999999</v>
      </c>
      <c r="V374">
        <f t="shared" si="322"/>
        <v>0</v>
      </c>
      <c r="W374">
        <f t="shared" si="323"/>
        <v>0</v>
      </c>
      <c r="X374">
        <f t="shared" si="324"/>
        <v>831.83</v>
      </c>
      <c r="Y374">
        <f t="shared" si="324"/>
        <v>118.83</v>
      </c>
      <c r="AA374">
        <v>-1</v>
      </c>
      <c r="AB374">
        <f t="shared" si="325"/>
        <v>1673.25</v>
      </c>
      <c r="AC374">
        <f>ROUND((ES374),6)</f>
        <v>56.45</v>
      </c>
      <c r="AD374">
        <f>ROUND((((ET374)-(EU374))+AE374),6)</f>
        <v>10.95</v>
      </c>
      <c r="AE374">
        <f t="shared" si="346"/>
        <v>0.03</v>
      </c>
      <c r="AF374">
        <f t="shared" si="346"/>
        <v>1605.85</v>
      </c>
      <c r="AG374">
        <f t="shared" si="326"/>
        <v>0</v>
      </c>
      <c r="AH374">
        <f t="shared" si="347"/>
        <v>2.42</v>
      </c>
      <c r="AI374">
        <f t="shared" si="347"/>
        <v>0</v>
      </c>
      <c r="AJ374">
        <f t="shared" si="327"/>
        <v>0</v>
      </c>
      <c r="AK374">
        <v>1673.25</v>
      </c>
      <c r="AL374">
        <v>56.45</v>
      </c>
      <c r="AM374">
        <v>10.95</v>
      </c>
      <c r="AN374">
        <v>0.03</v>
      </c>
      <c r="AO374">
        <v>1605.85</v>
      </c>
      <c r="AP374">
        <v>0</v>
      </c>
      <c r="AQ374">
        <v>2.42</v>
      </c>
      <c r="AR374">
        <v>0</v>
      </c>
      <c r="AS374">
        <v>0</v>
      </c>
      <c r="AT374">
        <v>70</v>
      </c>
      <c r="AU374">
        <v>10</v>
      </c>
      <c r="AV374">
        <v>1</v>
      </c>
      <c r="AW374">
        <v>1</v>
      </c>
      <c r="AZ374">
        <v>1</v>
      </c>
      <c r="BA374">
        <v>1</v>
      </c>
      <c r="BB374">
        <v>1</v>
      </c>
      <c r="BC374">
        <v>1</v>
      </c>
      <c r="BD374" t="s">
        <v>3</v>
      </c>
      <c r="BE374" t="s">
        <v>3</v>
      </c>
      <c r="BF374" t="s">
        <v>3</v>
      </c>
      <c r="BG374" t="s">
        <v>3</v>
      </c>
      <c r="BH374">
        <v>0</v>
      </c>
      <c r="BI374">
        <v>4</v>
      </c>
      <c r="BJ374" t="s">
        <v>301</v>
      </c>
      <c r="BM374">
        <v>0</v>
      </c>
      <c r="BN374">
        <v>0</v>
      </c>
      <c r="BO374" t="s">
        <v>3</v>
      </c>
      <c r="BP374">
        <v>0</v>
      </c>
      <c r="BQ374">
        <v>1</v>
      </c>
      <c r="BR374">
        <v>0</v>
      </c>
      <c r="BS374">
        <v>1</v>
      </c>
      <c r="BT374">
        <v>1</v>
      </c>
      <c r="BU374">
        <v>1</v>
      </c>
      <c r="BV374">
        <v>1</v>
      </c>
      <c r="BW374">
        <v>1</v>
      </c>
      <c r="BX374">
        <v>1</v>
      </c>
      <c r="BY374" t="s">
        <v>3</v>
      </c>
      <c r="BZ374">
        <v>70</v>
      </c>
      <c r="CA374">
        <v>10</v>
      </c>
      <c r="CB374" t="s">
        <v>3</v>
      </c>
      <c r="CE374">
        <v>0</v>
      </c>
      <c r="CF374">
        <v>0</v>
      </c>
      <c r="CG374">
        <v>0</v>
      </c>
      <c r="CM374">
        <v>0</v>
      </c>
      <c r="CN374" t="s">
        <v>3</v>
      </c>
      <c r="CO374">
        <v>0</v>
      </c>
      <c r="CP374">
        <f t="shared" si="328"/>
        <v>1238.1999999999998</v>
      </c>
      <c r="CQ374">
        <f t="shared" si="329"/>
        <v>56.45</v>
      </c>
      <c r="CR374">
        <f>((((ET374)*BB374-(EU374)*BS374)+AE374*BS374)*AV374)</f>
        <v>10.95</v>
      </c>
      <c r="CS374">
        <f t="shared" si="330"/>
        <v>0.03</v>
      </c>
      <c r="CT374">
        <f t="shared" si="331"/>
        <v>1605.85</v>
      </c>
      <c r="CU374">
        <f t="shared" si="332"/>
        <v>0</v>
      </c>
      <c r="CV374">
        <f t="shared" si="333"/>
        <v>2.42</v>
      </c>
      <c r="CW374">
        <f t="shared" si="334"/>
        <v>0</v>
      </c>
      <c r="CX374">
        <f t="shared" si="334"/>
        <v>0</v>
      </c>
      <c r="CY374">
        <f t="shared" si="335"/>
        <v>831.8309999999999</v>
      </c>
      <c r="CZ374">
        <f t="shared" si="336"/>
        <v>118.833</v>
      </c>
      <c r="DC374" t="s">
        <v>3</v>
      </c>
      <c r="DD374" t="s">
        <v>3</v>
      </c>
      <c r="DE374" t="s">
        <v>3</v>
      </c>
      <c r="DF374" t="s">
        <v>3</v>
      </c>
      <c r="DG374" t="s">
        <v>3</v>
      </c>
      <c r="DH374" t="s">
        <v>3</v>
      </c>
      <c r="DI374" t="s">
        <v>3</v>
      </c>
      <c r="DJ374" t="s">
        <v>3</v>
      </c>
      <c r="DK374" t="s">
        <v>3</v>
      </c>
      <c r="DL374" t="s">
        <v>3</v>
      </c>
      <c r="DM374" t="s">
        <v>3</v>
      </c>
      <c r="DN374">
        <v>0</v>
      </c>
      <c r="DO374">
        <v>0</v>
      </c>
      <c r="DP374">
        <v>1</v>
      </c>
      <c r="DQ374">
        <v>1</v>
      </c>
      <c r="DU374">
        <v>1003</v>
      </c>
      <c r="DV374" t="s">
        <v>20</v>
      </c>
      <c r="DW374" t="s">
        <v>20</v>
      </c>
      <c r="DX374">
        <v>100</v>
      </c>
      <c r="DZ374" t="s">
        <v>3</v>
      </c>
      <c r="EA374" t="s">
        <v>3</v>
      </c>
      <c r="EB374" t="s">
        <v>3</v>
      </c>
      <c r="EC374" t="s">
        <v>3</v>
      </c>
      <c r="EE374">
        <v>1441815344</v>
      </c>
      <c r="EF374">
        <v>1</v>
      </c>
      <c r="EG374" t="s">
        <v>23</v>
      </c>
      <c r="EH374">
        <v>0</v>
      </c>
      <c r="EI374" t="s">
        <v>3</v>
      </c>
      <c r="EJ374">
        <v>4</v>
      </c>
      <c r="EK374">
        <v>0</v>
      </c>
      <c r="EL374" t="s">
        <v>24</v>
      </c>
      <c r="EM374" t="s">
        <v>25</v>
      </c>
      <c r="EO374" t="s">
        <v>3</v>
      </c>
      <c r="EQ374">
        <v>1024</v>
      </c>
      <c r="ER374">
        <v>1673.25</v>
      </c>
      <c r="ES374">
        <v>56.45</v>
      </c>
      <c r="ET374">
        <v>10.95</v>
      </c>
      <c r="EU374">
        <v>0.03</v>
      </c>
      <c r="EV374">
        <v>1605.85</v>
      </c>
      <c r="EW374">
        <v>2.42</v>
      </c>
      <c r="EX374">
        <v>0</v>
      </c>
      <c r="EY374">
        <v>0</v>
      </c>
      <c r="FQ374">
        <v>0</v>
      </c>
      <c r="FR374">
        <f t="shared" si="337"/>
        <v>0</v>
      </c>
      <c r="FS374">
        <v>0</v>
      </c>
      <c r="FX374">
        <v>70</v>
      </c>
      <c r="FY374">
        <v>10</v>
      </c>
      <c r="GA374" t="s">
        <v>3</v>
      </c>
      <c r="GD374">
        <v>0</v>
      </c>
      <c r="GF374">
        <v>1032671561</v>
      </c>
      <c r="GG374">
        <v>2</v>
      </c>
      <c r="GH374">
        <v>1</v>
      </c>
      <c r="GI374">
        <v>-2</v>
      </c>
      <c r="GJ374">
        <v>0</v>
      </c>
      <c r="GK374">
        <f>ROUND(R374*(R12)/100,2)</f>
        <v>0.02</v>
      </c>
      <c r="GL374">
        <f t="shared" si="338"/>
        <v>0</v>
      </c>
      <c r="GM374">
        <f t="shared" si="339"/>
        <v>2188.88</v>
      </c>
      <c r="GN374">
        <f t="shared" si="340"/>
        <v>0</v>
      </c>
      <c r="GO374">
        <f t="shared" si="341"/>
        <v>0</v>
      </c>
      <c r="GP374">
        <f t="shared" si="342"/>
        <v>2188.88</v>
      </c>
      <c r="GR374">
        <v>0</v>
      </c>
      <c r="GS374">
        <v>3</v>
      </c>
      <c r="GT374">
        <v>0</v>
      </c>
      <c r="GU374" t="s">
        <v>3</v>
      </c>
      <c r="GV374">
        <f t="shared" si="343"/>
        <v>0</v>
      </c>
      <c r="GW374">
        <v>1</v>
      </c>
      <c r="GX374">
        <f t="shared" si="344"/>
        <v>0</v>
      </c>
      <c r="HA374">
        <v>0</v>
      </c>
      <c r="HB374">
        <v>0</v>
      </c>
      <c r="HC374">
        <f t="shared" si="345"/>
        <v>0</v>
      </c>
      <c r="HE374" t="s">
        <v>3</v>
      </c>
      <c r="HF374" t="s">
        <v>3</v>
      </c>
      <c r="HM374" t="s">
        <v>3</v>
      </c>
      <c r="HN374" t="s">
        <v>3</v>
      </c>
      <c r="HO374" t="s">
        <v>3</v>
      </c>
      <c r="HP374" t="s">
        <v>3</v>
      </c>
      <c r="HQ374" t="s">
        <v>3</v>
      </c>
      <c r="IK374">
        <v>0</v>
      </c>
    </row>
    <row r="375" spans="1:245" x14ac:dyDescent="0.2">
      <c r="A375">
        <v>17</v>
      </c>
      <c r="B375">
        <v>1</v>
      </c>
      <c r="D375">
        <f>ROW(EtalonRes!A271)</f>
        <v>271</v>
      </c>
      <c r="E375" t="s">
        <v>3</v>
      </c>
      <c r="F375" t="s">
        <v>228</v>
      </c>
      <c r="G375" t="s">
        <v>229</v>
      </c>
      <c r="H375" t="s">
        <v>20</v>
      </c>
      <c r="I375">
        <f>ROUND(11/100,9)</f>
        <v>0.11</v>
      </c>
      <c r="J375">
        <v>0</v>
      </c>
      <c r="K375">
        <f>ROUND(11/100,9)</f>
        <v>0.11</v>
      </c>
      <c r="O375">
        <f t="shared" si="315"/>
        <v>888.82</v>
      </c>
      <c r="P375">
        <f t="shared" si="316"/>
        <v>24.61</v>
      </c>
      <c r="Q375">
        <f t="shared" si="317"/>
        <v>5.58</v>
      </c>
      <c r="R375">
        <f t="shared" si="318"/>
        <v>0.09</v>
      </c>
      <c r="S375">
        <f t="shared" si="319"/>
        <v>858.63</v>
      </c>
      <c r="T375">
        <f t="shared" si="320"/>
        <v>0</v>
      </c>
      <c r="U375">
        <f t="shared" si="321"/>
        <v>1.1704000000000001</v>
      </c>
      <c r="V375">
        <f t="shared" si="322"/>
        <v>0</v>
      </c>
      <c r="W375">
        <f t="shared" si="323"/>
        <v>0</v>
      </c>
      <c r="X375">
        <f t="shared" si="324"/>
        <v>601.04</v>
      </c>
      <c r="Y375">
        <f t="shared" si="324"/>
        <v>85.86</v>
      </c>
      <c r="AA375">
        <v>-1</v>
      </c>
      <c r="AB375">
        <f t="shared" si="325"/>
        <v>8080.11</v>
      </c>
      <c r="AC375">
        <f>ROUND((ES375),6)</f>
        <v>223.69</v>
      </c>
      <c r="AD375">
        <f>ROUND((((ET375)-(EU375))+AE375),6)</f>
        <v>50.7</v>
      </c>
      <c r="AE375">
        <f t="shared" si="346"/>
        <v>0.81</v>
      </c>
      <c r="AF375">
        <f t="shared" si="346"/>
        <v>7805.72</v>
      </c>
      <c r="AG375">
        <f t="shared" si="326"/>
        <v>0</v>
      </c>
      <c r="AH375">
        <f t="shared" si="347"/>
        <v>10.64</v>
      </c>
      <c r="AI375">
        <f t="shared" si="347"/>
        <v>0</v>
      </c>
      <c r="AJ375">
        <f t="shared" si="327"/>
        <v>0</v>
      </c>
      <c r="AK375">
        <v>8080.11</v>
      </c>
      <c r="AL375">
        <v>223.69</v>
      </c>
      <c r="AM375">
        <v>50.7</v>
      </c>
      <c r="AN375">
        <v>0.81</v>
      </c>
      <c r="AO375">
        <v>7805.72</v>
      </c>
      <c r="AP375">
        <v>0</v>
      </c>
      <c r="AQ375">
        <v>10.64</v>
      </c>
      <c r="AR375">
        <v>0</v>
      </c>
      <c r="AS375">
        <v>0</v>
      </c>
      <c r="AT375">
        <v>70</v>
      </c>
      <c r="AU375">
        <v>10</v>
      </c>
      <c r="AV375">
        <v>1</v>
      </c>
      <c r="AW375">
        <v>1</v>
      </c>
      <c r="AZ375">
        <v>1</v>
      </c>
      <c r="BA375">
        <v>1</v>
      </c>
      <c r="BB375">
        <v>1</v>
      </c>
      <c r="BC375">
        <v>1</v>
      </c>
      <c r="BD375" t="s">
        <v>3</v>
      </c>
      <c r="BE375" t="s">
        <v>3</v>
      </c>
      <c r="BF375" t="s">
        <v>3</v>
      </c>
      <c r="BG375" t="s">
        <v>3</v>
      </c>
      <c r="BH375">
        <v>0</v>
      </c>
      <c r="BI375">
        <v>4</v>
      </c>
      <c r="BJ375" t="s">
        <v>230</v>
      </c>
      <c r="BM375">
        <v>0</v>
      </c>
      <c r="BN375">
        <v>0</v>
      </c>
      <c r="BO375" t="s">
        <v>3</v>
      </c>
      <c r="BP375">
        <v>0</v>
      </c>
      <c r="BQ375">
        <v>1</v>
      </c>
      <c r="BR375">
        <v>0</v>
      </c>
      <c r="BS375">
        <v>1</v>
      </c>
      <c r="BT375">
        <v>1</v>
      </c>
      <c r="BU375">
        <v>1</v>
      </c>
      <c r="BV375">
        <v>1</v>
      </c>
      <c r="BW375">
        <v>1</v>
      </c>
      <c r="BX375">
        <v>1</v>
      </c>
      <c r="BY375" t="s">
        <v>3</v>
      </c>
      <c r="BZ375">
        <v>70</v>
      </c>
      <c r="CA375">
        <v>10</v>
      </c>
      <c r="CB375" t="s">
        <v>3</v>
      </c>
      <c r="CE375">
        <v>0</v>
      </c>
      <c r="CF375">
        <v>0</v>
      </c>
      <c r="CG375">
        <v>0</v>
      </c>
      <c r="CM375">
        <v>0</v>
      </c>
      <c r="CN375" t="s">
        <v>3</v>
      </c>
      <c r="CO375">
        <v>0</v>
      </c>
      <c r="CP375">
        <f t="shared" si="328"/>
        <v>888.81999999999994</v>
      </c>
      <c r="CQ375">
        <f t="shared" si="329"/>
        <v>223.69</v>
      </c>
      <c r="CR375">
        <f>((((ET375)*BB375-(EU375)*BS375)+AE375*BS375)*AV375)</f>
        <v>50.7</v>
      </c>
      <c r="CS375">
        <f t="shared" si="330"/>
        <v>0.81</v>
      </c>
      <c r="CT375">
        <f t="shared" si="331"/>
        <v>7805.72</v>
      </c>
      <c r="CU375">
        <f t="shared" si="332"/>
        <v>0</v>
      </c>
      <c r="CV375">
        <f t="shared" si="333"/>
        <v>10.64</v>
      </c>
      <c r="CW375">
        <f t="shared" si="334"/>
        <v>0</v>
      </c>
      <c r="CX375">
        <f t="shared" si="334"/>
        <v>0</v>
      </c>
      <c r="CY375">
        <f t="shared" si="335"/>
        <v>601.04099999999994</v>
      </c>
      <c r="CZ375">
        <f t="shared" si="336"/>
        <v>85.863</v>
      </c>
      <c r="DC375" t="s">
        <v>3</v>
      </c>
      <c r="DD375" t="s">
        <v>3</v>
      </c>
      <c r="DE375" t="s">
        <v>3</v>
      </c>
      <c r="DF375" t="s">
        <v>3</v>
      </c>
      <c r="DG375" t="s">
        <v>3</v>
      </c>
      <c r="DH375" t="s">
        <v>3</v>
      </c>
      <c r="DI375" t="s">
        <v>3</v>
      </c>
      <c r="DJ375" t="s">
        <v>3</v>
      </c>
      <c r="DK375" t="s">
        <v>3</v>
      </c>
      <c r="DL375" t="s">
        <v>3</v>
      </c>
      <c r="DM375" t="s">
        <v>3</v>
      </c>
      <c r="DN375">
        <v>0</v>
      </c>
      <c r="DO375">
        <v>0</v>
      </c>
      <c r="DP375">
        <v>1</v>
      </c>
      <c r="DQ375">
        <v>1</v>
      </c>
      <c r="DU375">
        <v>1003</v>
      </c>
      <c r="DV375" t="s">
        <v>20</v>
      </c>
      <c r="DW375" t="s">
        <v>20</v>
      </c>
      <c r="DX375">
        <v>100</v>
      </c>
      <c r="DZ375" t="s">
        <v>3</v>
      </c>
      <c r="EA375" t="s">
        <v>3</v>
      </c>
      <c r="EB375" t="s">
        <v>3</v>
      </c>
      <c r="EC375" t="s">
        <v>3</v>
      </c>
      <c r="EE375">
        <v>1441815344</v>
      </c>
      <c r="EF375">
        <v>1</v>
      </c>
      <c r="EG375" t="s">
        <v>23</v>
      </c>
      <c r="EH375">
        <v>0</v>
      </c>
      <c r="EI375" t="s">
        <v>3</v>
      </c>
      <c r="EJ375">
        <v>4</v>
      </c>
      <c r="EK375">
        <v>0</v>
      </c>
      <c r="EL375" t="s">
        <v>24</v>
      </c>
      <c r="EM375" t="s">
        <v>25</v>
      </c>
      <c r="EO375" t="s">
        <v>3</v>
      </c>
      <c r="EQ375">
        <v>1024</v>
      </c>
      <c r="ER375">
        <v>8080.11</v>
      </c>
      <c r="ES375">
        <v>223.69</v>
      </c>
      <c r="ET375">
        <v>50.7</v>
      </c>
      <c r="EU375">
        <v>0.81</v>
      </c>
      <c r="EV375">
        <v>7805.72</v>
      </c>
      <c r="EW375">
        <v>10.64</v>
      </c>
      <c r="EX375">
        <v>0</v>
      </c>
      <c r="EY375">
        <v>0</v>
      </c>
      <c r="FQ375">
        <v>0</v>
      </c>
      <c r="FR375">
        <f t="shared" si="337"/>
        <v>0</v>
      </c>
      <c r="FS375">
        <v>0</v>
      </c>
      <c r="FX375">
        <v>70</v>
      </c>
      <c r="FY375">
        <v>10</v>
      </c>
      <c r="GA375" t="s">
        <v>3</v>
      </c>
      <c r="GD375">
        <v>0</v>
      </c>
      <c r="GF375">
        <v>279930794</v>
      </c>
      <c r="GG375">
        <v>2</v>
      </c>
      <c r="GH375">
        <v>1</v>
      </c>
      <c r="GI375">
        <v>-2</v>
      </c>
      <c r="GJ375">
        <v>0</v>
      </c>
      <c r="GK375">
        <f>ROUND(R375*(R12)/100,2)</f>
        <v>0.1</v>
      </c>
      <c r="GL375">
        <f t="shared" si="338"/>
        <v>0</v>
      </c>
      <c r="GM375">
        <f t="shared" si="339"/>
        <v>1575.82</v>
      </c>
      <c r="GN375">
        <f t="shared" si="340"/>
        <v>0</v>
      </c>
      <c r="GO375">
        <f t="shared" si="341"/>
        <v>0</v>
      </c>
      <c r="GP375">
        <f t="shared" si="342"/>
        <v>1575.82</v>
      </c>
      <c r="GR375">
        <v>0</v>
      </c>
      <c r="GS375">
        <v>3</v>
      </c>
      <c r="GT375">
        <v>0</v>
      </c>
      <c r="GU375" t="s">
        <v>3</v>
      </c>
      <c r="GV375">
        <f t="shared" si="343"/>
        <v>0</v>
      </c>
      <c r="GW375">
        <v>1</v>
      </c>
      <c r="GX375">
        <f t="shared" si="344"/>
        <v>0</v>
      </c>
      <c r="HA375">
        <v>0</v>
      </c>
      <c r="HB375">
        <v>0</v>
      </c>
      <c r="HC375">
        <f t="shared" si="345"/>
        <v>0</v>
      </c>
      <c r="HE375" t="s">
        <v>3</v>
      </c>
      <c r="HF375" t="s">
        <v>3</v>
      </c>
      <c r="HM375" t="s">
        <v>3</v>
      </c>
      <c r="HN375" t="s">
        <v>3</v>
      </c>
      <c r="HO375" t="s">
        <v>3</v>
      </c>
      <c r="HP375" t="s">
        <v>3</v>
      </c>
      <c r="HQ375" t="s">
        <v>3</v>
      </c>
      <c r="IK375">
        <v>0</v>
      </c>
    </row>
    <row r="376" spans="1:245" x14ac:dyDescent="0.2">
      <c r="A376">
        <v>17</v>
      </c>
      <c r="B376">
        <v>1</v>
      </c>
      <c r="D376">
        <f>ROW(EtalonRes!A274)</f>
        <v>274</v>
      </c>
      <c r="E376" t="s">
        <v>3</v>
      </c>
      <c r="F376" t="s">
        <v>231</v>
      </c>
      <c r="G376" t="s">
        <v>232</v>
      </c>
      <c r="H376" t="s">
        <v>20</v>
      </c>
      <c r="I376">
        <f>ROUND(11/100,9)</f>
        <v>0.11</v>
      </c>
      <c r="J376">
        <v>0</v>
      </c>
      <c r="K376">
        <f>ROUND(11/100,9)</f>
        <v>0.11</v>
      </c>
      <c r="O376">
        <f t="shared" si="315"/>
        <v>276</v>
      </c>
      <c r="P376">
        <f t="shared" si="316"/>
        <v>22.31</v>
      </c>
      <c r="Q376">
        <f t="shared" si="317"/>
        <v>2.59</v>
      </c>
      <c r="R376">
        <f t="shared" si="318"/>
        <v>0.01</v>
      </c>
      <c r="S376">
        <f t="shared" si="319"/>
        <v>251.1</v>
      </c>
      <c r="T376">
        <f t="shared" si="320"/>
        <v>0</v>
      </c>
      <c r="U376">
        <f t="shared" si="321"/>
        <v>0.37840000000000001</v>
      </c>
      <c r="V376">
        <f t="shared" si="322"/>
        <v>0</v>
      </c>
      <c r="W376">
        <f t="shared" si="323"/>
        <v>0</v>
      </c>
      <c r="X376">
        <f t="shared" si="324"/>
        <v>175.77</v>
      </c>
      <c r="Y376">
        <f t="shared" si="324"/>
        <v>25.11</v>
      </c>
      <c r="AA376">
        <v>-1</v>
      </c>
      <c r="AB376">
        <f t="shared" si="325"/>
        <v>2509.0100000000002</v>
      </c>
      <c r="AC376">
        <f>ROUND((ES376),6)</f>
        <v>202.8</v>
      </c>
      <c r="AD376">
        <f>ROUND((((ET376)-(EU376))+AE376),6)</f>
        <v>23.51</v>
      </c>
      <c r="AE376">
        <f t="shared" si="346"/>
        <v>7.0000000000000007E-2</v>
      </c>
      <c r="AF376">
        <f t="shared" si="346"/>
        <v>2282.6999999999998</v>
      </c>
      <c r="AG376">
        <f t="shared" si="326"/>
        <v>0</v>
      </c>
      <c r="AH376">
        <f t="shared" si="347"/>
        <v>3.44</v>
      </c>
      <c r="AI376">
        <f t="shared" si="347"/>
        <v>0</v>
      </c>
      <c r="AJ376">
        <f t="shared" si="327"/>
        <v>0</v>
      </c>
      <c r="AK376">
        <v>2509.0100000000002</v>
      </c>
      <c r="AL376">
        <v>202.8</v>
      </c>
      <c r="AM376">
        <v>23.51</v>
      </c>
      <c r="AN376">
        <v>7.0000000000000007E-2</v>
      </c>
      <c r="AO376">
        <v>2282.6999999999998</v>
      </c>
      <c r="AP376">
        <v>0</v>
      </c>
      <c r="AQ376">
        <v>3.44</v>
      </c>
      <c r="AR376">
        <v>0</v>
      </c>
      <c r="AS376">
        <v>0</v>
      </c>
      <c r="AT376">
        <v>70</v>
      </c>
      <c r="AU376">
        <v>10</v>
      </c>
      <c r="AV376">
        <v>1</v>
      </c>
      <c r="AW376">
        <v>1</v>
      </c>
      <c r="AZ376">
        <v>1</v>
      </c>
      <c r="BA376">
        <v>1</v>
      </c>
      <c r="BB376">
        <v>1</v>
      </c>
      <c r="BC376">
        <v>1</v>
      </c>
      <c r="BD376" t="s">
        <v>3</v>
      </c>
      <c r="BE376" t="s">
        <v>3</v>
      </c>
      <c r="BF376" t="s">
        <v>3</v>
      </c>
      <c r="BG376" t="s">
        <v>3</v>
      </c>
      <c r="BH376">
        <v>0</v>
      </c>
      <c r="BI376">
        <v>4</v>
      </c>
      <c r="BJ376" t="s">
        <v>233</v>
      </c>
      <c r="BM376">
        <v>0</v>
      </c>
      <c r="BN376">
        <v>0</v>
      </c>
      <c r="BO376" t="s">
        <v>3</v>
      </c>
      <c r="BP376">
        <v>0</v>
      </c>
      <c r="BQ376">
        <v>1</v>
      </c>
      <c r="BR376">
        <v>0</v>
      </c>
      <c r="BS376">
        <v>1</v>
      </c>
      <c r="BT376">
        <v>1</v>
      </c>
      <c r="BU376">
        <v>1</v>
      </c>
      <c r="BV376">
        <v>1</v>
      </c>
      <c r="BW376">
        <v>1</v>
      </c>
      <c r="BX376">
        <v>1</v>
      </c>
      <c r="BY376" t="s">
        <v>3</v>
      </c>
      <c r="BZ376">
        <v>70</v>
      </c>
      <c r="CA376">
        <v>10</v>
      </c>
      <c r="CB376" t="s">
        <v>3</v>
      </c>
      <c r="CE376">
        <v>0</v>
      </c>
      <c r="CF376">
        <v>0</v>
      </c>
      <c r="CG376">
        <v>0</v>
      </c>
      <c r="CM376">
        <v>0</v>
      </c>
      <c r="CN376" t="s">
        <v>3</v>
      </c>
      <c r="CO376">
        <v>0</v>
      </c>
      <c r="CP376">
        <f t="shared" si="328"/>
        <v>276</v>
      </c>
      <c r="CQ376">
        <f t="shared" si="329"/>
        <v>202.8</v>
      </c>
      <c r="CR376">
        <f>((((ET376)*BB376-(EU376)*BS376)+AE376*BS376)*AV376)</f>
        <v>23.51</v>
      </c>
      <c r="CS376">
        <f t="shared" si="330"/>
        <v>7.0000000000000007E-2</v>
      </c>
      <c r="CT376">
        <f t="shared" si="331"/>
        <v>2282.6999999999998</v>
      </c>
      <c r="CU376">
        <f t="shared" si="332"/>
        <v>0</v>
      </c>
      <c r="CV376">
        <f t="shared" si="333"/>
        <v>3.44</v>
      </c>
      <c r="CW376">
        <f t="shared" si="334"/>
        <v>0</v>
      </c>
      <c r="CX376">
        <f t="shared" si="334"/>
        <v>0</v>
      </c>
      <c r="CY376">
        <f t="shared" si="335"/>
        <v>175.77</v>
      </c>
      <c r="CZ376">
        <f t="shared" si="336"/>
        <v>25.11</v>
      </c>
      <c r="DC376" t="s">
        <v>3</v>
      </c>
      <c r="DD376" t="s">
        <v>3</v>
      </c>
      <c r="DE376" t="s">
        <v>3</v>
      </c>
      <c r="DF376" t="s">
        <v>3</v>
      </c>
      <c r="DG376" t="s">
        <v>3</v>
      </c>
      <c r="DH376" t="s">
        <v>3</v>
      </c>
      <c r="DI376" t="s">
        <v>3</v>
      </c>
      <c r="DJ376" t="s">
        <v>3</v>
      </c>
      <c r="DK376" t="s">
        <v>3</v>
      </c>
      <c r="DL376" t="s">
        <v>3</v>
      </c>
      <c r="DM376" t="s">
        <v>3</v>
      </c>
      <c r="DN376">
        <v>0</v>
      </c>
      <c r="DO376">
        <v>0</v>
      </c>
      <c r="DP376">
        <v>1</v>
      </c>
      <c r="DQ376">
        <v>1</v>
      </c>
      <c r="DU376">
        <v>1003</v>
      </c>
      <c r="DV376" t="s">
        <v>20</v>
      </c>
      <c r="DW376" t="s">
        <v>20</v>
      </c>
      <c r="DX376">
        <v>100</v>
      </c>
      <c r="DZ376" t="s">
        <v>3</v>
      </c>
      <c r="EA376" t="s">
        <v>3</v>
      </c>
      <c r="EB376" t="s">
        <v>3</v>
      </c>
      <c r="EC376" t="s">
        <v>3</v>
      </c>
      <c r="EE376">
        <v>1441815344</v>
      </c>
      <c r="EF376">
        <v>1</v>
      </c>
      <c r="EG376" t="s">
        <v>23</v>
      </c>
      <c r="EH376">
        <v>0</v>
      </c>
      <c r="EI376" t="s">
        <v>3</v>
      </c>
      <c r="EJ376">
        <v>4</v>
      </c>
      <c r="EK376">
        <v>0</v>
      </c>
      <c r="EL376" t="s">
        <v>24</v>
      </c>
      <c r="EM376" t="s">
        <v>25</v>
      </c>
      <c r="EO376" t="s">
        <v>3</v>
      </c>
      <c r="EQ376">
        <v>1024</v>
      </c>
      <c r="ER376">
        <v>2509.0100000000002</v>
      </c>
      <c r="ES376">
        <v>202.8</v>
      </c>
      <c r="ET376">
        <v>23.51</v>
      </c>
      <c r="EU376">
        <v>7.0000000000000007E-2</v>
      </c>
      <c r="EV376">
        <v>2282.6999999999998</v>
      </c>
      <c r="EW376">
        <v>3.44</v>
      </c>
      <c r="EX376">
        <v>0</v>
      </c>
      <c r="EY376">
        <v>0</v>
      </c>
      <c r="FQ376">
        <v>0</v>
      </c>
      <c r="FR376">
        <f t="shared" si="337"/>
        <v>0</v>
      </c>
      <c r="FS376">
        <v>0</v>
      </c>
      <c r="FX376">
        <v>70</v>
      </c>
      <c r="FY376">
        <v>10</v>
      </c>
      <c r="GA376" t="s">
        <v>3</v>
      </c>
      <c r="GD376">
        <v>0</v>
      </c>
      <c r="GF376">
        <v>-1929809553</v>
      </c>
      <c r="GG376">
        <v>2</v>
      </c>
      <c r="GH376">
        <v>1</v>
      </c>
      <c r="GI376">
        <v>-2</v>
      </c>
      <c r="GJ376">
        <v>0</v>
      </c>
      <c r="GK376">
        <f>ROUND(R376*(R12)/100,2)</f>
        <v>0.01</v>
      </c>
      <c r="GL376">
        <f t="shared" si="338"/>
        <v>0</v>
      </c>
      <c r="GM376">
        <f t="shared" si="339"/>
        <v>476.89</v>
      </c>
      <c r="GN376">
        <f t="shared" si="340"/>
        <v>0</v>
      </c>
      <c r="GO376">
        <f t="shared" si="341"/>
        <v>0</v>
      </c>
      <c r="GP376">
        <f t="shared" si="342"/>
        <v>476.89</v>
      </c>
      <c r="GR376">
        <v>0</v>
      </c>
      <c r="GS376">
        <v>3</v>
      </c>
      <c r="GT376">
        <v>0</v>
      </c>
      <c r="GU376" t="s">
        <v>3</v>
      </c>
      <c r="GV376">
        <f t="shared" si="343"/>
        <v>0</v>
      </c>
      <c r="GW376">
        <v>1</v>
      </c>
      <c r="GX376">
        <f t="shared" si="344"/>
        <v>0</v>
      </c>
      <c r="HA376">
        <v>0</v>
      </c>
      <c r="HB376">
        <v>0</v>
      </c>
      <c r="HC376">
        <f t="shared" si="345"/>
        <v>0</v>
      </c>
      <c r="HE376" t="s">
        <v>3</v>
      </c>
      <c r="HF376" t="s">
        <v>3</v>
      </c>
      <c r="HM376" t="s">
        <v>3</v>
      </c>
      <c r="HN376" t="s">
        <v>3</v>
      </c>
      <c r="HO376" t="s">
        <v>3</v>
      </c>
      <c r="HP376" t="s">
        <v>3</v>
      </c>
      <c r="HQ376" t="s">
        <v>3</v>
      </c>
      <c r="IK376">
        <v>0</v>
      </c>
    </row>
    <row r="378" spans="1:245" x14ac:dyDescent="0.2">
      <c r="A378" s="2">
        <v>51</v>
      </c>
      <c r="B378" s="2">
        <f>B327</f>
        <v>1</v>
      </c>
      <c r="C378" s="2">
        <f>A327</f>
        <v>5</v>
      </c>
      <c r="D378" s="2">
        <f>ROW(A327)</f>
        <v>327</v>
      </c>
      <c r="E378" s="2"/>
      <c r="F378" s="2" t="str">
        <f>IF(F327&lt;&gt;"",F327,"")</f>
        <v>Новый подраздел</v>
      </c>
      <c r="G378" s="2" t="str">
        <f>IF(G327&lt;&gt;"",G327,"")</f>
        <v>Отопление</v>
      </c>
      <c r="H378" s="2">
        <v>0</v>
      </c>
      <c r="I378" s="2"/>
      <c r="J378" s="2"/>
      <c r="K378" s="2"/>
      <c r="L378" s="2"/>
      <c r="M378" s="2"/>
      <c r="N378" s="2"/>
      <c r="O378" s="2">
        <f t="shared" ref="O378:T378" si="348">ROUND(AB378,2)</f>
        <v>47306.99</v>
      </c>
      <c r="P378" s="2">
        <f t="shared" si="348"/>
        <v>74.23</v>
      </c>
      <c r="Q378" s="2">
        <f t="shared" si="348"/>
        <v>521.20000000000005</v>
      </c>
      <c r="R378" s="2">
        <f t="shared" si="348"/>
        <v>194.79</v>
      </c>
      <c r="S378" s="2">
        <f t="shared" si="348"/>
        <v>46711.56</v>
      </c>
      <c r="T378" s="2">
        <f t="shared" si="348"/>
        <v>0</v>
      </c>
      <c r="U378" s="2">
        <f>AH378</f>
        <v>80.541839999999993</v>
      </c>
      <c r="V378" s="2">
        <f>AI378</f>
        <v>0</v>
      </c>
      <c r="W378" s="2">
        <f>ROUND(AJ378,2)</f>
        <v>0</v>
      </c>
      <c r="X378" s="2">
        <f>ROUND(AK378,2)</f>
        <v>32698.1</v>
      </c>
      <c r="Y378" s="2">
        <f>ROUND(AL378,2)</f>
        <v>4671.17</v>
      </c>
      <c r="Z378" s="2"/>
      <c r="AA378" s="2"/>
      <c r="AB378" s="2">
        <f>ROUND(SUMIF(AA331:AA376,"=1472224561",O331:O376),2)</f>
        <v>47306.99</v>
      </c>
      <c r="AC378" s="2">
        <f>ROUND(SUMIF(AA331:AA376,"=1472224561",P331:P376),2)</f>
        <v>74.23</v>
      </c>
      <c r="AD378" s="2">
        <f>ROUND(SUMIF(AA331:AA376,"=1472224561",Q331:Q376),2)</f>
        <v>521.20000000000005</v>
      </c>
      <c r="AE378" s="2">
        <f>ROUND(SUMIF(AA331:AA376,"=1472224561",R331:R376),2)</f>
        <v>194.79</v>
      </c>
      <c r="AF378" s="2">
        <f>ROUND(SUMIF(AA331:AA376,"=1472224561",S331:S376),2)</f>
        <v>46711.56</v>
      </c>
      <c r="AG378" s="2">
        <f>ROUND(SUMIF(AA331:AA376,"=1472224561",T331:T376),2)</f>
        <v>0</v>
      </c>
      <c r="AH378" s="2">
        <f>SUMIF(AA331:AA376,"=1472224561",U331:U376)</f>
        <v>80.541839999999993</v>
      </c>
      <c r="AI378" s="2">
        <f>SUMIF(AA331:AA376,"=1472224561",V331:V376)</f>
        <v>0</v>
      </c>
      <c r="AJ378" s="2">
        <f>ROUND(SUMIF(AA331:AA376,"=1472224561",W331:W376),2)</f>
        <v>0</v>
      </c>
      <c r="AK378" s="2">
        <f>ROUND(SUMIF(AA331:AA376,"=1472224561",X331:X376),2)</f>
        <v>32698.1</v>
      </c>
      <c r="AL378" s="2">
        <f>ROUND(SUMIF(AA331:AA376,"=1472224561",Y331:Y376),2)</f>
        <v>4671.17</v>
      </c>
      <c r="AM378" s="2"/>
      <c r="AN378" s="2"/>
      <c r="AO378" s="2">
        <f t="shared" ref="AO378:BD378" si="349">ROUND(BX378,2)</f>
        <v>0</v>
      </c>
      <c r="AP378" s="2">
        <f t="shared" si="349"/>
        <v>0</v>
      </c>
      <c r="AQ378" s="2">
        <f t="shared" si="349"/>
        <v>0</v>
      </c>
      <c r="AR378" s="2">
        <f t="shared" si="349"/>
        <v>84886.64</v>
      </c>
      <c r="AS378" s="2">
        <f t="shared" si="349"/>
        <v>0</v>
      </c>
      <c r="AT378" s="2">
        <f t="shared" si="349"/>
        <v>0</v>
      </c>
      <c r="AU378" s="2">
        <f t="shared" si="349"/>
        <v>84886.64</v>
      </c>
      <c r="AV378" s="2">
        <f t="shared" si="349"/>
        <v>74.23</v>
      </c>
      <c r="AW378" s="2">
        <f t="shared" si="349"/>
        <v>74.23</v>
      </c>
      <c r="AX378" s="2">
        <f t="shared" si="349"/>
        <v>0</v>
      </c>
      <c r="AY378" s="2">
        <f t="shared" si="349"/>
        <v>74.23</v>
      </c>
      <c r="AZ378" s="2">
        <f t="shared" si="349"/>
        <v>0</v>
      </c>
      <c r="BA378" s="2">
        <f t="shared" si="349"/>
        <v>0</v>
      </c>
      <c r="BB378" s="2">
        <f t="shared" si="349"/>
        <v>0</v>
      </c>
      <c r="BC378" s="2">
        <f t="shared" si="349"/>
        <v>0</v>
      </c>
      <c r="BD378" s="2">
        <f t="shared" si="349"/>
        <v>0</v>
      </c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>
        <f>ROUND(SUMIF(AA331:AA376,"=1472224561",FQ331:FQ376),2)</f>
        <v>0</v>
      </c>
      <c r="BY378" s="2">
        <f>ROUND(SUMIF(AA331:AA376,"=1472224561",FR331:FR376),2)</f>
        <v>0</v>
      </c>
      <c r="BZ378" s="2">
        <f>ROUND(SUMIF(AA331:AA376,"=1472224561",GL331:GL376),2)</f>
        <v>0</v>
      </c>
      <c r="CA378" s="2">
        <f>ROUND(SUMIF(AA331:AA376,"=1472224561",GM331:GM376),2)</f>
        <v>84886.64</v>
      </c>
      <c r="CB378" s="2">
        <f>ROUND(SUMIF(AA331:AA376,"=1472224561",GN331:GN376),2)</f>
        <v>0</v>
      </c>
      <c r="CC378" s="2">
        <f>ROUND(SUMIF(AA331:AA376,"=1472224561",GO331:GO376),2)</f>
        <v>0</v>
      </c>
      <c r="CD378" s="2">
        <f>ROUND(SUMIF(AA331:AA376,"=1472224561",GP331:GP376),2)</f>
        <v>84886.64</v>
      </c>
      <c r="CE378" s="2">
        <f>AC378-BX378</f>
        <v>74.23</v>
      </c>
      <c r="CF378" s="2">
        <f>AC378-BY378</f>
        <v>74.23</v>
      </c>
      <c r="CG378" s="2">
        <f>BX378-BZ378</f>
        <v>0</v>
      </c>
      <c r="CH378" s="2">
        <f>AC378-BX378-BY378+BZ378</f>
        <v>74.23</v>
      </c>
      <c r="CI378" s="2">
        <f>BY378-BZ378</f>
        <v>0</v>
      </c>
      <c r="CJ378" s="2">
        <f>ROUND(SUMIF(AA331:AA376,"=1472224561",GX331:GX376),2)</f>
        <v>0</v>
      </c>
      <c r="CK378" s="2">
        <f>ROUND(SUMIF(AA331:AA376,"=1472224561",GY331:GY376),2)</f>
        <v>0</v>
      </c>
      <c r="CL378" s="2">
        <f>ROUND(SUMIF(AA331:AA376,"=1472224561",GZ331:GZ376),2)</f>
        <v>0</v>
      </c>
      <c r="CM378" s="2">
        <f>ROUND(SUMIF(AA331:AA376,"=1472224561",HD331:HD376),2)</f>
        <v>0</v>
      </c>
      <c r="CN378" s="2"/>
      <c r="CO378" s="2"/>
      <c r="CP378" s="2"/>
      <c r="CQ378" s="2"/>
      <c r="CR378" s="2"/>
      <c r="CS378" s="2"/>
      <c r="CT378" s="2"/>
      <c r="CU378" s="2"/>
      <c r="CV378" s="2"/>
      <c r="CW378" s="2"/>
      <c r="CX378" s="2"/>
      <c r="CY378" s="2"/>
      <c r="CZ378" s="2"/>
      <c r="DA378" s="2"/>
      <c r="DB378" s="2"/>
      <c r="DC378" s="2"/>
      <c r="DD378" s="2"/>
      <c r="DE378" s="2"/>
      <c r="DF378" s="2"/>
      <c r="DG378" s="3"/>
      <c r="DH378" s="3"/>
      <c r="DI378" s="3"/>
      <c r="DJ378" s="3"/>
      <c r="DK378" s="3"/>
      <c r="DL378" s="3"/>
      <c r="DM378" s="3"/>
      <c r="DN378" s="3"/>
      <c r="DO378" s="3"/>
      <c r="DP378" s="3"/>
      <c r="DQ378" s="3"/>
      <c r="DR378" s="3"/>
      <c r="DS378" s="3"/>
      <c r="DT378" s="3"/>
      <c r="DU378" s="3"/>
      <c r="DV378" s="3"/>
      <c r="DW378" s="3"/>
      <c r="DX378" s="3"/>
      <c r="DY378" s="3"/>
      <c r="DZ378" s="3"/>
      <c r="EA378" s="3"/>
      <c r="EB378" s="3"/>
      <c r="EC378" s="3"/>
      <c r="ED378" s="3"/>
      <c r="EE378" s="3"/>
      <c r="EF378" s="3"/>
      <c r="EG378" s="3"/>
      <c r="EH378" s="3"/>
      <c r="EI378" s="3"/>
      <c r="EJ378" s="3"/>
      <c r="EK378" s="3"/>
      <c r="EL378" s="3"/>
      <c r="EM378" s="3"/>
      <c r="EN378" s="3"/>
      <c r="EO378" s="3"/>
      <c r="EP378" s="3"/>
      <c r="EQ378" s="3"/>
      <c r="ER378" s="3"/>
      <c r="ES378" s="3"/>
      <c r="ET378" s="3"/>
      <c r="EU378" s="3"/>
      <c r="EV378" s="3"/>
      <c r="EW378" s="3"/>
      <c r="EX378" s="3"/>
      <c r="EY378" s="3"/>
      <c r="EZ378" s="3"/>
      <c r="FA378" s="3"/>
      <c r="FB378" s="3"/>
      <c r="FC378" s="3"/>
      <c r="FD378" s="3"/>
      <c r="FE378" s="3"/>
      <c r="FF378" s="3"/>
      <c r="FG378" s="3"/>
      <c r="FH378" s="3"/>
      <c r="FI378" s="3"/>
      <c r="FJ378" s="3"/>
      <c r="FK378" s="3"/>
      <c r="FL378" s="3"/>
      <c r="FM378" s="3"/>
      <c r="FN378" s="3"/>
      <c r="FO378" s="3"/>
      <c r="FP378" s="3"/>
      <c r="FQ378" s="3"/>
      <c r="FR378" s="3"/>
      <c r="FS378" s="3"/>
      <c r="FT378" s="3"/>
      <c r="FU378" s="3"/>
      <c r="FV378" s="3"/>
      <c r="FW378" s="3"/>
      <c r="FX378" s="3"/>
      <c r="FY378" s="3"/>
      <c r="FZ378" s="3"/>
      <c r="GA378" s="3"/>
      <c r="GB378" s="3"/>
      <c r="GC378" s="3"/>
      <c r="GD378" s="3"/>
      <c r="GE378" s="3"/>
      <c r="GF378" s="3"/>
      <c r="GG378" s="3"/>
      <c r="GH378" s="3"/>
      <c r="GI378" s="3"/>
      <c r="GJ378" s="3"/>
      <c r="GK378" s="3"/>
      <c r="GL378" s="3"/>
      <c r="GM378" s="3"/>
      <c r="GN378" s="3"/>
      <c r="GO378" s="3"/>
      <c r="GP378" s="3"/>
      <c r="GQ378" s="3"/>
      <c r="GR378" s="3"/>
      <c r="GS378" s="3"/>
      <c r="GT378" s="3"/>
      <c r="GU378" s="3"/>
      <c r="GV378" s="3"/>
      <c r="GW378" s="3"/>
      <c r="GX378" s="3">
        <v>0</v>
      </c>
    </row>
    <row r="380" spans="1:245" x14ac:dyDescent="0.2">
      <c r="A380" s="4">
        <v>50</v>
      </c>
      <c r="B380" s="4">
        <v>0</v>
      </c>
      <c r="C380" s="4">
        <v>0</v>
      </c>
      <c r="D380" s="4">
        <v>1</v>
      </c>
      <c r="E380" s="4">
        <v>201</v>
      </c>
      <c r="F380" s="4">
        <f>ROUND(Source!O378,O380)</f>
        <v>47306.99</v>
      </c>
      <c r="G380" s="4" t="s">
        <v>46</v>
      </c>
      <c r="H380" s="4" t="s">
        <v>47</v>
      </c>
      <c r="I380" s="4"/>
      <c r="J380" s="4"/>
      <c r="K380" s="4">
        <v>201</v>
      </c>
      <c r="L380" s="4">
        <v>1</v>
      </c>
      <c r="M380" s="4">
        <v>3</v>
      </c>
      <c r="N380" s="4" t="s">
        <v>3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0</v>
      </c>
      <c r="X380" s="4">
        <v>1</v>
      </c>
      <c r="Y380" s="4">
        <v>0</v>
      </c>
      <c r="Z380" s="4"/>
      <c r="AA380" s="4"/>
      <c r="AB380" s="4"/>
    </row>
    <row r="381" spans="1:245" x14ac:dyDescent="0.2">
      <c r="A381" s="4">
        <v>50</v>
      </c>
      <c r="B381" s="4">
        <v>0</v>
      </c>
      <c r="C381" s="4">
        <v>0</v>
      </c>
      <c r="D381" s="4">
        <v>1</v>
      </c>
      <c r="E381" s="4">
        <v>202</v>
      </c>
      <c r="F381" s="4">
        <f>ROUND(Source!P378,O381)</f>
        <v>74.23</v>
      </c>
      <c r="G381" s="4" t="s">
        <v>48</v>
      </c>
      <c r="H381" s="4" t="s">
        <v>49</v>
      </c>
      <c r="I381" s="4"/>
      <c r="J381" s="4"/>
      <c r="K381" s="4">
        <v>202</v>
      </c>
      <c r="L381" s="4">
        <v>2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0</v>
      </c>
      <c r="X381" s="4">
        <v>1</v>
      </c>
      <c r="Y381" s="4">
        <v>0</v>
      </c>
      <c r="Z381" s="4"/>
      <c r="AA381" s="4"/>
      <c r="AB381" s="4"/>
    </row>
    <row r="382" spans="1:245" x14ac:dyDescent="0.2">
      <c r="A382" s="4">
        <v>50</v>
      </c>
      <c r="B382" s="4">
        <v>0</v>
      </c>
      <c r="C382" s="4">
        <v>0</v>
      </c>
      <c r="D382" s="4">
        <v>1</v>
      </c>
      <c r="E382" s="4">
        <v>222</v>
      </c>
      <c r="F382" s="4">
        <f>ROUND(Source!AO378,O382)</f>
        <v>0</v>
      </c>
      <c r="G382" s="4" t="s">
        <v>50</v>
      </c>
      <c r="H382" s="4" t="s">
        <v>51</v>
      </c>
      <c r="I382" s="4"/>
      <c r="J382" s="4"/>
      <c r="K382" s="4">
        <v>222</v>
      </c>
      <c r="L382" s="4">
        <v>3</v>
      </c>
      <c r="M382" s="4">
        <v>3</v>
      </c>
      <c r="N382" s="4" t="s">
        <v>3</v>
      </c>
      <c r="O382" s="4">
        <v>2</v>
      </c>
      <c r="P382" s="4"/>
      <c r="Q382" s="4"/>
      <c r="R382" s="4"/>
      <c r="S382" s="4"/>
      <c r="T382" s="4"/>
      <c r="U382" s="4"/>
      <c r="V382" s="4"/>
      <c r="W382" s="4">
        <v>0</v>
      </c>
      <c r="X382" s="4">
        <v>1</v>
      </c>
      <c r="Y382" s="4">
        <v>0</v>
      </c>
      <c r="Z382" s="4"/>
      <c r="AA382" s="4"/>
      <c r="AB382" s="4"/>
    </row>
    <row r="383" spans="1:245" x14ac:dyDescent="0.2">
      <c r="A383" s="4">
        <v>50</v>
      </c>
      <c r="B383" s="4">
        <v>0</v>
      </c>
      <c r="C383" s="4">
        <v>0</v>
      </c>
      <c r="D383" s="4">
        <v>1</v>
      </c>
      <c r="E383" s="4">
        <v>225</v>
      </c>
      <c r="F383" s="4">
        <f>ROUND(Source!AV378,O383)</f>
        <v>74.23</v>
      </c>
      <c r="G383" s="4" t="s">
        <v>52</v>
      </c>
      <c r="H383" s="4" t="s">
        <v>53</v>
      </c>
      <c r="I383" s="4"/>
      <c r="J383" s="4"/>
      <c r="K383" s="4">
        <v>225</v>
      </c>
      <c r="L383" s="4">
        <v>4</v>
      </c>
      <c r="M383" s="4">
        <v>3</v>
      </c>
      <c r="N383" s="4" t="s">
        <v>3</v>
      </c>
      <c r="O383" s="4">
        <v>2</v>
      </c>
      <c r="P383" s="4"/>
      <c r="Q383" s="4"/>
      <c r="R383" s="4"/>
      <c r="S383" s="4"/>
      <c r="T383" s="4"/>
      <c r="U383" s="4"/>
      <c r="V383" s="4"/>
      <c r="W383" s="4">
        <v>0</v>
      </c>
      <c r="X383" s="4">
        <v>1</v>
      </c>
      <c r="Y383" s="4">
        <v>0</v>
      </c>
      <c r="Z383" s="4"/>
      <c r="AA383" s="4"/>
      <c r="AB383" s="4"/>
    </row>
    <row r="384" spans="1:245" x14ac:dyDescent="0.2">
      <c r="A384" s="4">
        <v>50</v>
      </c>
      <c r="B384" s="4">
        <v>0</v>
      </c>
      <c r="C384" s="4">
        <v>0</v>
      </c>
      <c r="D384" s="4">
        <v>1</v>
      </c>
      <c r="E384" s="4">
        <v>226</v>
      </c>
      <c r="F384" s="4">
        <f>ROUND(Source!AW378,O384)</f>
        <v>74.23</v>
      </c>
      <c r="G384" s="4" t="s">
        <v>54</v>
      </c>
      <c r="H384" s="4" t="s">
        <v>55</v>
      </c>
      <c r="I384" s="4"/>
      <c r="J384" s="4"/>
      <c r="K384" s="4">
        <v>226</v>
      </c>
      <c r="L384" s="4">
        <v>5</v>
      </c>
      <c r="M384" s="4">
        <v>3</v>
      </c>
      <c r="N384" s="4" t="s">
        <v>3</v>
      </c>
      <c r="O384" s="4">
        <v>2</v>
      </c>
      <c r="P384" s="4"/>
      <c r="Q384" s="4"/>
      <c r="R384" s="4"/>
      <c r="S384" s="4"/>
      <c r="T384" s="4"/>
      <c r="U384" s="4"/>
      <c r="V384" s="4"/>
      <c r="W384" s="4">
        <v>0</v>
      </c>
      <c r="X384" s="4">
        <v>1</v>
      </c>
      <c r="Y384" s="4">
        <v>0</v>
      </c>
      <c r="Z384" s="4"/>
      <c r="AA384" s="4"/>
      <c r="AB384" s="4"/>
    </row>
    <row r="385" spans="1:28" x14ac:dyDescent="0.2">
      <c r="A385" s="4">
        <v>50</v>
      </c>
      <c r="B385" s="4">
        <v>0</v>
      </c>
      <c r="C385" s="4">
        <v>0</v>
      </c>
      <c r="D385" s="4">
        <v>1</v>
      </c>
      <c r="E385" s="4">
        <v>227</v>
      </c>
      <c r="F385" s="4">
        <f>ROUND(Source!AX378,O385)</f>
        <v>0</v>
      </c>
      <c r="G385" s="4" t="s">
        <v>56</v>
      </c>
      <c r="H385" s="4" t="s">
        <v>57</v>
      </c>
      <c r="I385" s="4"/>
      <c r="J385" s="4"/>
      <c r="K385" s="4">
        <v>227</v>
      </c>
      <c r="L385" s="4">
        <v>6</v>
      </c>
      <c r="M385" s="4">
        <v>3</v>
      </c>
      <c r="N385" s="4" t="s">
        <v>3</v>
      </c>
      <c r="O385" s="4">
        <v>2</v>
      </c>
      <c r="P385" s="4"/>
      <c r="Q385" s="4"/>
      <c r="R385" s="4"/>
      <c r="S385" s="4"/>
      <c r="T385" s="4"/>
      <c r="U385" s="4"/>
      <c r="V385" s="4"/>
      <c r="W385" s="4">
        <v>0</v>
      </c>
      <c r="X385" s="4">
        <v>1</v>
      </c>
      <c r="Y385" s="4">
        <v>0</v>
      </c>
      <c r="Z385" s="4"/>
      <c r="AA385" s="4"/>
      <c r="AB385" s="4"/>
    </row>
    <row r="386" spans="1:28" x14ac:dyDescent="0.2">
      <c r="A386" s="4">
        <v>50</v>
      </c>
      <c r="B386" s="4">
        <v>0</v>
      </c>
      <c r="C386" s="4">
        <v>0</v>
      </c>
      <c r="D386" s="4">
        <v>1</v>
      </c>
      <c r="E386" s="4">
        <v>228</v>
      </c>
      <c r="F386" s="4">
        <f>ROUND(Source!AY378,O386)</f>
        <v>74.23</v>
      </c>
      <c r="G386" s="4" t="s">
        <v>58</v>
      </c>
      <c r="H386" s="4" t="s">
        <v>59</v>
      </c>
      <c r="I386" s="4"/>
      <c r="J386" s="4"/>
      <c r="K386" s="4">
        <v>228</v>
      </c>
      <c r="L386" s="4">
        <v>7</v>
      </c>
      <c r="M386" s="4">
        <v>3</v>
      </c>
      <c r="N386" s="4" t="s">
        <v>3</v>
      </c>
      <c r="O386" s="4">
        <v>2</v>
      </c>
      <c r="P386" s="4"/>
      <c r="Q386" s="4"/>
      <c r="R386" s="4"/>
      <c r="S386" s="4"/>
      <c r="T386" s="4"/>
      <c r="U386" s="4"/>
      <c r="V386" s="4"/>
      <c r="W386" s="4">
        <v>0</v>
      </c>
      <c r="X386" s="4">
        <v>1</v>
      </c>
      <c r="Y386" s="4">
        <v>0</v>
      </c>
      <c r="Z386" s="4"/>
      <c r="AA386" s="4"/>
      <c r="AB386" s="4"/>
    </row>
    <row r="387" spans="1:28" x14ac:dyDescent="0.2">
      <c r="A387" s="4">
        <v>50</v>
      </c>
      <c r="B387" s="4">
        <v>0</v>
      </c>
      <c r="C387" s="4">
        <v>0</v>
      </c>
      <c r="D387" s="4">
        <v>1</v>
      </c>
      <c r="E387" s="4">
        <v>216</v>
      </c>
      <c r="F387" s="4">
        <f>ROUND(Source!AP378,O387)</f>
        <v>0</v>
      </c>
      <c r="G387" s="4" t="s">
        <v>60</v>
      </c>
      <c r="H387" s="4" t="s">
        <v>61</v>
      </c>
      <c r="I387" s="4"/>
      <c r="J387" s="4"/>
      <c r="K387" s="4">
        <v>216</v>
      </c>
      <c r="L387" s="4">
        <v>8</v>
      </c>
      <c r="M387" s="4">
        <v>3</v>
      </c>
      <c r="N387" s="4" t="s">
        <v>3</v>
      </c>
      <c r="O387" s="4">
        <v>2</v>
      </c>
      <c r="P387" s="4"/>
      <c r="Q387" s="4"/>
      <c r="R387" s="4"/>
      <c r="S387" s="4"/>
      <c r="T387" s="4"/>
      <c r="U387" s="4"/>
      <c r="V387" s="4"/>
      <c r="W387" s="4">
        <v>0</v>
      </c>
      <c r="X387" s="4">
        <v>1</v>
      </c>
      <c r="Y387" s="4">
        <v>0</v>
      </c>
      <c r="Z387" s="4"/>
      <c r="AA387" s="4"/>
      <c r="AB387" s="4"/>
    </row>
    <row r="388" spans="1:28" x14ac:dyDescent="0.2">
      <c r="A388" s="4">
        <v>50</v>
      </c>
      <c r="B388" s="4">
        <v>0</v>
      </c>
      <c r="C388" s="4">
        <v>0</v>
      </c>
      <c r="D388" s="4">
        <v>1</v>
      </c>
      <c r="E388" s="4">
        <v>223</v>
      </c>
      <c r="F388" s="4">
        <f>ROUND(Source!AQ378,O388)</f>
        <v>0</v>
      </c>
      <c r="G388" s="4" t="s">
        <v>62</v>
      </c>
      <c r="H388" s="4" t="s">
        <v>63</v>
      </c>
      <c r="I388" s="4"/>
      <c r="J388" s="4"/>
      <c r="K388" s="4">
        <v>223</v>
      </c>
      <c r="L388" s="4">
        <v>9</v>
      </c>
      <c r="M388" s="4">
        <v>3</v>
      </c>
      <c r="N388" s="4" t="s">
        <v>3</v>
      </c>
      <c r="O388" s="4">
        <v>2</v>
      </c>
      <c r="P388" s="4"/>
      <c r="Q388" s="4"/>
      <c r="R388" s="4"/>
      <c r="S388" s="4"/>
      <c r="T388" s="4"/>
      <c r="U388" s="4"/>
      <c r="V388" s="4"/>
      <c r="W388" s="4">
        <v>0</v>
      </c>
      <c r="X388" s="4">
        <v>1</v>
      </c>
      <c r="Y388" s="4">
        <v>0</v>
      </c>
      <c r="Z388" s="4"/>
      <c r="AA388" s="4"/>
      <c r="AB388" s="4"/>
    </row>
    <row r="389" spans="1:28" x14ac:dyDescent="0.2">
      <c r="A389" s="4">
        <v>50</v>
      </c>
      <c r="B389" s="4">
        <v>0</v>
      </c>
      <c r="C389" s="4">
        <v>0</v>
      </c>
      <c r="D389" s="4">
        <v>1</v>
      </c>
      <c r="E389" s="4">
        <v>229</v>
      </c>
      <c r="F389" s="4">
        <f>ROUND(Source!AZ378,O389)</f>
        <v>0</v>
      </c>
      <c r="G389" s="4" t="s">
        <v>64</v>
      </c>
      <c r="H389" s="4" t="s">
        <v>65</v>
      </c>
      <c r="I389" s="4"/>
      <c r="J389" s="4"/>
      <c r="K389" s="4">
        <v>229</v>
      </c>
      <c r="L389" s="4">
        <v>10</v>
      </c>
      <c r="M389" s="4">
        <v>3</v>
      </c>
      <c r="N389" s="4" t="s">
        <v>3</v>
      </c>
      <c r="O389" s="4">
        <v>2</v>
      </c>
      <c r="P389" s="4"/>
      <c r="Q389" s="4"/>
      <c r="R389" s="4"/>
      <c r="S389" s="4"/>
      <c r="T389" s="4"/>
      <c r="U389" s="4"/>
      <c r="V389" s="4"/>
      <c r="W389" s="4">
        <v>0</v>
      </c>
      <c r="X389" s="4">
        <v>1</v>
      </c>
      <c r="Y389" s="4">
        <v>0</v>
      </c>
      <c r="Z389" s="4"/>
      <c r="AA389" s="4"/>
      <c r="AB389" s="4"/>
    </row>
    <row r="390" spans="1:28" x14ac:dyDescent="0.2">
      <c r="A390" s="4">
        <v>50</v>
      </c>
      <c r="B390" s="4">
        <v>0</v>
      </c>
      <c r="C390" s="4">
        <v>0</v>
      </c>
      <c r="D390" s="4">
        <v>1</v>
      </c>
      <c r="E390" s="4">
        <v>203</v>
      </c>
      <c r="F390" s="4">
        <f>ROUND(Source!Q378,O390)</f>
        <v>521.20000000000005</v>
      </c>
      <c r="G390" s="4" t="s">
        <v>66</v>
      </c>
      <c r="H390" s="4" t="s">
        <v>67</v>
      </c>
      <c r="I390" s="4"/>
      <c r="J390" s="4"/>
      <c r="K390" s="4">
        <v>203</v>
      </c>
      <c r="L390" s="4">
        <v>11</v>
      </c>
      <c r="M390" s="4">
        <v>3</v>
      </c>
      <c r="N390" s="4" t="s">
        <v>3</v>
      </c>
      <c r="O390" s="4">
        <v>2</v>
      </c>
      <c r="P390" s="4"/>
      <c r="Q390" s="4"/>
      <c r="R390" s="4"/>
      <c r="S390" s="4"/>
      <c r="T390" s="4"/>
      <c r="U390" s="4"/>
      <c r="V390" s="4"/>
      <c r="W390" s="4">
        <v>0</v>
      </c>
      <c r="X390" s="4">
        <v>1</v>
      </c>
      <c r="Y390" s="4">
        <v>0</v>
      </c>
      <c r="Z390" s="4"/>
      <c r="AA390" s="4"/>
      <c r="AB390" s="4"/>
    </row>
    <row r="391" spans="1:28" x14ac:dyDescent="0.2">
      <c r="A391" s="4">
        <v>50</v>
      </c>
      <c r="B391" s="4">
        <v>0</v>
      </c>
      <c r="C391" s="4">
        <v>0</v>
      </c>
      <c r="D391" s="4">
        <v>1</v>
      </c>
      <c r="E391" s="4">
        <v>231</v>
      </c>
      <c r="F391" s="4">
        <f>ROUND(Source!BB378,O391)</f>
        <v>0</v>
      </c>
      <c r="G391" s="4" t="s">
        <v>68</v>
      </c>
      <c r="H391" s="4" t="s">
        <v>69</v>
      </c>
      <c r="I391" s="4"/>
      <c r="J391" s="4"/>
      <c r="K391" s="4">
        <v>231</v>
      </c>
      <c r="L391" s="4">
        <v>12</v>
      </c>
      <c r="M391" s="4">
        <v>3</v>
      </c>
      <c r="N391" s="4" t="s">
        <v>3</v>
      </c>
      <c r="O391" s="4">
        <v>2</v>
      </c>
      <c r="P391" s="4"/>
      <c r="Q391" s="4"/>
      <c r="R391" s="4"/>
      <c r="S391" s="4"/>
      <c r="T391" s="4"/>
      <c r="U391" s="4"/>
      <c r="V391" s="4"/>
      <c r="W391" s="4">
        <v>0</v>
      </c>
      <c r="X391" s="4">
        <v>1</v>
      </c>
      <c r="Y391" s="4">
        <v>0</v>
      </c>
      <c r="Z391" s="4"/>
      <c r="AA391" s="4"/>
      <c r="AB391" s="4"/>
    </row>
    <row r="392" spans="1:28" x14ac:dyDescent="0.2">
      <c r="A392" s="4">
        <v>50</v>
      </c>
      <c r="B392" s="4">
        <v>0</v>
      </c>
      <c r="C392" s="4">
        <v>0</v>
      </c>
      <c r="D392" s="4">
        <v>1</v>
      </c>
      <c r="E392" s="4">
        <v>204</v>
      </c>
      <c r="F392" s="4">
        <f>ROUND(Source!R378,O392)</f>
        <v>194.79</v>
      </c>
      <c r="G392" s="4" t="s">
        <v>70</v>
      </c>
      <c r="H392" s="4" t="s">
        <v>71</v>
      </c>
      <c r="I392" s="4"/>
      <c r="J392" s="4"/>
      <c r="K392" s="4">
        <v>204</v>
      </c>
      <c r="L392" s="4">
        <v>13</v>
      </c>
      <c r="M392" s="4">
        <v>3</v>
      </c>
      <c r="N392" s="4" t="s">
        <v>3</v>
      </c>
      <c r="O392" s="4">
        <v>2</v>
      </c>
      <c r="P392" s="4"/>
      <c r="Q392" s="4"/>
      <c r="R392" s="4"/>
      <c r="S392" s="4"/>
      <c r="T392" s="4"/>
      <c r="U392" s="4"/>
      <c r="V392" s="4"/>
      <c r="W392" s="4">
        <v>0</v>
      </c>
      <c r="X392" s="4">
        <v>1</v>
      </c>
      <c r="Y392" s="4">
        <v>0</v>
      </c>
      <c r="Z392" s="4"/>
      <c r="AA392" s="4"/>
      <c r="AB392" s="4"/>
    </row>
    <row r="393" spans="1:28" x14ac:dyDescent="0.2">
      <c r="A393" s="4">
        <v>50</v>
      </c>
      <c r="B393" s="4">
        <v>0</v>
      </c>
      <c r="C393" s="4">
        <v>0</v>
      </c>
      <c r="D393" s="4">
        <v>1</v>
      </c>
      <c r="E393" s="4">
        <v>205</v>
      </c>
      <c r="F393" s="4">
        <f>ROUND(Source!S378,O393)</f>
        <v>46711.56</v>
      </c>
      <c r="G393" s="4" t="s">
        <v>72</v>
      </c>
      <c r="H393" s="4" t="s">
        <v>73</v>
      </c>
      <c r="I393" s="4"/>
      <c r="J393" s="4"/>
      <c r="K393" s="4">
        <v>205</v>
      </c>
      <c r="L393" s="4">
        <v>14</v>
      </c>
      <c r="M393" s="4">
        <v>3</v>
      </c>
      <c r="N393" s="4" t="s">
        <v>3</v>
      </c>
      <c r="O393" s="4">
        <v>2</v>
      </c>
      <c r="P393" s="4"/>
      <c r="Q393" s="4"/>
      <c r="R393" s="4"/>
      <c r="S393" s="4"/>
      <c r="T393" s="4"/>
      <c r="U393" s="4"/>
      <c r="V393" s="4"/>
      <c r="W393" s="4">
        <v>0</v>
      </c>
      <c r="X393" s="4">
        <v>1</v>
      </c>
      <c r="Y393" s="4">
        <v>0</v>
      </c>
      <c r="Z393" s="4"/>
      <c r="AA393" s="4"/>
      <c r="AB393" s="4"/>
    </row>
    <row r="394" spans="1:28" x14ac:dyDescent="0.2">
      <c r="A394" s="4">
        <v>50</v>
      </c>
      <c r="B394" s="4">
        <v>0</v>
      </c>
      <c r="C394" s="4">
        <v>0</v>
      </c>
      <c r="D394" s="4">
        <v>1</v>
      </c>
      <c r="E394" s="4">
        <v>232</v>
      </c>
      <c r="F394" s="4">
        <f>ROUND(Source!BC378,O394)</f>
        <v>0</v>
      </c>
      <c r="G394" s="4" t="s">
        <v>74</v>
      </c>
      <c r="H394" s="4" t="s">
        <v>75</v>
      </c>
      <c r="I394" s="4"/>
      <c r="J394" s="4"/>
      <c r="K394" s="4">
        <v>232</v>
      </c>
      <c r="L394" s="4">
        <v>15</v>
      </c>
      <c r="M394" s="4">
        <v>3</v>
      </c>
      <c r="N394" s="4" t="s">
        <v>3</v>
      </c>
      <c r="O394" s="4">
        <v>2</v>
      </c>
      <c r="P394" s="4"/>
      <c r="Q394" s="4"/>
      <c r="R394" s="4"/>
      <c r="S394" s="4"/>
      <c r="T394" s="4"/>
      <c r="U394" s="4"/>
      <c r="V394" s="4"/>
      <c r="W394" s="4">
        <v>0</v>
      </c>
      <c r="X394" s="4">
        <v>1</v>
      </c>
      <c r="Y394" s="4">
        <v>0</v>
      </c>
      <c r="Z394" s="4"/>
      <c r="AA394" s="4"/>
      <c r="AB394" s="4"/>
    </row>
    <row r="395" spans="1:28" x14ac:dyDescent="0.2">
      <c r="A395" s="4">
        <v>50</v>
      </c>
      <c r="B395" s="4">
        <v>0</v>
      </c>
      <c r="C395" s="4">
        <v>0</v>
      </c>
      <c r="D395" s="4">
        <v>1</v>
      </c>
      <c r="E395" s="4">
        <v>214</v>
      </c>
      <c r="F395" s="4">
        <f>ROUND(Source!AS378,O395)</f>
        <v>0</v>
      </c>
      <c r="G395" s="4" t="s">
        <v>76</v>
      </c>
      <c r="H395" s="4" t="s">
        <v>77</v>
      </c>
      <c r="I395" s="4"/>
      <c r="J395" s="4"/>
      <c r="K395" s="4">
        <v>214</v>
      </c>
      <c r="L395" s="4">
        <v>16</v>
      </c>
      <c r="M395" s="4">
        <v>3</v>
      </c>
      <c r="N395" s="4" t="s">
        <v>3</v>
      </c>
      <c r="O395" s="4">
        <v>2</v>
      </c>
      <c r="P395" s="4"/>
      <c r="Q395" s="4"/>
      <c r="R395" s="4"/>
      <c r="S395" s="4"/>
      <c r="T395" s="4"/>
      <c r="U395" s="4"/>
      <c r="V395" s="4"/>
      <c r="W395" s="4">
        <v>0</v>
      </c>
      <c r="X395" s="4">
        <v>1</v>
      </c>
      <c r="Y395" s="4">
        <v>0</v>
      </c>
      <c r="Z395" s="4"/>
      <c r="AA395" s="4"/>
      <c r="AB395" s="4"/>
    </row>
    <row r="396" spans="1:28" x14ac:dyDescent="0.2">
      <c r="A396" s="4">
        <v>50</v>
      </c>
      <c r="B396" s="4">
        <v>0</v>
      </c>
      <c r="C396" s="4">
        <v>0</v>
      </c>
      <c r="D396" s="4">
        <v>1</v>
      </c>
      <c r="E396" s="4">
        <v>215</v>
      </c>
      <c r="F396" s="4">
        <f>ROUND(Source!AT378,O396)</f>
        <v>0</v>
      </c>
      <c r="G396" s="4" t="s">
        <v>78</v>
      </c>
      <c r="H396" s="4" t="s">
        <v>79</v>
      </c>
      <c r="I396" s="4"/>
      <c r="J396" s="4"/>
      <c r="K396" s="4">
        <v>215</v>
      </c>
      <c r="L396" s="4">
        <v>17</v>
      </c>
      <c r="M396" s="4">
        <v>3</v>
      </c>
      <c r="N396" s="4" t="s">
        <v>3</v>
      </c>
      <c r="O396" s="4">
        <v>2</v>
      </c>
      <c r="P396" s="4"/>
      <c r="Q396" s="4"/>
      <c r="R396" s="4"/>
      <c r="S396" s="4"/>
      <c r="T396" s="4"/>
      <c r="U396" s="4"/>
      <c r="V396" s="4"/>
      <c r="W396" s="4">
        <v>0</v>
      </c>
      <c r="X396" s="4">
        <v>1</v>
      </c>
      <c r="Y396" s="4">
        <v>0</v>
      </c>
      <c r="Z396" s="4"/>
      <c r="AA396" s="4"/>
      <c r="AB396" s="4"/>
    </row>
    <row r="397" spans="1:28" x14ac:dyDescent="0.2">
      <c r="A397" s="4">
        <v>50</v>
      </c>
      <c r="B397" s="4">
        <v>0</v>
      </c>
      <c r="C397" s="4">
        <v>0</v>
      </c>
      <c r="D397" s="4">
        <v>1</v>
      </c>
      <c r="E397" s="4">
        <v>217</v>
      </c>
      <c r="F397" s="4">
        <f>ROUND(Source!AU378,O397)</f>
        <v>84886.64</v>
      </c>
      <c r="G397" s="4" t="s">
        <v>80</v>
      </c>
      <c r="H397" s="4" t="s">
        <v>81</v>
      </c>
      <c r="I397" s="4"/>
      <c r="J397" s="4"/>
      <c r="K397" s="4">
        <v>217</v>
      </c>
      <c r="L397" s="4">
        <v>18</v>
      </c>
      <c r="M397" s="4">
        <v>3</v>
      </c>
      <c r="N397" s="4" t="s">
        <v>3</v>
      </c>
      <c r="O397" s="4">
        <v>2</v>
      </c>
      <c r="P397" s="4"/>
      <c r="Q397" s="4"/>
      <c r="R397" s="4"/>
      <c r="S397" s="4"/>
      <c r="T397" s="4"/>
      <c r="U397" s="4"/>
      <c r="V397" s="4"/>
      <c r="W397" s="4">
        <v>0</v>
      </c>
      <c r="X397" s="4">
        <v>1</v>
      </c>
      <c r="Y397" s="4">
        <v>0</v>
      </c>
      <c r="Z397" s="4"/>
      <c r="AA397" s="4"/>
      <c r="AB397" s="4"/>
    </row>
    <row r="398" spans="1:28" x14ac:dyDescent="0.2">
      <c r="A398" s="4">
        <v>50</v>
      </c>
      <c r="B398" s="4">
        <v>0</v>
      </c>
      <c r="C398" s="4">
        <v>0</v>
      </c>
      <c r="D398" s="4">
        <v>1</v>
      </c>
      <c r="E398" s="4">
        <v>230</v>
      </c>
      <c r="F398" s="4">
        <f>ROUND(Source!BA378,O398)</f>
        <v>0</v>
      </c>
      <c r="G398" s="4" t="s">
        <v>82</v>
      </c>
      <c r="H398" s="4" t="s">
        <v>83</v>
      </c>
      <c r="I398" s="4"/>
      <c r="J398" s="4"/>
      <c r="K398" s="4">
        <v>230</v>
      </c>
      <c r="L398" s="4">
        <v>19</v>
      </c>
      <c r="M398" s="4">
        <v>3</v>
      </c>
      <c r="N398" s="4" t="s">
        <v>3</v>
      </c>
      <c r="O398" s="4">
        <v>2</v>
      </c>
      <c r="P398" s="4"/>
      <c r="Q398" s="4"/>
      <c r="R398" s="4"/>
      <c r="S398" s="4"/>
      <c r="T398" s="4"/>
      <c r="U398" s="4"/>
      <c r="V398" s="4"/>
      <c r="W398" s="4">
        <v>0</v>
      </c>
      <c r="X398" s="4">
        <v>1</v>
      </c>
      <c r="Y398" s="4">
        <v>0</v>
      </c>
      <c r="Z398" s="4"/>
      <c r="AA398" s="4"/>
      <c r="AB398" s="4"/>
    </row>
    <row r="399" spans="1:28" x14ac:dyDescent="0.2">
      <c r="A399" s="4">
        <v>50</v>
      </c>
      <c r="B399" s="4">
        <v>0</v>
      </c>
      <c r="C399" s="4">
        <v>0</v>
      </c>
      <c r="D399" s="4">
        <v>1</v>
      </c>
      <c r="E399" s="4">
        <v>206</v>
      </c>
      <c r="F399" s="4">
        <f>ROUND(Source!T378,O399)</f>
        <v>0</v>
      </c>
      <c r="G399" s="4" t="s">
        <v>84</v>
      </c>
      <c r="H399" s="4" t="s">
        <v>85</v>
      </c>
      <c r="I399" s="4"/>
      <c r="J399" s="4"/>
      <c r="K399" s="4">
        <v>206</v>
      </c>
      <c r="L399" s="4">
        <v>20</v>
      </c>
      <c r="M399" s="4">
        <v>3</v>
      </c>
      <c r="N399" s="4" t="s">
        <v>3</v>
      </c>
      <c r="O399" s="4">
        <v>2</v>
      </c>
      <c r="P399" s="4"/>
      <c r="Q399" s="4"/>
      <c r="R399" s="4"/>
      <c r="S399" s="4"/>
      <c r="T399" s="4"/>
      <c r="U399" s="4"/>
      <c r="V399" s="4"/>
      <c r="W399" s="4">
        <v>0</v>
      </c>
      <c r="X399" s="4">
        <v>1</v>
      </c>
      <c r="Y399" s="4">
        <v>0</v>
      </c>
      <c r="Z399" s="4"/>
      <c r="AA399" s="4"/>
      <c r="AB399" s="4"/>
    </row>
    <row r="400" spans="1:28" x14ac:dyDescent="0.2">
      <c r="A400" s="4">
        <v>50</v>
      </c>
      <c r="B400" s="4">
        <v>0</v>
      </c>
      <c r="C400" s="4">
        <v>0</v>
      </c>
      <c r="D400" s="4">
        <v>1</v>
      </c>
      <c r="E400" s="4">
        <v>207</v>
      </c>
      <c r="F400" s="4">
        <f>Source!U378</f>
        <v>80.541839999999993</v>
      </c>
      <c r="G400" s="4" t="s">
        <v>86</v>
      </c>
      <c r="H400" s="4" t="s">
        <v>87</v>
      </c>
      <c r="I400" s="4"/>
      <c r="J400" s="4"/>
      <c r="K400" s="4">
        <v>207</v>
      </c>
      <c r="L400" s="4">
        <v>21</v>
      </c>
      <c r="M400" s="4">
        <v>3</v>
      </c>
      <c r="N400" s="4" t="s">
        <v>3</v>
      </c>
      <c r="O400" s="4">
        <v>-1</v>
      </c>
      <c r="P400" s="4"/>
      <c r="Q400" s="4"/>
      <c r="R400" s="4"/>
      <c r="S400" s="4"/>
      <c r="T400" s="4"/>
      <c r="U400" s="4"/>
      <c r="V400" s="4"/>
      <c r="W400" s="4">
        <v>0</v>
      </c>
      <c r="X400" s="4">
        <v>1</v>
      </c>
      <c r="Y400" s="4">
        <v>0</v>
      </c>
      <c r="Z400" s="4"/>
      <c r="AA400" s="4"/>
      <c r="AB400" s="4"/>
    </row>
    <row r="401" spans="1:206" x14ac:dyDescent="0.2">
      <c r="A401" s="4">
        <v>50</v>
      </c>
      <c r="B401" s="4">
        <v>0</v>
      </c>
      <c r="C401" s="4">
        <v>0</v>
      </c>
      <c r="D401" s="4">
        <v>1</v>
      </c>
      <c r="E401" s="4">
        <v>208</v>
      </c>
      <c r="F401" s="4">
        <f>Source!V378</f>
        <v>0</v>
      </c>
      <c r="G401" s="4" t="s">
        <v>88</v>
      </c>
      <c r="H401" s="4" t="s">
        <v>89</v>
      </c>
      <c r="I401" s="4"/>
      <c r="J401" s="4"/>
      <c r="K401" s="4">
        <v>208</v>
      </c>
      <c r="L401" s="4">
        <v>22</v>
      </c>
      <c r="M401" s="4">
        <v>3</v>
      </c>
      <c r="N401" s="4" t="s">
        <v>3</v>
      </c>
      <c r="O401" s="4">
        <v>-1</v>
      </c>
      <c r="P401" s="4"/>
      <c r="Q401" s="4"/>
      <c r="R401" s="4"/>
      <c r="S401" s="4"/>
      <c r="T401" s="4"/>
      <c r="U401" s="4"/>
      <c r="V401" s="4"/>
      <c r="W401" s="4">
        <v>0</v>
      </c>
      <c r="X401" s="4">
        <v>1</v>
      </c>
      <c r="Y401" s="4">
        <v>0</v>
      </c>
      <c r="Z401" s="4"/>
      <c r="AA401" s="4"/>
      <c r="AB401" s="4"/>
    </row>
    <row r="402" spans="1:206" x14ac:dyDescent="0.2">
      <c r="A402" s="4">
        <v>50</v>
      </c>
      <c r="B402" s="4">
        <v>0</v>
      </c>
      <c r="C402" s="4">
        <v>0</v>
      </c>
      <c r="D402" s="4">
        <v>1</v>
      </c>
      <c r="E402" s="4">
        <v>209</v>
      </c>
      <c r="F402" s="4">
        <f>ROUND(Source!W378,O402)</f>
        <v>0</v>
      </c>
      <c r="G402" s="4" t="s">
        <v>90</v>
      </c>
      <c r="H402" s="4" t="s">
        <v>91</v>
      </c>
      <c r="I402" s="4"/>
      <c r="J402" s="4"/>
      <c r="K402" s="4">
        <v>209</v>
      </c>
      <c r="L402" s="4">
        <v>23</v>
      </c>
      <c r="M402" s="4">
        <v>3</v>
      </c>
      <c r="N402" s="4" t="s">
        <v>3</v>
      </c>
      <c r="O402" s="4">
        <v>2</v>
      </c>
      <c r="P402" s="4"/>
      <c r="Q402" s="4"/>
      <c r="R402" s="4"/>
      <c r="S402" s="4"/>
      <c r="T402" s="4"/>
      <c r="U402" s="4"/>
      <c r="V402" s="4"/>
      <c r="W402" s="4">
        <v>0</v>
      </c>
      <c r="X402" s="4">
        <v>1</v>
      </c>
      <c r="Y402" s="4">
        <v>0</v>
      </c>
      <c r="Z402" s="4"/>
      <c r="AA402" s="4"/>
      <c r="AB402" s="4"/>
    </row>
    <row r="403" spans="1:206" x14ac:dyDescent="0.2">
      <c r="A403" s="4">
        <v>50</v>
      </c>
      <c r="B403" s="4">
        <v>0</v>
      </c>
      <c r="C403" s="4">
        <v>0</v>
      </c>
      <c r="D403" s="4">
        <v>1</v>
      </c>
      <c r="E403" s="4">
        <v>233</v>
      </c>
      <c r="F403" s="4">
        <f>ROUND(Source!BD378,O403)</f>
        <v>0</v>
      </c>
      <c r="G403" s="4" t="s">
        <v>92</v>
      </c>
      <c r="H403" s="4" t="s">
        <v>93</v>
      </c>
      <c r="I403" s="4"/>
      <c r="J403" s="4"/>
      <c r="K403" s="4">
        <v>233</v>
      </c>
      <c r="L403" s="4">
        <v>24</v>
      </c>
      <c r="M403" s="4">
        <v>3</v>
      </c>
      <c r="N403" s="4" t="s">
        <v>3</v>
      </c>
      <c r="O403" s="4">
        <v>2</v>
      </c>
      <c r="P403" s="4"/>
      <c r="Q403" s="4"/>
      <c r="R403" s="4"/>
      <c r="S403" s="4"/>
      <c r="T403" s="4"/>
      <c r="U403" s="4"/>
      <c r="V403" s="4"/>
      <c r="W403" s="4">
        <v>0</v>
      </c>
      <c r="X403" s="4">
        <v>1</v>
      </c>
      <c r="Y403" s="4">
        <v>0</v>
      </c>
      <c r="Z403" s="4"/>
      <c r="AA403" s="4"/>
      <c r="AB403" s="4"/>
    </row>
    <row r="404" spans="1:206" x14ac:dyDescent="0.2">
      <c r="A404" s="4">
        <v>50</v>
      </c>
      <c r="B404" s="4">
        <v>0</v>
      </c>
      <c r="C404" s="4">
        <v>0</v>
      </c>
      <c r="D404" s="4">
        <v>1</v>
      </c>
      <c r="E404" s="4">
        <v>210</v>
      </c>
      <c r="F404" s="4">
        <f>ROUND(Source!X378,O404)</f>
        <v>32698.1</v>
      </c>
      <c r="G404" s="4" t="s">
        <v>94</v>
      </c>
      <c r="H404" s="4" t="s">
        <v>95</v>
      </c>
      <c r="I404" s="4"/>
      <c r="J404" s="4"/>
      <c r="K404" s="4">
        <v>210</v>
      </c>
      <c r="L404" s="4">
        <v>25</v>
      </c>
      <c r="M404" s="4">
        <v>3</v>
      </c>
      <c r="N404" s="4" t="s">
        <v>3</v>
      </c>
      <c r="O404" s="4">
        <v>2</v>
      </c>
      <c r="P404" s="4"/>
      <c r="Q404" s="4"/>
      <c r="R404" s="4"/>
      <c r="S404" s="4"/>
      <c r="T404" s="4"/>
      <c r="U404" s="4"/>
      <c r="V404" s="4"/>
      <c r="W404" s="4">
        <v>0</v>
      </c>
      <c r="X404" s="4">
        <v>1</v>
      </c>
      <c r="Y404" s="4">
        <v>0</v>
      </c>
      <c r="Z404" s="4"/>
      <c r="AA404" s="4"/>
      <c r="AB404" s="4"/>
    </row>
    <row r="405" spans="1:206" x14ac:dyDescent="0.2">
      <c r="A405" s="4">
        <v>50</v>
      </c>
      <c r="B405" s="4">
        <v>0</v>
      </c>
      <c r="C405" s="4">
        <v>0</v>
      </c>
      <c r="D405" s="4">
        <v>1</v>
      </c>
      <c r="E405" s="4">
        <v>211</v>
      </c>
      <c r="F405" s="4">
        <f>ROUND(Source!Y378,O405)</f>
        <v>4671.17</v>
      </c>
      <c r="G405" s="4" t="s">
        <v>96</v>
      </c>
      <c r="H405" s="4" t="s">
        <v>97</v>
      </c>
      <c r="I405" s="4"/>
      <c r="J405" s="4"/>
      <c r="K405" s="4">
        <v>211</v>
      </c>
      <c r="L405" s="4">
        <v>26</v>
      </c>
      <c r="M405" s="4">
        <v>3</v>
      </c>
      <c r="N405" s="4" t="s">
        <v>3</v>
      </c>
      <c r="O405" s="4">
        <v>2</v>
      </c>
      <c r="P405" s="4"/>
      <c r="Q405" s="4"/>
      <c r="R405" s="4"/>
      <c r="S405" s="4"/>
      <c r="T405" s="4"/>
      <c r="U405" s="4"/>
      <c r="V405" s="4"/>
      <c r="W405" s="4">
        <v>0</v>
      </c>
      <c r="X405" s="4">
        <v>1</v>
      </c>
      <c r="Y405" s="4">
        <v>0</v>
      </c>
      <c r="Z405" s="4"/>
      <c r="AA405" s="4"/>
      <c r="AB405" s="4"/>
    </row>
    <row r="406" spans="1:206" x14ac:dyDescent="0.2">
      <c r="A406" s="4">
        <v>50</v>
      </c>
      <c r="B406" s="4">
        <v>0</v>
      </c>
      <c r="C406" s="4">
        <v>0</v>
      </c>
      <c r="D406" s="4">
        <v>1</v>
      </c>
      <c r="E406" s="4">
        <v>224</v>
      </c>
      <c r="F406" s="4">
        <f>ROUND(Source!AR378,O406)</f>
        <v>84886.64</v>
      </c>
      <c r="G406" s="4" t="s">
        <v>98</v>
      </c>
      <c r="H406" s="4" t="s">
        <v>99</v>
      </c>
      <c r="I406" s="4"/>
      <c r="J406" s="4"/>
      <c r="K406" s="4">
        <v>224</v>
      </c>
      <c r="L406" s="4">
        <v>27</v>
      </c>
      <c r="M406" s="4">
        <v>3</v>
      </c>
      <c r="N406" s="4" t="s">
        <v>3</v>
      </c>
      <c r="O406" s="4">
        <v>2</v>
      </c>
      <c r="P406" s="4"/>
      <c r="Q406" s="4"/>
      <c r="R406" s="4"/>
      <c r="S406" s="4"/>
      <c r="T406" s="4"/>
      <c r="U406" s="4"/>
      <c r="V406" s="4"/>
      <c r="W406" s="4">
        <v>0</v>
      </c>
      <c r="X406" s="4">
        <v>1</v>
      </c>
      <c r="Y406" s="4">
        <v>0</v>
      </c>
      <c r="Z406" s="4"/>
      <c r="AA406" s="4"/>
      <c r="AB406" s="4"/>
    </row>
    <row r="408" spans="1:206" x14ac:dyDescent="0.2">
      <c r="A408" s="2">
        <v>51</v>
      </c>
      <c r="B408" s="2">
        <f>B202</f>
        <v>1</v>
      </c>
      <c r="C408" s="2">
        <f>A202</f>
        <v>4</v>
      </c>
      <c r="D408" s="2">
        <f>ROW(A202)</f>
        <v>202</v>
      </c>
      <c r="E408" s="2"/>
      <c r="F408" s="2" t="str">
        <f>IF(F202&lt;&gt;"",F202,"")</f>
        <v>Новый раздел</v>
      </c>
      <c r="G408" s="2" t="str">
        <f>IF(G202&lt;&gt;"",G202,"")</f>
        <v>2. Внутренние сети отопления и ИТП</v>
      </c>
      <c r="H408" s="2">
        <v>0</v>
      </c>
      <c r="I408" s="2"/>
      <c r="J408" s="2"/>
      <c r="K408" s="2"/>
      <c r="L408" s="2"/>
      <c r="M408" s="2"/>
      <c r="N408" s="2"/>
      <c r="O408" s="2">
        <f t="shared" ref="O408:T408" si="350">ROUND(O254+O297+O378+AB408,2)</f>
        <v>228884.38</v>
      </c>
      <c r="P408" s="2">
        <f t="shared" si="350"/>
        <v>3929.04</v>
      </c>
      <c r="Q408" s="2">
        <f t="shared" si="350"/>
        <v>17267.400000000001</v>
      </c>
      <c r="R408" s="2">
        <f t="shared" si="350"/>
        <v>10812.81</v>
      </c>
      <c r="S408" s="2">
        <f t="shared" si="350"/>
        <v>207687.94</v>
      </c>
      <c r="T408" s="2">
        <f t="shared" si="350"/>
        <v>0</v>
      </c>
      <c r="U408" s="2">
        <f>U254+U297+U378+AH408</f>
        <v>310.31283999999999</v>
      </c>
      <c r="V408" s="2">
        <f>V254+V297+V378+AI408</f>
        <v>0</v>
      </c>
      <c r="W408" s="2">
        <f>ROUND(W254+W297+W378+AJ408,2)</f>
        <v>0</v>
      </c>
      <c r="X408" s="2">
        <f>ROUND(X254+X297+X378+AK408,2)</f>
        <v>145381.54999999999</v>
      </c>
      <c r="Y408" s="2">
        <f>ROUND(Y254+Y297+Y378+AL408,2)</f>
        <v>20768.8</v>
      </c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>
        <f t="shared" ref="AO408:BD408" si="351">ROUND(AO254+AO297+AO378+BX408,2)</f>
        <v>0</v>
      </c>
      <c r="AP408" s="2">
        <f t="shared" si="351"/>
        <v>0</v>
      </c>
      <c r="AQ408" s="2">
        <f t="shared" si="351"/>
        <v>0</v>
      </c>
      <c r="AR408" s="2">
        <f t="shared" si="351"/>
        <v>406712.56</v>
      </c>
      <c r="AS408" s="2">
        <f t="shared" si="351"/>
        <v>0</v>
      </c>
      <c r="AT408" s="2">
        <f t="shared" si="351"/>
        <v>0</v>
      </c>
      <c r="AU408" s="2">
        <f t="shared" si="351"/>
        <v>406712.56</v>
      </c>
      <c r="AV408" s="2">
        <f t="shared" si="351"/>
        <v>3929.04</v>
      </c>
      <c r="AW408" s="2">
        <f t="shared" si="351"/>
        <v>3929.04</v>
      </c>
      <c r="AX408" s="2">
        <f t="shared" si="351"/>
        <v>0</v>
      </c>
      <c r="AY408" s="2">
        <f t="shared" si="351"/>
        <v>3929.04</v>
      </c>
      <c r="AZ408" s="2">
        <f t="shared" si="351"/>
        <v>0</v>
      </c>
      <c r="BA408" s="2">
        <f t="shared" si="351"/>
        <v>0</v>
      </c>
      <c r="BB408" s="2">
        <f t="shared" si="351"/>
        <v>0</v>
      </c>
      <c r="BC408" s="2">
        <f t="shared" si="351"/>
        <v>0</v>
      </c>
      <c r="BD408" s="2">
        <f t="shared" si="351"/>
        <v>0</v>
      </c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  <c r="BZ408" s="2"/>
      <c r="CA408" s="2"/>
      <c r="CB408" s="2"/>
      <c r="CC408" s="2"/>
      <c r="CD408" s="2"/>
      <c r="CE408" s="2"/>
      <c r="CF408" s="2"/>
      <c r="CG408" s="2"/>
      <c r="CH408" s="2"/>
      <c r="CI408" s="2"/>
      <c r="CJ408" s="2"/>
      <c r="CK408" s="2"/>
      <c r="CL408" s="2"/>
      <c r="CM408" s="2"/>
      <c r="CN408" s="2"/>
      <c r="CO408" s="2"/>
      <c r="CP408" s="2"/>
      <c r="CQ408" s="2"/>
      <c r="CR408" s="2"/>
      <c r="CS408" s="2"/>
      <c r="CT408" s="2"/>
      <c r="CU408" s="2"/>
      <c r="CV408" s="2"/>
      <c r="CW408" s="2"/>
      <c r="CX408" s="2"/>
      <c r="CY408" s="2"/>
      <c r="CZ408" s="2"/>
      <c r="DA408" s="2"/>
      <c r="DB408" s="2"/>
      <c r="DC408" s="2"/>
      <c r="DD408" s="2"/>
      <c r="DE408" s="2"/>
      <c r="DF408" s="2"/>
      <c r="DG408" s="3"/>
      <c r="DH408" s="3"/>
      <c r="DI408" s="3"/>
      <c r="DJ408" s="3"/>
      <c r="DK408" s="3"/>
      <c r="DL408" s="3"/>
      <c r="DM408" s="3"/>
      <c r="DN408" s="3"/>
      <c r="DO408" s="3"/>
      <c r="DP408" s="3"/>
      <c r="DQ408" s="3"/>
      <c r="DR408" s="3"/>
      <c r="DS408" s="3"/>
      <c r="DT408" s="3"/>
      <c r="DU408" s="3"/>
      <c r="DV408" s="3"/>
      <c r="DW408" s="3"/>
      <c r="DX408" s="3"/>
      <c r="DY408" s="3"/>
      <c r="DZ408" s="3"/>
      <c r="EA408" s="3"/>
      <c r="EB408" s="3"/>
      <c r="EC408" s="3"/>
      <c r="ED408" s="3"/>
      <c r="EE408" s="3"/>
      <c r="EF408" s="3"/>
      <c r="EG408" s="3"/>
      <c r="EH408" s="3"/>
      <c r="EI408" s="3"/>
      <c r="EJ408" s="3"/>
      <c r="EK408" s="3"/>
      <c r="EL408" s="3"/>
      <c r="EM408" s="3"/>
      <c r="EN408" s="3"/>
      <c r="EO408" s="3"/>
      <c r="EP408" s="3"/>
      <c r="EQ408" s="3"/>
      <c r="ER408" s="3"/>
      <c r="ES408" s="3"/>
      <c r="ET408" s="3"/>
      <c r="EU408" s="3"/>
      <c r="EV408" s="3"/>
      <c r="EW408" s="3"/>
      <c r="EX408" s="3"/>
      <c r="EY408" s="3"/>
      <c r="EZ408" s="3"/>
      <c r="FA408" s="3"/>
      <c r="FB408" s="3"/>
      <c r="FC408" s="3"/>
      <c r="FD408" s="3"/>
      <c r="FE408" s="3"/>
      <c r="FF408" s="3"/>
      <c r="FG408" s="3"/>
      <c r="FH408" s="3"/>
      <c r="FI408" s="3"/>
      <c r="FJ408" s="3"/>
      <c r="FK408" s="3"/>
      <c r="FL408" s="3"/>
      <c r="FM408" s="3"/>
      <c r="FN408" s="3"/>
      <c r="FO408" s="3"/>
      <c r="FP408" s="3"/>
      <c r="FQ408" s="3"/>
      <c r="FR408" s="3"/>
      <c r="FS408" s="3"/>
      <c r="FT408" s="3"/>
      <c r="FU408" s="3"/>
      <c r="FV408" s="3"/>
      <c r="FW408" s="3"/>
      <c r="FX408" s="3"/>
      <c r="FY408" s="3"/>
      <c r="FZ408" s="3"/>
      <c r="GA408" s="3"/>
      <c r="GB408" s="3"/>
      <c r="GC408" s="3"/>
      <c r="GD408" s="3"/>
      <c r="GE408" s="3"/>
      <c r="GF408" s="3"/>
      <c r="GG408" s="3"/>
      <c r="GH408" s="3"/>
      <c r="GI408" s="3"/>
      <c r="GJ408" s="3"/>
      <c r="GK408" s="3"/>
      <c r="GL408" s="3"/>
      <c r="GM408" s="3"/>
      <c r="GN408" s="3"/>
      <c r="GO408" s="3"/>
      <c r="GP408" s="3"/>
      <c r="GQ408" s="3"/>
      <c r="GR408" s="3"/>
      <c r="GS408" s="3"/>
      <c r="GT408" s="3"/>
      <c r="GU408" s="3"/>
      <c r="GV408" s="3"/>
      <c r="GW408" s="3"/>
      <c r="GX408" s="3">
        <v>0</v>
      </c>
    </row>
    <row r="410" spans="1:206" x14ac:dyDescent="0.2">
      <c r="A410" s="4">
        <v>50</v>
      </c>
      <c r="B410" s="4">
        <v>0</v>
      </c>
      <c r="C410" s="4">
        <v>0</v>
      </c>
      <c r="D410" s="4">
        <v>1</v>
      </c>
      <c r="E410" s="4">
        <v>201</v>
      </c>
      <c r="F410" s="4">
        <f>ROUND(Source!O408,O410)</f>
        <v>228884.38</v>
      </c>
      <c r="G410" s="4" t="s">
        <v>46</v>
      </c>
      <c r="H410" s="4" t="s">
        <v>47</v>
      </c>
      <c r="I410" s="4"/>
      <c r="J410" s="4"/>
      <c r="K410" s="4">
        <v>201</v>
      </c>
      <c r="L410" s="4">
        <v>1</v>
      </c>
      <c r="M410" s="4">
        <v>3</v>
      </c>
      <c r="N410" s="4" t="s">
        <v>3</v>
      </c>
      <c r="O410" s="4">
        <v>2</v>
      </c>
      <c r="P410" s="4"/>
      <c r="Q410" s="4"/>
      <c r="R410" s="4"/>
      <c r="S410" s="4"/>
      <c r="T410" s="4"/>
      <c r="U410" s="4"/>
      <c r="V410" s="4"/>
      <c r="W410" s="4">
        <v>122148.65</v>
      </c>
      <c r="X410" s="4">
        <v>1</v>
      </c>
      <c r="Y410" s="4">
        <v>122148.65</v>
      </c>
      <c r="Z410" s="4"/>
      <c r="AA410" s="4"/>
      <c r="AB410" s="4"/>
    </row>
    <row r="411" spans="1:206" x14ac:dyDescent="0.2">
      <c r="A411" s="4">
        <v>50</v>
      </c>
      <c r="B411" s="4">
        <v>0</v>
      </c>
      <c r="C411" s="4">
        <v>0</v>
      </c>
      <c r="D411" s="4">
        <v>1</v>
      </c>
      <c r="E411" s="4">
        <v>202</v>
      </c>
      <c r="F411" s="4">
        <f>ROUND(Source!P408,O411)</f>
        <v>3929.04</v>
      </c>
      <c r="G411" s="4" t="s">
        <v>48</v>
      </c>
      <c r="H411" s="4" t="s">
        <v>49</v>
      </c>
      <c r="I411" s="4"/>
      <c r="J411" s="4"/>
      <c r="K411" s="4">
        <v>202</v>
      </c>
      <c r="L411" s="4">
        <v>2</v>
      </c>
      <c r="M411" s="4">
        <v>3</v>
      </c>
      <c r="N411" s="4" t="s">
        <v>3</v>
      </c>
      <c r="O411" s="4">
        <v>2</v>
      </c>
      <c r="P411" s="4"/>
      <c r="Q411" s="4"/>
      <c r="R411" s="4"/>
      <c r="S411" s="4"/>
      <c r="T411" s="4"/>
      <c r="U411" s="4"/>
      <c r="V411" s="4"/>
      <c r="W411" s="4">
        <v>1038.3699999999999</v>
      </c>
      <c r="X411" s="4">
        <v>1</v>
      </c>
      <c r="Y411" s="4">
        <v>1038.3699999999999</v>
      </c>
      <c r="Z411" s="4"/>
      <c r="AA411" s="4"/>
      <c r="AB411" s="4"/>
    </row>
    <row r="412" spans="1:206" x14ac:dyDescent="0.2">
      <c r="A412" s="4">
        <v>50</v>
      </c>
      <c r="B412" s="4">
        <v>0</v>
      </c>
      <c r="C412" s="4">
        <v>0</v>
      </c>
      <c r="D412" s="4">
        <v>1</v>
      </c>
      <c r="E412" s="4">
        <v>222</v>
      </c>
      <c r="F412" s="4">
        <f>ROUND(Source!AO408,O412)</f>
        <v>0</v>
      </c>
      <c r="G412" s="4" t="s">
        <v>50</v>
      </c>
      <c r="H412" s="4" t="s">
        <v>51</v>
      </c>
      <c r="I412" s="4"/>
      <c r="J412" s="4"/>
      <c r="K412" s="4">
        <v>222</v>
      </c>
      <c r="L412" s="4">
        <v>3</v>
      </c>
      <c r="M412" s="4">
        <v>3</v>
      </c>
      <c r="N412" s="4" t="s">
        <v>3</v>
      </c>
      <c r="O412" s="4">
        <v>2</v>
      </c>
      <c r="P412" s="4"/>
      <c r="Q412" s="4"/>
      <c r="R412" s="4"/>
      <c r="S412" s="4"/>
      <c r="T412" s="4"/>
      <c r="U412" s="4"/>
      <c r="V412" s="4"/>
      <c r="W412" s="4">
        <v>0</v>
      </c>
      <c r="X412" s="4">
        <v>1</v>
      </c>
      <c r="Y412" s="4">
        <v>0</v>
      </c>
      <c r="Z412" s="4"/>
      <c r="AA412" s="4"/>
      <c r="AB412" s="4"/>
    </row>
    <row r="413" spans="1:206" x14ac:dyDescent="0.2">
      <c r="A413" s="4">
        <v>50</v>
      </c>
      <c r="B413" s="4">
        <v>0</v>
      </c>
      <c r="C413" s="4">
        <v>0</v>
      </c>
      <c r="D413" s="4">
        <v>1</v>
      </c>
      <c r="E413" s="4">
        <v>225</v>
      </c>
      <c r="F413" s="4">
        <f>ROUND(Source!AV408,O413)</f>
        <v>3929.04</v>
      </c>
      <c r="G413" s="4" t="s">
        <v>52</v>
      </c>
      <c r="H413" s="4" t="s">
        <v>53</v>
      </c>
      <c r="I413" s="4"/>
      <c r="J413" s="4"/>
      <c r="K413" s="4">
        <v>225</v>
      </c>
      <c r="L413" s="4">
        <v>4</v>
      </c>
      <c r="M413" s="4">
        <v>3</v>
      </c>
      <c r="N413" s="4" t="s">
        <v>3</v>
      </c>
      <c r="O413" s="4">
        <v>2</v>
      </c>
      <c r="P413" s="4"/>
      <c r="Q413" s="4"/>
      <c r="R413" s="4"/>
      <c r="S413" s="4"/>
      <c r="T413" s="4"/>
      <c r="U413" s="4"/>
      <c r="V413" s="4"/>
      <c r="W413" s="4">
        <v>1038.3699999999999</v>
      </c>
      <c r="X413" s="4">
        <v>1</v>
      </c>
      <c r="Y413" s="4">
        <v>1038.3699999999999</v>
      </c>
      <c r="Z413" s="4"/>
      <c r="AA413" s="4"/>
      <c r="AB413" s="4"/>
    </row>
    <row r="414" spans="1:206" x14ac:dyDescent="0.2">
      <c r="A414" s="4">
        <v>50</v>
      </c>
      <c r="B414" s="4">
        <v>0</v>
      </c>
      <c r="C414" s="4">
        <v>0</v>
      </c>
      <c r="D414" s="4">
        <v>1</v>
      </c>
      <c r="E414" s="4">
        <v>226</v>
      </c>
      <c r="F414" s="4">
        <f>ROUND(Source!AW408,O414)</f>
        <v>3929.04</v>
      </c>
      <c r="G414" s="4" t="s">
        <v>54</v>
      </c>
      <c r="H414" s="4" t="s">
        <v>55</v>
      </c>
      <c r="I414" s="4"/>
      <c r="J414" s="4"/>
      <c r="K414" s="4">
        <v>226</v>
      </c>
      <c r="L414" s="4">
        <v>5</v>
      </c>
      <c r="M414" s="4">
        <v>3</v>
      </c>
      <c r="N414" s="4" t="s">
        <v>3</v>
      </c>
      <c r="O414" s="4">
        <v>2</v>
      </c>
      <c r="P414" s="4"/>
      <c r="Q414" s="4"/>
      <c r="R414" s="4"/>
      <c r="S414" s="4"/>
      <c r="T414" s="4"/>
      <c r="U414" s="4"/>
      <c r="V414" s="4"/>
      <c r="W414" s="4">
        <v>1038.3699999999999</v>
      </c>
      <c r="X414" s="4">
        <v>1</v>
      </c>
      <c r="Y414" s="4">
        <v>1038.3699999999999</v>
      </c>
      <c r="Z414" s="4"/>
      <c r="AA414" s="4"/>
      <c r="AB414" s="4"/>
    </row>
    <row r="415" spans="1:206" x14ac:dyDescent="0.2">
      <c r="A415" s="4">
        <v>50</v>
      </c>
      <c r="B415" s="4">
        <v>0</v>
      </c>
      <c r="C415" s="4">
        <v>0</v>
      </c>
      <c r="D415" s="4">
        <v>1</v>
      </c>
      <c r="E415" s="4">
        <v>227</v>
      </c>
      <c r="F415" s="4">
        <f>ROUND(Source!AX408,O415)</f>
        <v>0</v>
      </c>
      <c r="G415" s="4" t="s">
        <v>56</v>
      </c>
      <c r="H415" s="4" t="s">
        <v>57</v>
      </c>
      <c r="I415" s="4"/>
      <c r="J415" s="4"/>
      <c r="K415" s="4">
        <v>227</v>
      </c>
      <c r="L415" s="4">
        <v>6</v>
      </c>
      <c r="M415" s="4">
        <v>3</v>
      </c>
      <c r="N415" s="4" t="s">
        <v>3</v>
      </c>
      <c r="O415" s="4">
        <v>2</v>
      </c>
      <c r="P415" s="4"/>
      <c r="Q415" s="4"/>
      <c r="R415" s="4"/>
      <c r="S415" s="4"/>
      <c r="T415" s="4"/>
      <c r="U415" s="4"/>
      <c r="V415" s="4"/>
      <c r="W415" s="4">
        <v>0</v>
      </c>
      <c r="X415" s="4">
        <v>1</v>
      </c>
      <c r="Y415" s="4">
        <v>0</v>
      </c>
      <c r="Z415" s="4"/>
      <c r="AA415" s="4"/>
      <c r="AB415" s="4"/>
    </row>
    <row r="416" spans="1:206" x14ac:dyDescent="0.2">
      <c r="A416" s="4">
        <v>50</v>
      </c>
      <c r="B416" s="4">
        <v>0</v>
      </c>
      <c r="C416" s="4">
        <v>0</v>
      </c>
      <c r="D416" s="4">
        <v>1</v>
      </c>
      <c r="E416" s="4">
        <v>228</v>
      </c>
      <c r="F416" s="4">
        <f>ROUND(Source!AY408,O416)</f>
        <v>3929.04</v>
      </c>
      <c r="G416" s="4" t="s">
        <v>58</v>
      </c>
      <c r="H416" s="4" t="s">
        <v>59</v>
      </c>
      <c r="I416" s="4"/>
      <c r="J416" s="4"/>
      <c r="K416" s="4">
        <v>228</v>
      </c>
      <c r="L416" s="4">
        <v>7</v>
      </c>
      <c r="M416" s="4">
        <v>3</v>
      </c>
      <c r="N416" s="4" t="s">
        <v>3</v>
      </c>
      <c r="O416" s="4">
        <v>2</v>
      </c>
      <c r="P416" s="4"/>
      <c r="Q416" s="4"/>
      <c r="R416" s="4"/>
      <c r="S416" s="4"/>
      <c r="T416" s="4"/>
      <c r="U416" s="4"/>
      <c r="V416" s="4"/>
      <c r="W416" s="4">
        <v>1038.3699999999999</v>
      </c>
      <c r="X416" s="4">
        <v>1</v>
      </c>
      <c r="Y416" s="4">
        <v>1038.3699999999999</v>
      </c>
      <c r="Z416" s="4"/>
      <c r="AA416" s="4"/>
      <c r="AB416" s="4"/>
    </row>
    <row r="417" spans="1:28" x14ac:dyDescent="0.2">
      <c r="A417" s="4">
        <v>50</v>
      </c>
      <c r="B417" s="4">
        <v>0</v>
      </c>
      <c r="C417" s="4">
        <v>0</v>
      </c>
      <c r="D417" s="4">
        <v>1</v>
      </c>
      <c r="E417" s="4">
        <v>216</v>
      </c>
      <c r="F417" s="4">
        <f>ROUND(Source!AP408,O417)</f>
        <v>0</v>
      </c>
      <c r="G417" s="4" t="s">
        <v>60</v>
      </c>
      <c r="H417" s="4" t="s">
        <v>61</v>
      </c>
      <c r="I417" s="4"/>
      <c r="J417" s="4"/>
      <c r="K417" s="4">
        <v>216</v>
      </c>
      <c r="L417" s="4">
        <v>8</v>
      </c>
      <c r="M417" s="4">
        <v>3</v>
      </c>
      <c r="N417" s="4" t="s">
        <v>3</v>
      </c>
      <c r="O417" s="4">
        <v>2</v>
      </c>
      <c r="P417" s="4"/>
      <c r="Q417" s="4"/>
      <c r="R417" s="4"/>
      <c r="S417" s="4"/>
      <c r="T417" s="4"/>
      <c r="U417" s="4"/>
      <c r="V417" s="4"/>
      <c r="W417" s="4">
        <v>0</v>
      </c>
      <c r="X417" s="4">
        <v>1</v>
      </c>
      <c r="Y417" s="4">
        <v>0</v>
      </c>
      <c r="Z417" s="4"/>
      <c r="AA417" s="4"/>
      <c r="AB417" s="4"/>
    </row>
    <row r="418" spans="1:28" x14ac:dyDescent="0.2">
      <c r="A418" s="4">
        <v>50</v>
      </c>
      <c r="B418" s="4">
        <v>0</v>
      </c>
      <c r="C418" s="4">
        <v>0</v>
      </c>
      <c r="D418" s="4">
        <v>1</v>
      </c>
      <c r="E418" s="4">
        <v>223</v>
      </c>
      <c r="F418" s="4">
        <f>ROUND(Source!AQ408,O418)</f>
        <v>0</v>
      </c>
      <c r="G418" s="4" t="s">
        <v>62</v>
      </c>
      <c r="H418" s="4" t="s">
        <v>63</v>
      </c>
      <c r="I418" s="4"/>
      <c r="J418" s="4"/>
      <c r="K418" s="4">
        <v>223</v>
      </c>
      <c r="L418" s="4">
        <v>9</v>
      </c>
      <c r="M418" s="4">
        <v>3</v>
      </c>
      <c r="N418" s="4" t="s">
        <v>3</v>
      </c>
      <c r="O418" s="4">
        <v>2</v>
      </c>
      <c r="P418" s="4"/>
      <c r="Q418" s="4"/>
      <c r="R418" s="4"/>
      <c r="S418" s="4"/>
      <c r="T418" s="4"/>
      <c r="U418" s="4"/>
      <c r="V418" s="4"/>
      <c r="W418" s="4">
        <v>0</v>
      </c>
      <c r="X418" s="4">
        <v>1</v>
      </c>
      <c r="Y418" s="4">
        <v>0</v>
      </c>
      <c r="Z418" s="4"/>
      <c r="AA418" s="4"/>
      <c r="AB418" s="4"/>
    </row>
    <row r="419" spans="1:28" x14ac:dyDescent="0.2">
      <c r="A419" s="4">
        <v>50</v>
      </c>
      <c r="B419" s="4">
        <v>0</v>
      </c>
      <c r="C419" s="4">
        <v>0</v>
      </c>
      <c r="D419" s="4">
        <v>1</v>
      </c>
      <c r="E419" s="4">
        <v>229</v>
      </c>
      <c r="F419" s="4">
        <f>ROUND(Source!AZ408,O419)</f>
        <v>0</v>
      </c>
      <c r="G419" s="4" t="s">
        <v>64</v>
      </c>
      <c r="H419" s="4" t="s">
        <v>65</v>
      </c>
      <c r="I419" s="4"/>
      <c r="J419" s="4"/>
      <c r="K419" s="4">
        <v>229</v>
      </c>
      <c r="L419" s="4">
        <v>10</v>
      </c>
      <c r="M419" s="4">
        <v>3</v>
      </c>
      <c r="N419" s="4" t="s">
        <v>3</v>
      </c>
      <c r="O419" s="4">
        <v>2</v>
      </c>
      <c r="P419" s="4"/>
      <c r="Q419" s="4"/>
      <c r="R419" s="4"/>
      <c r="S419" s="4"/>
      <c r="T419" s="4"/>
      <c r="U419" s="4"/>
      <c r="V419" s="4"/>
      <c r="W419" s="4">
        <v>0</v>
      </c>
      <c r="X419" s="4">
        <v>1</v>
      </c>
      <c r="Y419" s="4">
        <v>0</v>
      </c>
      <c r="Z419" s="4"/>
      <c r="AA419" s="4"/>
      <c r="AB419" s="4"/>
    </row>
    <row r="420" spans="1:28" x14ac:dyDescent="0.2">
      <c r="A420" s="4">
        <v>50</v>
      </c>
      <c r="B420" s="4">
        <v>0</v>
      </c>
      <c r="C420" s="4">
        <v>0</v>
      </c>
      <c r="D420" s="4">
        <v>1</v>
      </c>
      <c r="E420" s="4">
        <v>203</v>
      </c>
      <c r="F420" s="4">
        <f>ROUND(Source!Q408,O420)</f>
        <v>17267.400000000001</v>
      </c>
      <c r="G420" s="4" t="s">
        <v>66</v>
      </c>
      <c r="H420" s="4" t="s">
        <v>67</v>
      </c>
      <c r="I420" s="4"/>
      <c r="J420" s="4"/>
      <c r="K420" s="4">
        <v>203</v>
      </c>
      <c r="L420" s="4">
        <v>11</v>
      </c>
      <c r="M420" s="4">
        <v>3</v>
      </c>
      <c r="N420" s="4" t="s">
        <v>3</v>
      </c>
      <c r="O420" s="4">
        <v>2</v>
      </c>
      <c r="P420" s="4"/>
      <c r="Q420" s="4"/>
      <c r="R420" s="4"/>
      <c r="S420" s="4"/>
      <c r="T420" s="4"/>
      <c r="U420" s="4"/>
      <c r="V420" s="4"/>
      <c r="W420" s="4">
        <v>521.20000000000005</v>
      </c>
      <c r="X420" s="4">
        <v>1</v>
      </c>
      <c r="Y420" s="4">
        <v>521.20000000000005</v>
      </c>
      <c r="Z420" s="4"/>
      <c r="AA420" s="4"/>
      <c r="AB420" s="4"/>
    </row>
    <row r="421" spans="1:28" x14ac:dyDescent="0.2">
      <c r="A421" s="4">
        <v>50</v>
      </c>
      <c r="B421" s="4">
        <v>0</v>
      </c>
      <c r="C421" s="4">
        <v>0</v>
      </c>
      <c r="D421" s="4">
        <v>1</v>
      </c>
      <c r="E421" s="4">
        <v>231</v>
      </c>
      <c r="F421" s="4">
        <f>ROUND(Source!BB408,O421)</f>
        <v>0</v>
      </c>
      <c r="G421" s="4" t="s">
        <v>68</v>
      </c>
      <c r="H421" s="4" t="s">
        <v>69</v>
      </c>
      <c r="I421" s="4"/>
      <c r="J421" s="4"/>
      <c r="K421" s="4">
        <v>231</v>
      </c>
      <c r="L421" s="4">
        <v>12</v>
      </c>
      <c r="M421" s="4">
        <v>3</v>
      </c>
      <c r="N421" s="4" t="s">
        <v>3</v>
      </c>
      <c r="O421" s="4">
        <v>2</v>
      </c>
      <c r="P421" s="4"/>
      <c r="Q421" s="4"/>
      <c r="R421" s="4"/>
      <c r="S421" s="4"/>
      <c r="T421" s="4"/>
      <c r="U421" s="4"/>
      <c r="V421" s="4"/>
      <c r="W421" s="4">
        <v>0</v>
      </c>
      <c r="X421" s="4">
        <v>1</v>
      </c>
      <c r="Y421" s="4">
        <v>0</v>
      </c>
      <c r="Z421" s="4"/>
      <c r="AA421" s="4"/>
      <c r="AB421" s="4"/>
    </row>
    <row r="422" spans="1:28" x14ac:dyDescent="0.2">
      <c r="A422" s="4">
        <v>50</v>
      </c>
      <c r="B422" s="4">
        <v>0</v>
      </c>
      <c r="C422" s="4">
        <v>0</v>
      </c>
      <c r="D422" s="4">
        <v>1</v>
      </c>
      <c r="E422" s="4">
        <v>204</v>
      </c>
      <c r="F422" s="4">
        <f>ROUND(Source!R408,O422)</f>
        <v>10812.81</v>
      </c>
      <c r="G422" s="4" t="s">
        <v>70</v>
      </c>
      <c r="H422" s="4" t="s">
        <v>71</v>
      </c>
      <c r="I422" s="4"/>
      <c r="J422" s="4"/>
      <c r="K422" s="4">
        <v>204</v>
      </c>
      <c r="L422" s="4">
        <v>13</v>
      </c>
      <c r="M422" s="4">
        <v>3</v>
      </c>
      <c r="N422" s="4" t="s">
        <v>3</v>
      </c>
      <c r="O422" s="4">
        <v>2</v>
      </c>
      <c r="P422" s="4"/>
      <c r="Q422" s="4"/>
      <c r="R422" s="4"/>
      <c r="S422" s="4"/>
      <c r="T422" s="4"/>
      <c r="U422" s="4"/>
      <c r="V422" s="4"/>
      <c r="W422" s="4">
        <v>194.79</v>
      </c>
      <c r="X422" s="4">
        <v>1</v>
      </c>
      <c r="Y422" s="4">
        <v>194.79</v>
      </c>
      <c r="Z422" s="4"/>
      <c r="AA422" s="4"/>
      <c r="AB422" s="4"/>
    </row>
    <row r="423" spans="1:28" x14ac:dyDescent="0.2">
      <c r="A423" s="4">
        <v>50</v>
      </c>
      <c r="B423" s="4">
        <v>0</v>
      </c>
      <c r="C423" s="4">
        <v>0</v>
      </c>
      <c r="D423" s="4">
        <v>1</v>
      </c>
      <c r="E423" s="4">
        <v>205</v>
      </c>
      <c r="F423" s="4">
        <f>ROUND(Source!S408,O423)</f>
        <v>207687.94</v>
      </c>
      <c r="G423" s="4" t="s">
        <v>72</v>
      </c>
      <c r="H423" s="4" t="s">
        <v>73</v>
      </c>
      <c r="I423" s="4"/>
      <c r="J423" s="4"/>
      <c r="K423" s="4">
        <v>205</v>
      </c>
      <c r="L423" s="4">
        <v>14</v>
      </c>
      <c r="M423" s="4">
        <v>3</v>
      </c>
      <c r="N423" s="4" t="s">
        <v>3</v>
      </c>
      <c r="O423" s="4">
        <v>2</v>
      </c>
      <c r="P423" s="4"/>
      <c r="Q423" s="4"/>
      <c r="R423" s="4"/>
      <c r="S423" s="4"/>
      <c r="T423" s="4"/>
      <c r="U423" s="4"/>
      <c r="V423" s="4"/>
      <c r="W423" s="4">
        <v>120589.08</v>
      </c>
      <c r="X423" s="4">
        <v>1</v>
      </c>
      <c r="Y423" s="4">
        <v>120589.08</v>
      </c>
      <c r="Z423" s="4"/>
      <c r="AA423" s="4"/>
      <c r="AB423" s="4"/>
    </row>
    <row r="424" spans="1:28" x14ac:dyDescent="0.2">
      <c r="A424" s="4">
        <v>50</v>
      </c>
      <c r="B424" s="4">
        <v>0</v>
      </c>
      <c r="C424" s="4">
        <v>0</v>
      </c>
      <c r="D424" s="4">
        <v>1</v>
      </c>
      <c r="E424" s="4">
        <v>232</v>
      </c>
      <c r="F424" s="4">
        <f>ROUND(Source!BC408,O424)</f>
        <v>0</v>
      </c>
      <c r="G424" s="4" t="s">
        <v>74</v>
      </c>
      <c r="H424" s="4" t="s">
        <v>75</v>
      </c>
      <c r="I424" s="4"/>
      <c r="J424" s="4"/>
      <c r="K424" s="4">
        <v>232</v>
      </c>
      <c r="L424" s="4">
        <v>15</v>
      </c>
      <c r="M424" s="4">
        <v>3</v>
      </c>
      <c r="N424" s="4" t="s">
        <v>3</v>
      </c>
      <c r="O424" s="4">
        <v>2</v>
      </c>
      <c r="P424" s="4"/>
      <c r="Q424" s="4"/>
      <c r="R424" s="4"/>
      <c r="S424" s="4"/>
      <c r="T424" s="4"/>
      <c r="U424" s="4"/>
      <c r="V424" s="4"/>
      <c r="W424" s="4">
        <v>0</v>
      </c>
      <c r="X424" s="4">
        <v>1</v>
      </c>
      <c r="Y424" s="4">
        <v>0</v>
      </c>
      <c r="Z424" s="4"/>
      <c r="AA424" s="4"/>
      <c r="AB424" s="4"/>
    </row>
    <row r="425" spans="1:28" x14ac:dyDescent="0.2">
      <c r="A425" s="4">
        <v>50</v>
      </c>
      <c r="B425" s="4">
        <v>0</v>
      </c>
      <c r="C425" s="4">
        <v>0</v>
      </c>
      <c r="D425" s="4">
        <v>1</v>
      </c>
      <c r="E425" s="4">
        <v>214</v>
      </c>
      <c r="F425" s="4">
        <f>ROUND(Source!AS408,O425)</f>
        <v>0</v>
      </c>
      <c r="G425" s="4" t="s">
        <v>76</v>
      </c>
      <c r="H425" s="4" t="s">
        <v>77</v>
      </c>
      <c r="I425" s="4"/>
      <c r="J425" s="4"/>
      <c r="K425" s="4">
        <v>214</v>
      </c>
      <c r="L425" s="4">
        <v>16</v>
      </c>
      <c r="M425" s="4">
        <v>3</v>
      </c>
      <c r="N425" s="4" t="s">
        <v>3</v>
      </c>
      <c r="O425" s="4">
        <v>2</v>
      </c>
      <c r="P425" s="4"/>
      <c r="Q425" s="4"/>
      <c r="R425" s="4"/>
      <c r="S425" s="4"/>
      <c r="T425" s="4"/>
      <c r="U425" s="4"/>
      <c r="V425" s="4"/>
      <c r="W425" s="4">
        <v>0</v>
      </c>
      <c r="X425" s="4">
        <v>1</v>
      </c>
      <c r="Y425" s="4">
        <v>0</v>
      </c>
      <c r="Z425" s="4"/>
      <c r="AA425" s="4"/>
      <c r="AB425" s="4"/>
    </row>
    <row r="426" spans="1:28" x14ac:dyDescent="0.2">
      <c r="A426" s="4">
        <v>50</v>
      </c>
      <c r="B426" s="4">
        <v>0</v>
      </c>
      <c r="C426" s="4">
        <v>0</v>
      </c>
      <c r="D426" s="4">
        <v>1</v>
      </c>
      <c r="E426" s="4">
        <v>215</v>
      </c>
      <c r="F426" s="4">
        <f>ROUND(Source!AT408,O426)</f>
        <v>0</v>
      </c>
      <c r="G426" s="4" t="s">
        <v>78</v>
      </c>
      <c r="H426" s="4" t="s">
        <v>79</v>
      </c>
      <c r="I426" s="4"/>
      <c r="J426" s="4"/>
      <c r="K426" s="4">
        <v>215</v>
      </c>
      <c r="L426" s="4">
        <v>17</v>
      </c>
      <c r="M426" s="4">
        <v>3</v>
      </c>
      <c r="N426" s="4" t="s">
        <v>3</v>
      </c>
      <c r="O426" s="4">
        <v>2</v>
      </c>
      <c r="P426" s="4"/>
      <c r="Q426" s="4"/>
      <c r="R426" s="4"/>
      <c r="S426" s="4"/>
      <c r="T426" s="4"/>
      <c r="U426" s="4"/>
      <c r="V426" s="4"/>
      <c r="W426" s="4">
        <v>0</v>
      </c>
      <c r="X426" s="4">
        <v>1</v>
      </c>
      <c r="Y426" s="4">
        <v>0</v>
      </c>
      <c r="Z426" s="4"/>
      <c r="AA426" s="4"/>
      <c r="AB426" s="4"/>
    </row>
    <row r="427" spans="1:28" x14ac:dyDescent="0.2">
      <c r="A427" s="4">
        <v>50</v>
      </c>
      <c r="B427" s="4">
        <v>0</v>
      </c>
      <c r="C427" s="4">
        <v>0</v>
      </c>
      <c r="D427" s="4">
        <v>1</v>
      </c>
      <c r="E427" s="4">
        <v>217</v>
      </c>
      <c r="F427" s="4">
        <f>ROUND(Source!AU408,O427)</f>
        <v>406712.56</v>
      </c>
      <c r="G427" s="4" t="s">
        <v>80</v>
      </c>
      <c r="H427" s="4" t="s">
        <v>81</v>
      </c>
      <c r="I427" s="4"/>
      <c r="J427" s="4"/>
      <c r="K427" s="4">
        <v>217</v>
      </c>
      <c r="L427" s="4">
        <v>18</v>
      </c>
      <c r="M427" s="4">
        <v>3</v>
      </c>
      <c r="N427" s="4" t="s">
        <v>3</v>
      </c>
      <c r="O427" s="4">
        <v>2</v>
      </c>
      <c r="P427" s="4"/>
      <c r="Q427" s="4"/>
      <c r="R427" s="4"/>
      <c r="S427" s="4"/>
      <c r="T427" s="4"/>
      <c r="U427" s="4"/>
      <c r="V427" s="4"/>
      <c r="W427" s="4">
        <v>218830.32</v>
      </c>
      <c r="X427" s="4">
        <v>1</v>
      </c>
      <c r="Y427" s="4">
        <v>218830.32</v>
      </c>
      <c r="Z427" s="4"/>
      <c r="AA427" s="4"/>
      <c r="AB427" s="4"/>
    </row>
    <row r="428" spans="1:28" x14ac:dyDescent="0.2">
      <c r="A428" s="4">
        <v>50</v>
      </c>
      <c r="B428" s="4">
        <v>0</v>
      </c>
      <c r="C428" s="4">
        <v>0</v>
      </c>
      <c r="D428" s="4">
        <v>1</v>
      </c>
      <c r="E428" s="4">
        <v>230</v>
      </c>
      <c r="F428" s="4">
        <f>ROUND(Source!BA408,O428)</f>
        <v>0</v>
      </c>
      <c r="G428" s="4" t="s">
        <v>82</v>
      </c>
      <c r="H428" s="4" t="s">
        <v>83</v>
      </c>
      <c r="I428" s="4"/>
      <c r="J428" s="4"/>
      <c r="K428" s="4">
        <v>230</v>
      </c>
      <c r="L428" s="4">
        <v>19</v>
      </c>
      <c r="M428" s="4">
        <v>3</v>
      </c>
      <c r="N428" s="4" t="s">
        <v>3</v>
      </c>
      <c r="O428" s="4">
        <v>2</v>
      </c>
      <c r="P428" s="4"/>
      <c r="Q428" s="4"/>
      <c r="R428" s="4"/>
      <c r="S428" s="4"/>
      <c r="T428" s="4"/>
      <c r="U428" s="4"/>
      <c r="V428" s="4"/>
      <c r="W428" s="4">
        <v>0</v>
      </c>
      <c r="X428" s="4">
        <v>1</v>
      </c>
      <c r="Y428" s="4">
        <v>0</v>
      </c>
      <c r="Z428" s="4"/>
      <c r="AA428" s="4"/>
      <c r="AB428" s="4"/>
    </row>
    <row r="429" spans="1:28" x14ac:dyDescent="0.2">
      <c r="A429" s="4">
        <v>50</v>
      </c>
      <c r="B429" s="4">
        <v>0</v>
      </c>
      <c r="C429" s="4">
        <v>0</v>
      </c>
      <c r="D429" s="4">
        <v>1</v>
      </c>
      <c r="E429" s="4">
        <v>206</v>
      </c>
      <c r="F429" s="4">
        <f>ROUND(Source!T408,O429)</f>
        <v>0</v>
      </c>
      <c r="G429" s="4" t="s">
        <v>84</v>
      </c>
      <c r="H429" s="4" t="s">
        <v>85</v>
      </c>
      <c r="I429" s="4"/>
      <c r="J429" s="4"/>
      <c r="K429" s="4">
        <v>206</v>
      </c>
      <c r="L429" s="4">
        <v>20</v>
      </c>
      <c r="M429" s="4">
        <v>3</v>
      </c>
      <c r="N429" s="4" t="s">
        <v>3</v>
      </c>
      <c r="O429" s="4">
        <v>2</v>
      </c>
      <c r="P429" s="4"/>
      <c r="Q429" s="4"/>
      <c r="R429" s="4"/>
      <c r="S429" s="4"/>
      <c r="T429" s="4"/>
      <c r="U429" s="4"/>
      <c r="V429" s="4"/>
      <c r="W429" s="4">
        <v>0</v>
      </c>
      <c r="X429" s="4">
        <v>1</v>
      </c>
      <c r="Y429" s="4">
        <v>0</v>
      </c>
      <c r="Z429" s="4"/>
      <c r="AA429" s="4"/>
      <c r="AB429" s="4"/>
    </row>
    <row r="430" spans="1:28" x14ac:dyDescent="0.2">
      <c r="A430" s="4">
        <v>50</v>
      </c>
      <c r="B430" s="4">
        <v>0</v>
      </c>
      <c r="C430" s="4">
        <v>0</v>
      </c>
      <c r="D430" s="4">
        <v>1</v>
      </c>
      <c r="E430" s="4">
        <v>207</v>
      </c>
      <c r="F430" s="4">
        <f>Source!U408</f>
        <v>310.31283999999999</v>
      </c>
      <c r="G430" s="4" t="s">
        <v>86</v>
      </c>
      <c r="H430" s="4" t="s">
        <v>87</v>
      </c>
      <c r="I430" s="4"/>
      <c r="J430" s="4"/>
      <c r="K430" s="4">
        <v>207</v>
      </c>
      <c r="L430" s="4">
        <v>21</v>
      </c>
      <c r="M430" s="4">
        <v>3</v>
      </c>
      <c r="N430" s="4" t="s">
        <v>3</v>
      </c>
      <c r="O430" s="4">
        <v>-1</v>
      </c>
      <c r="P430" s="4"/>
      <c r="Q430" s="4"/>
      <c r="R430" s="4"/>
      <c r="S430" s="4"/>
      <c r="T430" s="4"/>
      <c r="U430" s="4"/>
      <c r="V430" s="4"/>
      <c r="W430" s="4">
        <v>176.30184000000003</v>
      </c>
      <c r="X430" s="4">
        <v>1</v>
      </c>
      <c r="Y430" s="4">
        <v>176.30184000000003</v>
      </c>
      <c r="Z430" s="4"/>
      <c r="AA430" s="4"/>
      <c r="AB430" s="4"/>
    </row>
    <row r="431" spans="1:28" x14ac:dyDescent="0.2">
      <c r="A431" s="4">
        <v>50</v>
      </c>
      <c r="B431" s="4">
        <v>0</v>
      </c>
      <c r="C431" s="4">
        <v>0</v>
      </c>
      <c r="D431" s="4">
        <v>1</v>
      </c>
      <c r="E431" s="4">
        <v>208</v>
      </c>
      <c r="F431" s="4">
        <f>Source!V408</f>
        <v>0</v>
      </c>
      <c r="G431" s="4" t="s">
        <v>88</v>
      </c>
      <c r="H431" s="4" t="s">
        <v>89</v>
      </c>
      <c r="I431" s="4"/>
      <c r="J431" s="4"/>
      <c r="K431" s="4">
        <v>208</v>
      </c>
      <c r="L431" s="4">
        <v>22</v>
      </c>
      <c r="M431" s="4">
        <v>3</v>
      </c>
      <c r="N431" s="4" t="s">
        <v>3</v>
      </c>
      <c r="O431" s="4">
        <v>-1</v>
      </c>
      <c r="P431" s="4"/>
      <c r="Q431" s="4"/>
      <c r="R431" s="4"/>
      <c r="S431" s="4"/>
      <c r="T431" s="4"/>
      <c r="U431" s="4"/>
      <c r="V431" s="4"/>
      <c r="W431" s="4">
        <v>0</v>
      </c>
      <c r="X431" s="4">
        <v>1</v>
      </c>
      <c r="Y431" s="4">
        <v>0</v>
      </c>
      <c r="Z431" s="4"/>
      <c r="AA431" s="4"/>
      <c r="AB431" s="4"/>
    </row>
    <row r="432" spans="1:28" x14ac:dyDescent="0.2">
      <c r="A432" s="4">
        <v>50</v>
      </c>
      <c r="B432" s="4">
        <v>0</v>
      </c>
      <c r="C432" s="4">
        <v>0</v>
      </c>
      <c r="D432" s="4">
        <v>1</v>
      </c>
      <c r="E432" s="4">
        <v>209</v>
      </c>
      <c r="F432" s="4">
        <f>ROUND(Source!W408,O432)</f>
        <v>0</v>
      </c>
      <c r="G432" s="4" t="s">
        <v>90</v>
      </c>
      <c r="H432" s="4" t="s">
        <v>91</v>
      </c>
      <c r="I432" s="4"/>
      <c r="J432" s="4"/>
      <c r="K432" s="4">
        <v>209</v>
      </c>
      <c r="L432" s="4">
        <v>23</v>
      </c>
      <c r="M432" s="4">
        <v>3</v>
      </c>
      <c r="N432" s="4" t="s">
        <v>3</v>
      </c>
      <c r="O432" s="4">
        <v>2</v>
      </c>
      <c r="P432" s="4"/>
      <c r="Q432" s="4"/>
      <c r="R432" s="4"/>
      <c r="S432" s="4"/>
      <c r="T432" s="4"/>
      <c r="U432" s="4"/>
      <c r="V432" s="4"/>
      <c r="W432" s="4">
        <v>0</v>
      </c>
      <c r="X432" s="4">
        <v>1</v>
      </c>
      <c r="Y432" s="4">
        <v>0</v>
      </c>
      <c r="Z432" s="4"/>
      <c r="AA432" s="4"/>
      <c r="AB432" s="4"/>
    </row>
    <row r="433" spans="1:245" x14ac:dyDescent="0.2">
      <c r="A433" s="4">
        <v>50</v>
      </c>
      <c r="B433" s="4">
        <v>0</v>
      </c>
      <c r="C433" s="4">
        <v>0</v>
      </c>
      <c r="D433" s="4">
        <v>1</v>
      </c>
      <c r="E433" s="4">
        <v>233</v>
      </c>
      <c r="F433" s="4">
        <f>ROUND(Source!BD408,O433)</f>
        <v>0</v>
      </c>
      <c r="G433" s="4" t="s">
        <v>92</v>
      </c>
      <c r="H433" s="4" t="s">
        <v>93</v>
      </c>
      <c r="I433" s="4"/>
      <c r="J433" s="4"/>
      <c r="K433" s="4">
        <v>233</v>
      </c>
      <c r="L433" s="4">
        <v>24</v>
      </c>
      <c r="M433" s="4">
        <v>3</v>
      </c>
      <c r="N433" s="4" t="s">
        <v>3</v>
      </c>
      <c r="O433" s="4">
        <v>2</v>
      </c>
      <c r="P433" s="4"/>
      <c r="Q433" s="4"/>
      <c r="R433" s="4"/>
      <c r="S433" s="4"/>
      <c r="T433" s="4"/>
      <c r="U433" s="4"/>
      <c r="V433" s="4"/>
      <c r="W433" s="4">
        <v>0</v>
      </c>
      <c r="X433" s="4">
        <v>1</v>
      </c>
      <c r="Y433" s="4">
        <v>0</v>
      </c>
      <c r="Z433" s="4"/>
      <c r="AA433" s="4"/>
      <c r="AB433" s="4"/>
    </row>
    <row r="434" spans="1:245" x14ac:dyDescent="0.2">
      <c r="A434" s="4">
        <v>50</v>
      </c>
      <c r="B434" s="4">
        <v>0</v>
      </c>
      <c r="C434" s="4">
        <v>0</v>
      </c>
      <c r="D434" s="4">
        <v>1</v>
      </c>
      <c r="E434" s="4">
        <v>210</v>
      </c>
      <c r="F434" s="4">
        <f>ROUND(Source!X408,O434)</f>
        <v>145381.54999999999</v>
      </c>
      <c r="G434" s="4" t="s">
        <v>94</v>
      </c>
      <c r="H434" s="4" t="s">
        <v>95</v>
      </c>
      <c r="I434" s="4"/>
      <c r="J434" s="4"/>
      <c r="K434" s="4">
        <v>210</v>
      </c>
      <c r="L434" s="4">
        <v>25</v>
      </c>
      <c r="M434" s="4">
        <v>3</v>
      </c>
      <c r="N434" s="4" t="s">
        <v>3</v>
      </c>
      <c r="O434" s="4">
        <v>2</v>
      </c>
      <c r="P434" s="4"/>
      <c r="Q434" s="4"/>
      <c r="R434" s="4"/>
      <c r="S434" s="4"/>
      <c r="T434" s="4"/>
      <c r="U434" s="4"/>
      <c r="V434" s="4"/>
      <c r="W434" s="4">
        <v>84412.37</v>
      </c>
      <c r="X434" s="4">
        <v>1</v>
      </c>
      <c r="Y434" s="4">
        <v>84412.37</v>
      </c>
      <c r="Z434" s="4"/>
      <c r="AA434" s="4"/>
      <c r="AB434" s="4"/>
    </row>
    <row r="435" spans="1:245" x14ac:dyDescent="0.2">
      <c r="A435" s="4">
        <v>50</v>
      </c>
      <c r="B435" s="4">
        <v>0</v>
      </c>
      <c r="C435" s="4">
        <v>0</v>
      </c>
      <c r="D435" s="4">
        <v>1</v>
      </c>
      <c r="E435" s="4">
        <v>211</v>
      </c>
      <c r="F435" s="4">
        <f>ROUND(Source!Y408,O435)</f>
        <v>20768.8</v>
      </c>
      <c r="G435" s="4" t="s">
        <v>96</v>
      </c>
      <c r="H435" s="4" t="s">
        <v>97</v>
      </c>
      <c r="I435" s="4"/>
      <c r="J435" s="4"/>
      <c r="K435" s="4">
        <v>211</v>
      </c>
      <c r="L435" s="4">
        <v>26</v>
      </c>
      <c r="M435" s="4">
        <v>3</v>
      </c>
      <c r="N435" s="4" t="s">
        <v>3</v>
      </c>
      <c r="O435" s="4">
        <v>2</v>
      </c>
      <c r="P435" s="4"/>
      <c r="Q435" s="4"/>
      <c r="R435" s="4"/>
      <c r="S435" s="4"/>
      <c r="T435" s="4"/>
      <c r="U435" s="4"/>
      <c r="V435" s="4"/>
      <c r="W435" s="4">
        <v>12058.92</v>
      </c>
      <c r="X435" s="4">
        <v>1</v>
      </c>
      <c r="Y435" s="4">
        <v>12058.92</v>
      </c>
      <c r="Z435" s="4"/>
      <c r="AA435" s="4"/>
      <c r="AB435" s="4"/>
    </row>
    <row r="436" spans="1:245" x14ac:dyDescent="0.2">
      <c r="A436" s="4">
        <v>50</v>
      </c>
      <c r="B436" s="4">
        <v>0</v>
      </c>
      <c r="C436" s="4">
        <v>0</v>
      </c>
      <c r="D436" s="4">
        <v>1</v>
      </c>
      <c r="E436" s="4">
        <v>224</v>
      </c>
      <c r="F436" s="4">
        <f>ROUND(Source!AR408,O436)</f>
        <v>406712.56</v>
      </c>
      <c r="G436" s="4" t="s">
        <v>98</v>
      </c>
      <c r="H436" s="4" t="s">
        <v>99</v>
      </c>
      <c r="I436" s="4"/>
      <c r="J436" s="4"/>
      <c r="K436" s="4">
        <v>224</v>
      </c>
      <c r="L436" s="4">
        <v>27</v>
      </c>
      <c r="M436" s="4">
        <v>3</v>
      </c>
      <c r="N436" s="4" t="s">
        <v>3</v>
      </c>
      <c r="O436" s="4">
        <v>2</v>
      </c>
      <c r="P436" s="4"/>
      <c r="Q436" s="4"/>
      <c r="R436" s="4"/>
      <c r="S436" s="4"/>
      <c r="T436" s="4"/>
      <c r="U436" s="4"/>
      <c r="V436" s="4"/>
      <c r="W436" s="4">
        <v>218830.32</v>
      </c>
      <c r="X436" s="4">
        <v>1</v>
      </c>
      <c r="Y436" s="4">
        <v>218830.32</v>
      </c>
      <c r="Z436" s="4"/>
      <c r="AA436" s="4"/>
      <c r="AB436" s="4"/>
    </row>
    <row r="438" spans="1:245" x14ac:dyDescent="0.2">
      <c r="A438" s="1">
        <v>4</v>
      </c>
      <c r="B438" s="1">
        <v>1</v>
      </c>
      <c r="C438" s="1"/>
      <c r="D438" s="1">
        <f>ROW(A566)</f>
        <v>566</v>
      </c>
      <c r="E438" s="1"/>
      <c r="F438" s="1" t="s">
        <v>13</v>
      </c>
      <c r="G438" s="1" t="s">
        <v>317</v>
      </c>
      <c r="H438" s="1" t="s">
        <v>3</v>
      </c>
      <c r="I438" s="1">
        <v>0</v>
      </c>
      <c r="J438" s="1"/>
      <c r="K438" s="1">
        <v>0</v>
      </c>
      <c r="L438" s="1"/>
      <c r="M438" s="1" t="s">
        <v>3</v>
      </c>
      <c r="N438" s="1"/>
      <c r="O438" s="1"/>
      <c r="P438" s="1"/>
      <c r="Q438" s="1"/>
      <c r="R438" s="1"/>
      <c r="S438" s="1">
        <v>0</v>
      </c>
      <c r="T438" s="1"/>
      <c r="U438" s="1" t="s">
        <v>3</v>
      </c>
      <c r="V438" s="1">
        <v>0</v>
      </c>
      <c r="W438" s="1"/>
      <c r="X438" s="1"/>
      <c r="Y438" s="1"/>
      <c r="Z438" s="1"/>
      <c r="AA438" s="1"/>
      <c r="AB438" s="1" t="s">
        <v>3</v>
      </c>
      <c r="AC438" s="1" t="s">
        <v>3</v>
      </c>
      <c r="AD438" s="1" t="s">
        <v>3</v>
      </c>
      <c r="AE438" s="1" t="s">
        <v>3</v>
      </c>
      <c r="AF438" s="1" t="s">
        <v>3</v>
      </c>
      <c r="AG438" s="1" t="s">
        <v>3</v>
      </c>
      <c r="AH438" s="1"/>
      <c r="AI438" s="1"/>
      <c r="AJ438" s="1"/>
      <c r="AK438" s="1"/>
      <c r="AL438" s="1"/>
      <c r="AM438" s="1"/>
      <c r="AN438" s="1"/>
      <c r="AO438" s="1"/>
      <c r="AP438" s="1" t="s">
        <v>3</v>
      </c>
      <c r="AQ438" s="1" t="s">
        <v>3</v>
      </c>
      <c r="AR438" s="1" t="s">
        <v>3</v>
      </c>
      <c r="AS438" s="1"/>
      <c r="AT438" s="1"/>
      <c r="AU438" s="1"/>
      <c r="AV438" s="1"/>
      <c r="AW438" s="1"/>
      <c r="AX438" s="1"/>
      <c r="AY438" s="1"/>
      <c r="AZ438" s="1" t="s">
        <v>3</v>
      </c>
      <c r="BA438" s="1"/>
      <c r="BB438" s="1" t="s">
        <v>3</v>
      </c>
      <c r="BC438" s="1" t="s">
        <v>3</v>
      </c>
      <c r="BD438" s="1" t="s">
        <v>3</v>
      </c>
      <c r="BE438" s="1" t="s">
        <v>3</v>
      </c>
      <c r="BF438" s="1" t="s">
        <v>3</v>
      </c>
      <c r="BG438" s="1" t="s">
        <v>3</v>
      </c>
      <c r="BH438" s="1" t="s">
        <v>3</v>
      </c>
      <c r="BI438" s="1" t="s">
        <v>3</v>
      </c>
      <c r="BJ438" s="1" t="s">
        <v>3</v>
      </c>
      <c r="BK438" s="1" t="s">
        <v>3</v>
      </c>
      <c r="BL438" s="1" t="s">
        <v>3</v>
      </c>
      <c r="BM438" s="1" t="s">
        <v>3</v>
      </c>
      <c r="BN438" s="1" t="s">
        <v>3</v>
      </c>
      <c r="BO438" s="1" t="s">
        <v>3</v>
      </c>
      <c r="BP438" s="1" t="s">
        <v>3</v>
      </c>
      <c r="BQ438" s="1"/>
      <c r="BR438" s="1"/>
      <c r="BS438" s="1"/>
      <c r="BT438" s="1"/>
      <c r="BU438" s="1"/>
      <c r="BV438" s="1"/>
      <c r="BW438" s="1"/>
      <c r="BX438" s="1">
        <v>0</v>
      </c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>
        <v>0</v>
      </c>
    </row>
    <row r="440" spans="1:245" x14ac:dyDescent="0.2">
      <c r="A440" s="2">
        <v>52</v>
      </c>
      <c r="B440" s="2">
        <f t="shared" ref="B440:G440" si="352">B566</f>
        <v>1</v>
      </c>
      <c r="C440" s="2">
        <f t="shared" si="352"/>
        <v>4</v>
      </c>
      <c r="D440" s="2">
        <f t="shared" si="352"/>
        <v>438</v>
      </c>
      <c r="E440" s="2">
        <f t="shared" si="352"/>
        <v>0</v>
      </c>
      <c r="F440" s="2" t="str">
        <f t="shared" si="352"/>
        <v>Новый раздел</v>
      </c>
      <c r="G440" s="2" t="str">
        <f t="shared" si="352"/>
        <v>3. Вентиляция и кондиционирование</v>
      </c>
      <c r="H440" s="2"/>
      <c r="I440" s="2"/>
      <c r="J440" s="2"/>
      <c r="K440" s="2"/>
      <c r="L440" s="2"/>
      <c r="M440" s="2"/>
      <c r="N440" s="2"/>
      <c r="O440" s="2">
        <f t="shared" ref="O440:AT440" si="353">O566</f>
        <v>297310.62</v>
      </c>
      <c r="P440" s="2">
        <f t="shared" si="353"/>
        <v>6774.18</v>
      </c>
      <c r="Q440" s="2">
        <f t="shared" si="353"/>
        <v>9175.51</v>
      </c>
      <c r="R440" s="2">
        <f t="shared" si="353"/>
        <v>5557.99</v>
      </c>
      <c r="S440" s="2">
        <f t="shared" si="353"/>
        <v>281360.93</v>
      </c>
      <c r="T440" s="2">
        <f t="shared" si="353"/>
        <v>0</v>
      </c>
      <c r="U440" s="2">
        <f t="shared" si="353"/>
        <v>424.52</v>
      </c>
      <c r="V440" s="2">
        <f t="shared" si="353"/>
        <v>0</v>
      </c>
      <c r="W440" s="2">
        <f t="shared" si="353"/>
        <v>0</v>
      </c>
      <c r="X440" s="2">
        <f t="shared" si="353"/>
        <v>196952.66</v>
      </c>
      <c r="Y440" s="2">
        <f t="shared" si="353"/>
        <v>28136.1</v>
      </c>
      <c r="Z440" s="2">
        <f t="shared" si="353"/>
        <v>0</v>
      </c>
      <c r="AA440" s="2">
        <f t="shared" si="353"/>
        <v>0</v>
      </c>
      <c r="AB440" s="2">
        <f t="shared" si="353"/>
        <v>0</v>
      </c>
      <c r="AC440" s="2">
        <f t="shared" si="353"/>
        <v>0</v>
      </c>
      <c r="AD440" s="2">
        <f t="shared" si="353"/>
        <v>0</v>
      </c>
      <c r="AE440" s="2">
        <f t="shared" si="353"/>
        <v>0</v>
      </c>
      <c r="AF440" s="2">
        <f t="shared" si="353"/>
        <v>0</v>
      </c>
      <c r="AG440" s="2">
        <f t="shared" si="353"/>
        <v>0</v>
      </c>
      <c r="AH440" s="2">
        <f t="shared" si="353"/>
        <v>0</v>
      </c>
      <c r="AI440" s="2">
        <f t="shared" si="353"/>
        <v>0</v>
      </c>
      <c r="AJ440" s="2">
        <f t="shared" si="353"/>
        <v>0</v>
      </c>
      <c r="AK440" s="2">
        <f t="shared" si="353"/>
        <v>0</v>
      </c>
      <c r="AL440" s="2">
        <f t="shared" si="353"/>
        <v>0</v>
      </c>
      <c r="AM440" s="2">
        <f t="shared" si="353"/>
        <v>0</v>
      </c>
      <c r="AN440" s="2">
        <f t="shared" si="353"/>
        <v>0</v>
      </c>
      <c r="AO440" s="2">
        <f t="shared" si="353"/>
        <v>0</v>
      </c>
      <c r="AP440" s="2">
        <f t="shared" si="353"/>
        <v>0</v>
      </c>
      <c r="AQ440" s="2">
        <f t="shared" si="353"/>
        <v>0</v>
      </c>
      <c r="AR440" s="2">
        <f t="shared" si="353"/>
        <v>528402.02</v>
      </c>
      <c r="AS440" s="2">
        <f t="shared" si="353"/>
        <v>0</v>
      </c>
      <c r="AT440" s="2">
        <f t="shared" si="353"/>
        <v>0</v>
      </c>
      <c r="AU440" s="2">
        <f t="shared" ref="AU440:BZ440" si="354">AU566</f>
        <v>528402.02</v>
      </c>
      <c r="AV440" s="2">
        <f t="shared" si="354"/>
        <v>6774.18</v>
      </c>
      <c r="AW440" s="2">
        <f t="shared" si="354"/>
        <v>6774.18</v>
      </c>
      <c r="AX440" s="2">
        <f t="shared" si="354"/>
        <v>0</v>
      </c>
      <c r="AY440" s="2">
        <f t="shared" si="354"/>
        <v>6774.18</v>
      </c>
      <c r="AZ440" s="2">
        <f t="shared" si="354"/>
        <v>0</v>
      </c>
      <c r="BA440" s="2">
        <f t="shared" si="354"/>
        <v>0</v>
      </c>
      <c r="BB440" s="2">
        <f t="shared" si="354"/>
        <v>0</v>
      </c>
      <c r="BC440" s="2">
        <f t="shared" si="354"/>
        <v>0</v>
      </c>
      <c r="BD440" s="2">
        <f t="shared" si="354"/>
        <v>0</v>
      </c>
      <c r="BE440" s="2">
        <f t="shared" si="354"/>
        <v>0</v>
      </c>
      <c r="BF440" s="2">
        <f t="shared" si="354"/>
        <v>0</v>
      </c>
      <c r="BG440" s="2">
        <f t="shared" si="354"/>
        <v>0</v>
      </c>
      <c r="BH440" s="2">
        <f t="shared" si="354"/>
        <v>0</v>
      </c>
      <c r="BI440" s="2">
        <f t="shared" si="354"/>
        <v>0</v>
      </c>
      <c r="BJ440" s="2">
        <f t="shared" si="354"/>
        <v>0</v>
      </c>
      <c r="BK440" s="2">
        <f t="shared" si="354"/>
        <v>0</v>
      </c>
      <c r="BL440" s="2">
        <f t="shared" si="354"/>
        <v>0</v>
      </c>
      <c r="BM440" s="2">
        <f t="shared" si="354"/>
        <v>0</v>
      </c>
      <c r="BN440" s="2">
        <f t="shared" si="354"/>
        <v>0</v>
      </c>
      <c r="BO440" s="2">
        <f t="shared" si="354"/>
        <v>0</v>
      </c>
      <c r="BP440" s="2">
        <f t="shared" si="354"/>
        <v>0</v>
      </c>
      <c r="BQ440" s="2">
        <f t="shared" si="354"/>
        <v>0</v>
      </c>
      <c r="BR440" s="2">
        <f t="shared" si="354"/>
        <v>0</v>
      </c>
      <c r="BS440" s="2">
        <f t="shared" si="354"/>
        <v>0</v>
      </c>
      <c r="BT440" s="2">
        <f t="shared" si="354"/>
        <v>0</v>
      </c>
      <c r="BU440" s="2">
        <f t="shared" si="354"/>
        <v>0</v>
      </c>
      <c r="BV440" s="2">
        <f t="shared" si="354"/>
        <v>0</v>
      </c>
      <c r="BW440" s="2">
        <f t="shared" si="354"/>
        <v>0</v>
      </c>
      <c r="BX440" s="2">
        <f t="shared" si="354"/>
        <v>0</v>
      </c>
      <c r="BY440" s="2">
        <f t="shared" si="354"/>
        <v>0</v>
      </c>
      <c r="BZ440" s="2">
        <f t="shared" si="354"/>
        <v>0</v>
      </c>
      <c r="CA440" s="2">
        <f t="shared" ref="CA440:DF440" si="355">CA566</f>
        <v>0</v>
      </c>
      <c r="CB440" s="2">
        <f t="shared" si="355"/>
        <v>0</v>
      </c>
      <c r="CC440" s="2">
        <f t="shared" si="355"/>
        <v>0</v>
      </c>
      <c r="CD440" s="2">
        <f t="shared" si="355"/>
        <v>0</v>
      </c>
      <c r="CE440" s="2">
        <f t="shared" si="355"/>
        <v>0</v>
      </c>
      <c r="CF440" s="2">
        <f t="shared" si="355"/>
        <v>0</v>
      </c>
      <c r="CG440" s="2">
        <f t="shared" si="355"/>
        <v>0</v>
      </c>
      <c r="CH440" s="2">
        <f t="shared" si="355"/>
        <v>0</v>
      </c>
      <c r="CI440" s="2">
        <f t="shared" si="355"/>
        <v>0</v>
      </c>
      <c r="CJ440" s="2">
        <f t="shared" si="355"/>
        <v>0</v>
      </c>
      <c r="CK440" s="2">
        <f t="shared" si="355"/>
        <v>0</v>
      </c>
      <c r="CL440" s="2">
        <f t="shared" si="355"/>
        <v>0</v>
      </c>
      <c r="CM440" s="2">
        <f t="shared" si="355"/>
        <v>0</v>
      </c>
      <c r="CN440" s="2">
        <f t="shared" si="355"/>
        <v>0</v>
      </c>
      <c r="CO440" s="2">
        <f t="shared" si="355"/>
        <v>0</v>
      </c>
      <c r="CP440" s="2">
        <f t="shared" si="355"/>
        <v>0</v>
      </c>
      <c r="CQ440" s="2">
        <f t="shared" si="355"/>
        <v>0</v>
      </c>
      <c r="CR440" s="2">
        <f t="shared" si="355"/>
        <v>0</v>
      </c>
      <c r="CS440" s="2">
        <f t="shared" si="355"/>
        <v>0</v>
      </c>
      <c r="CT440" s="2">
        <f t="shared" si="355"/>
        <v>0</v>
      </c>
      <c r="CU440" s="2">
        <f t="shared" si="355"/>
        <v>0</v>
      </c>
      <c r="CV440" s="2">
        <f t="shared" si="355"/>
        <v>0</v>
      </c>
      <c r="CW440" s="2">
        <f t="shared" si="355"/>
        <v>0</v>
      </c>
      <c r="CX440" s="2">
        <f t="shared" si="355"/>
        <v>0</v>
      </c>
      <c r="CY440" s="2">
        <f t="shared" si="355"/>
        <v>0</v>
      </c>
      <c r="CZ440" s="2">
        <f t="shared" si="355"/>
        <v>0</v>
      </c>
      <c r="DA440" s="2">
        <f t="shared" si="355"/>
        <v>0</v>
      </c>
      <c r="DB440" s="2">
        <f t="shared" si="355"/>
        <v>0</v>
      </c>
      <c r="DC440" s="2">
        <f t="shared" si="355"/>
        <v>0</v>
      </c>
      <c r="DD440" s="2">
        <f t="shared" si="355"/>
        <v>0</v>
      </c>
      <c r="DE440" s="2">
        <f t="shared" si="355"/>
        <v>0</v>
      </c>
      <c r="DF440" s="2">
        <f t="shared" si="355"/>
        <v>0</v>
      </c>
      <c r="DG440" s="3">
        <f t="shared" ref="DG440:EL440" si="356">DG566</f>
        <v>0</v>
      </c>
      <c r="DH440" s="3">
        <f t="shared" si="356"/>
        <v>0</v>
      </c>
      <c r="DI440" s="3">
        <f t="shared" si="356"/>
        <v>0</v>
      </c>
      <c r="DJ440" s="3">
        <f t="shared" si="356"/>
        <v>0</v>
      </c>
      <c r="DK440" s="3">
        <f t="shared" si="356"/>
        <v>0</v>
      </c>
      <c r="DL440" s="3">
        <f t="shared" si="356"/>
        <v>0</v>
      </c>
      <c r="DM440" s="3">
        <f t="shared" si="356"/>
        <v>0</v>
      </c>
      <c r="DN440" s="3">
        <f t="shared" si="356"/>
        <v>0</v>
      </c>
      <c r="DO440" s="3">
        <f t="shared" si="356"/>
        <v>0</v>
      </c>
      <c r="DP440" s="3">
        <f t="shared" si="356"/>
        <v>0</v>
      </c>
      <c r="DQ440" s="3">
        <f t="shared" si="356"/>
        <v>0</v>
      </c>
      <c r="DR440" s="3">
        <f t="shared" si="356"/>
        <v>0</v>
      </c>
      <c r="DS440" s="3">
        <f t="shared" si="356"/>
        <v>0</v>
      </c>
      <c r="DT440" s="3">
        <f t="shared" si="356"/>
        <v>0</v>
      </c>
      <c r="DU440" s="3">
        <f t="shared" si="356"/>
        <v>0</v>
      </c>
      <c r="DV440" s="3">
        <f t="shared" si="356"/>
        <v>0</v>
      </c>
      <c r="DW440" s="3">
        <f t="shared" si="356"/>
        <v>0</v>
      </c>
      <c r="DX440" s="3">
        <f t="shared" si="356"/>
        <v>0</v>
      </c>
      <c r="DY440" s="3">
        <f t="shared" si="356"/>
        <v>0</v>
      </c>
      <c r="DZ440" s="3">
        <f t="shared" si="356"/>
        <v>0</v>
      </c>
      <c r="EA440" s="3">
        <f t="shared" si="356"/>
        <v>0</v>
      </c>
      <c r="EB440" s="3">
        <f t="shared" si="356"/>
        <v>0</v>
      </c>
      <c r="EC440" s="3">
        <f t="shared" si="356"/>
        <v>0</v>
      </c>
      <c r="ED440" s="3">
        <f t="shared" si="356"/>
        <v>0</v>
      </c>
      <c r="EE440" s="3">
        <f t="shared" si="356"/>
        <v>0</v>
      </c>
      <c r="EF440" s="3">
        <f t="shared" si="356"/>
        <v>0</v>
      </c>
      <c r="EG440" s="3">
        <f t="shared" si="356"/>
        <v>0</v>
      </c>
      <c r="EH440" s="3">
        <f t="shared" si="356"/>
        <v>0</v>
      </c>
      <c r="EI440" s="3">
        <f t="shared" si="356"/>
        <v>0</v>
      </c>
      <c r="EJ440" s="3">
        <f t="shared" si="356"/>
        <v>0</v>
      </c>
      <c r="EK440" s="3">
        <f t="shared" si="356"/>
        <v>0</v>
      </c>
      <c r="EL440" s="3">
        <f t="shared" si="356"/>
        <v>0</v>
      </c>
      <c r="EM440" s="3">
        <f t="shared" ref="EM440:FR440" si="357">EM566</f>
        <v>0</v>
      </c>
      <c r="EN440" s="3">
        <f t="shared" si="357"/>
        <v>0</v>
      </c>
      <c r="EO440" s="3">
        <f t="shared" si="357"/>
        <v>0</v>
      </c>
      <c r="EP440" s="3">
        <f t="shared" si="357"/>
        <v>0</v>
      </c>
      <c r="EQ440" s="3">
        <f t="shared" si="357"/>
        <v>0</v>
      </c>
      <c r="ER440" s="3">
        <f t="shared" si="357"/>
        <v>0</v>
      </c>
      <c r="ES440" s="3">
        <f t="shared" si="357"/>
        <v>0</v>
      </c>
      <c r="ET440" s="3">
        <f t="shared" si="357"/>
        <v>0</v>
      </c>
      <c r="EU440" s="3">
        <f t="shared" si="357"/>
        <v>0</v>
      </c>
      <c r="EV440" s="3">
        <f t="shared" si="357"/>
        <v>0</v>
      </c>
      <c r="EW440" s="3">
        <f t="shared" si="357"/>
        <v>0</v>
      </c>
      <c r="EX440" s="3">
        <f t="shared" si="357"/>
        <v>0</v>
      </c>
      <c r="EY440" s="3">
        <f t="shared" si="357"/>
        <v>0</v>
      </c>
      <c r="EZ440" s="3">
        <f t="shared" si="357"/>
        <v>0</v>
      </c>
      <c r="FA440" s="3">
        <f t="shared" si="357"/>
        <v>0</v>
      </c>
      <c r="FB440" s="3">
        <f t="shared" si="357"/>
        <v>0</v>
      </c>
      <c r="FC440" s="3">
        <f t="shared" si="357"/>
        <v>0</v>
      </c>
      <c r="FD440" s="3">
        <f t="shared" si="357"/>
        <v>0</v>
      </c>
      <c r="FE440" s="3">
        <f t="shared" si="357"/>
        <v>0</v>
      </c>
      <c r="FF440" s="3">
        <f t="shared" si="357"/>
        <v>0</v>
      </c>
      <c r="FG440" s="3">
        <f t="shared" si="357"/>
        <v>0</v>
      </c>
      <c r="FH440" s="3">
        <f t="shared" si="357"/>
        <v>0</v>
      </c>
      <c r="FI440" s="3">
        <f t="shared" si="357"/>
        <v>0</v>
      </c>
      <c r="FJ440" s="3">
        <f t="shared" si="357"/>
        <v>0</v>
      </c>
      <c r="FK440" s="3">
        <f t="shared" si="357"/>
        <v>0</v>
      </c>
      <c r="FL440" s="3">
        <f t="shared" si="357"/>
        <v>0</v>
      </c>
      <c r="FM440" s="3">
        <f t="shared" si="357"/>
        <v>0</v>
      </c>
      <c r="FN440" s="3">
        <f t="shared" si="357"/>
        <v>0</v>
      </c>
      <c r="FO440" s="3">
        <f t="shared" si="357"/>
        <v>0</v>
      </c>
      <c r="FP440" s="3">
        <f t="shared" si="357"/>
        <v>0</v>
      </c>
      <c r="FQ440" s="3">
        <f t="shared" si="357"/>
        <v>0</v>
      </c>
      <c r="FR440" s="3">
        <f t="shared" si="357"/>
        <v>0</v>
      </c>
      <c r="FS440" s="3">
        <f t="shared" ref="FS440:GX440" si="358">FS566</f>
        <v>0</v>
      </c>
      <c r="FT440" s="3">
        <f t="shared" si="358"/>
        <v>0</v>
      </c>
      <c r="FU440" s="3">
        <f t="shared" si="358"/>
        <v>0</v>
      </c>
      <c r="FV440" s="3">
        <f t="shared" si="358"/>
        <v>0</v>
      </c>
      <c r="FW440" s="3">
        <f t="shared" si="358"/>
        <v>0</v>
      </c>
      <c r="FX440" s="3">
        <f t="shared" si="358"/>
        <v>0</v>
      </c>
      <c r="FY440" s="3">
        <f t="shared" si="358"/>
        <v>0</v>
      </c>
      <c r="FZ440" s="3">
        <f t="shared" si="358"/>
        <v>0</v>
      </c>
      <c r="GA440" s="3">
        <f t="shared" si="358"/>
        <v>0</v>
      </c>
      <c r="GB440" s="3">
        <f t="shared" si="358"/>
        <v>0</v>
      </c>
      <c r="GC440" s="3">
        <f t="shared" si="358"/>
        <v>0</v>
      </c>
      <c r="GD440" s="3">
        <f t="shared" si="358"/>
        <v>0</v>
      </c>
      <c r="GE440" s="3">
        <f t="shared" si="358"/>
        <v>0</v>
      </c>
      <c r="GF440" s="3">
        <f t="shared" si="358"/>
        <v>0</v>
      </c>
      <c r="GG440" s="3">
        <f t="shared" si="358"/>
        <v>0</v>
      </c>
      <c r="GH440" s="3">
        <f t="shared" si="358"/>
        <v>0</v>
      </c>
      <c r="GI440" s="3">
        <f t="shared" si="358"/>
        <v>0</v>
      </c>
      <c r="GJ440" s="3">
        <f t="shared" si="358"/>
        <v>0</v>
      </c>
      <c r="GK440" s="3">
        <f t="shared" si="358"/>
        <v>0</v>
      </c>
      <c r="GL440" s="3">
        <f t="shared" si="358"/>
        <v>0</v>
      </c>
      <c r="GM440" s="3">
        <f t="shared" si="358"/>
        <v>0</v>
      </c>
      <c r="GN440" s="3">
        <f t="shared" si="358"/>
        <v>0</v>
      </c>
      <c r="GO440" s="3">
        <f t="shared" si="358"/>
        <v>0</v>
      </c>
      <c r="GP440" s="3">
        <f t="shared" si="358"/>
        <v>0</v>
      </c>
      <c r="GQ440" s="3">
        <f t="shared" si="358"/>
        <v>0</v>
      </c>
      <c r="GR440" s="3">
        <f t="shared" si="358"/>
        <v>0</v>
      </c>
      <c r="GS440" s="3">
        <f t="shared" si="358"/>
        <v>0</v>
      </c>
      <c r="GT440" s="3">
        <f t="shared" si="358"/>
        <v>0</v>
      </c>
      <c r="GU440" s="3">
        <f t="shared" si="358"/>
        <v>0</v>
      </c>
      <c r="GV440" s="3">
        <f t="shared" si="358"/>
        <v>0</v>
      </c>
      <c r="GW440" s="3">
        <f t="shared" si="358"/>
        <v>0</v>
      </c>
      <c r="GX440" s="3">
        <f t="shared" si="358"/>
        <v>0</v>
      </c>
    </row>
    <row r="442" spans="1:245" x14ac:dyDescent="0.2">
      <c r="A442" s="1">
        <v>5</v>
      </c>
      <c r="B442" s="1">
        <v>1</v>
      </c>
      <c r="C442" s="1"/>
      <c r="D442" s="1">
        <f>ROW(A484)</f>
        <v>484</v>
      </c>
      <c r="E442" s="1"/>
      <c r="F442" s="1" t="s">
        <v>15</v>
      </c>
      <c r="G442" s="1" t="s">
        <v>318</v>
      </c>
      <c r="H442" s="1" t="s">
        <v>3</v>
      </c>
      <c r="I442" s="1">
        <v>0</v>
      </c>
      <c r="J442" s="1"/>
      <c r="K442" s="1">
        <v>0</v>
      </c>
      <c r="L442" s="1"/>
      <c r="M442" s="1" t="s">
        <v>3</v>
      </c>
      <c r="N442" s="1"/>
      <c r="O442" s="1"/>
      <c r="P442" s="1"/>
      <c r="Q442" s="1"/>
      <c r="R442" s="1"/>
      <c r="S442" s="1">
        <v>0</v>
      </c>
      <c r="T442" s="1"/>
      <c r="U442" s="1" t="s">
        <v>3</v>
      </c>
      <c r="V442" s="1">
        <v>0</v>
      </c>
      <c r="W442" s="1"/>
      <c r="X442" s="1"/>
      <c r="Y442" s="1"/>
      <c r="Z442" s="1"/>
      <c r="AA442" s="1"/>
      <c r="AB442" s="1" t="s">
        <v>3</v>
      </c>
      <c r="AC442" s="1" t="s">
        <v>3</v>
      </c>
      <c r="AD442" s="1" t="s">
        <v>3</v>
      </c>
      <c r="AE442" s="1" t="s">
        <v>3</v>
      </c>
      <c r="AF442" s="1" t="s">
        <v>3</v>
      </c>
      <c r="AG442" s="1" t="s">
        <v>3</v>
      </c>
      <c r="AH442" s="1"/>
      <c r="AI442" s="1"/>
      <c r="AJ442" s="1"/>
      <c r="AK442" s="1"/>
      <c r="AL442" s="1"/>
      <c r="AM442" s="1"/>
      <c r="AN442" s="1"/>
      <c r="AO442" s="1"/>
      <c r="AP442" s="1" t="s">
        <v>3</v>
      </c>
      <c r="AQ442" s="1" t="s">
        <v>3</v>
      </c>
      <c r="AR442" s="1" t="s">
        <v>3</v>
      </c>
      <c r="AS442" s="1"/>
      <c r="AT442" s="1"/>
      <c r="AU442" s="1"/>
      <c r="AV442" s="1"/>
      <c r="AW442" s="1"/>
      <c r="AX442" s="1"/>
      <c r="AY442" s="1"/>
      <c r="AZ442" s="1" t="s">
        <v>3</v>
      </c>
      <c r="BA442" s="1"/>
      <c r="BB442" s="1" t="s">
        <v>3</v>
      </c>
      <c r="BC442" s="1" t="s">
        <v>3</v>
      </c>
      <c r="BD442" s="1" t="s">
        <v>3</v>
      </c>
      <c r="BE442" s="1" t="s">
        <v>3</v>
      </c>
      <c r="BF442" s="1" t="s">
        <v>3</v>
      </c>
      <c r="BG442" s="1" t="s">
        <v>3</v>
      </c>
      <c r="BH442" s="1" t="s">
        <v>3</v>
      </c>
      <c r="BI442" s="1" t="s">
        <v>3</v>
      </c>
      <c r="BJ442" s="1" t="s">
        <v>3</v>
      </c>
      <c r="BK442" s="1" t="s">
        <v>3</v>
      </c>
      <c r="BL442" s="1" t="s">
        <v>3</v>
      </c>
      <c r="BM442" s="1" t="s">
        <v>3</v>
      </c>
      <c r="BN442" s="1" t="s">
        <v>3</v>
      </c>
      <c r="BO442" s="1" t="s">
        <v>3</v>
      </c>
      <c r="BP442" s="1" t="s">
        <v>3</v>
      </c>
      <c r="BQ442" s="1"/>
      <c r="BR442" s="1"/>
      <c r="BS442" s="1"/>
      <c r="BT442" s="1"/>
      <c r="BU442" s="1"/>
      <c r="BV442" s="1"/>
      <c r="BW442" s="1"/>
      <c r="BX442" s="1">
        <v>0</v>
      </c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>
        <v>0</v>
      </c>
    </row>
    <row r="444" spans="1:245" x14ac:dyDescent="0.2">
      <c r="A444" s="2">
        <v>52</v>
      </c>
      <c r="B444" s="2">
        <f t="shared" ref="B444:G444" si="359">B484</f>
        <v>1</v>
      </c>
      <c r="C444" s="2">
        <f t="shared" si="359"/>
        <v>5</v>
      </c>
      <c r="D444" s="2">
        <f t="shared" si="359"/>
        <v>442</v>
      </c>
      <c r="E444" s="2">
        <f t="shared" si="359"/>
        <v>0</v>
      </c>
      <c r="F444" s="2" t="str">
        <f t="shared" si="359"/>
        <v>Новый подраздел</v>
      </c>
      <c r="G444" s="2" t="str">
        <f t="shared" si="359"/>
        <v>Вентиляция</v>
      </c>
      <c r="H444" s="2"/>
      <c r="I444" s="2"/>
      <c r="J444" s="2"/>
      <c r="K444" s="2"/>
      <c r="L444" s="2"/>
      <c r="M444" s="2"/>
      <c r="N444" s="2"/>
      <c r="O444" s="2">
        <f t="shared" ref="O444:AT444" si="360">O484</f>
        <v>103903.32</v>
      </c>
      <c r="P444" s="2">
        <f t="shared" si="360"/>
        <v>681.84</v>
      </c>
      <c r="Q444" s="2">
        <f t="shared" si="360"/>
        <v>39.380000000000003</v>
      </c>
      <c r="R444" s="2">
        <f t="shared" si="360"/>
        <v>0.44</v>
      </c>
      <c r="S444" s="2">
        <f t="shared" si="360"/>
        <v>103182.1</v>
      </c>
      <c r="T444" s="2">
        <f t="shared" si="360"/>
        <v>0</v>
      </c>
      <c r="U444" s="2">
        <f t="shared" si="360"/>
        <v>156.14000000000001</v>
      </c>
      <c r="V444" s="2">
        <f t="shared" si="360"/>
        <v>0</v>
      </c>
      <c r="W444" s="2">
        <f t="shared" si="360"/>
        <v>0</v>
      </c>
      <c r="X444" s="2">
        <f t="shared" si="360"/>
        <v>72227.47</v>
      </c>
      <c r="Y444" s="2">
        <f t="shared" si="360"/>
        <v>10318.209999999999</v>
      </c>
      <c r="Z444" s="2">
        <f t="shared" si="360"/>
        <v>0</v>
      </c>
      <c r="AA444" s="2">
        <f t="shared" si="360"/>
        <v>0</v>
      </c>
      <c r="AB444" s="2">
        <f t="shared" si="360"/>
        <v>103903.32</v>
      </c>
      <c r="AC444" s="2">
        <f t="shared" si="360"/>
        <v>681.84</v>
      </c>
      <c r="AD444" s="2">
        <f t="shared" si="360"/>
        <v>39.380000000000003</v>
      </c>
      <c r="AE444" s="2">
        <f t="shared" si="360"/>
        <v>0.44</v>
      </c>
      <c r="AF444" s="2">
        <f t="shared" si="360"/>
        <v>103182.1</v>
      </c>
      <c r="AG444" s="2">
        <f t="shared" si="360"/>
        <v>0</v>
      </c>
      <c r="AH444" s="2">
        <f t="shared" si="360"/>
        <v>156.14000000000001</v>
      </c>
      <c r="AI444" s="2">
        <f t="shared" si="360"/>
        <v>0</v>
      </c>
      <c r="AJ444" s="2">
        <f t="shared" si="360"/>
        <v>0</v>
      </c>
      <c r="AK444" s="2">
        <f t="shared" si="360"/>
        <v>72227.47</v>
      </c>
      <c r="AL444" s="2">
        <f t="shared" si="360"/>
        <v>10318.209999999999</v>
      </c>
      <c r="AM444" s="2">
        <f t="shared" si="360"/>
        <v>0</v>
      </c>
      <c r="AN444" s="2">
        <f t="shared" si="360"/>
        <v>0</v>
      </c>
      <c r="AO444" s="2">
        <f t="shared" si="360"/>
        <v>0</v>
      </c>
      <c r="AP444" s="2">
        <f t="shared" si="360"/>
        <v>0</v>
      </c>
      <c r="AQ444" s="2">
        <f t="shared" si="360"/>
        <v>0</v>
      </c>
      <c r="AR444" s="2">
        <f t="shared" si="360"/>
        <v>186449.48</v>
      </c>
      <c r="AS444" s="2">
        <f t="shared" si="360"/>
        <v>0</v>
      </c>
      <c r="AT444" s="2">
        <f t="shared" si="360"/>
        <v>0</v>
      </c>
      <c r="AU444" s="2">
        <f t="shared" ref="AU444:BZ444" si="361">AU484</f>
        <v>186449.48</v>
      </c>
      <c r="AV444" s="2">
        <f t="shared" si="361"/>
        <v>681.84</v>
      </c>
      <c r="AW444" s="2">
        <f t="shared" si="361"/>
        <v>681.84</v>
      </c>
      <c r="AX444" s="2">
        <f t="shared" si="361"/>
        <v>0</v>
      </c>
      <c r="AY444" s="2">
        <f t="shared" si="361"/>
        <v>681.84</v>
      </c>
      <c r="AZ444" s="2">
        <f t="shared" si="361"/>
        <v>0</v>
      </c>
      <c r="BA444" s="2">
        <f t="shared" si="361"/>
        <v>0</v>
      </c>
      <c r="BB444" s="2">
        <f t="shared" si="361"/>
        <v>0</v>
      </c>
      <c r="BC444" s="2">
        <f t="shared" si="361"/>
        <v>0</v>
      </c>
      <c r="BD444" s="2">
        <f t="shared" si="361"/>
        <v>0</v>
      </c>
      <c r="BE444" s="2">
        <f t="shared" si="361"/>
        <v>0</v>
      </c>
      <c r="BF444" s="2">
        <f t="shared" si="361"/>
        <v>0</v>
      </c>
      <c r="BG444" s="2">
        <f t="shared" si="361"/>
        <v>0</v>
      </c>
      <c r="BH444" s="2">
        <f t="shared" si="361"/>
        <v>0</v>
      </c>
      <c r="BI444" s="2">
        <f t="shared" si="361"/>
        <v>0</v>
      </c>
      <c r="BJ444" s="2">
        <f t="shared" si="361"/>
        <v>0</v>
      </c>
      <c r="BK444" s="2">
        <f t="shared" si="361"/>
        <v>0</v>
      </c>
      <c r="BL444" s="2">
        <f t="shared" si="361"/>
        <v>0</v>
      </c>
      <c r="BM444" s="2">
        <f t="shared" si="361"/>
        <v>0</v>
      </c>
      <c r="BN444" s="2">
        <f t="shared" si="361"/>
        <v>0</v>
      </c>
      <c r="BO444" s="2">
        <f t="shared" si="361"/>
        <v>0</v>
      </c>
      <c r="BP444" s="2">
        <f t="shared" si="361"/>
        <v>0</v>
      </c>
      <c r="BQ444" s="2">
        <f t="shared" si="361"/>
        <v>0</v>
      </c>
      <c r="BR444" s="2">
        <f t="shared" si="361"/>
        <v>0</v>
      </c>
      <c r="BS444" s="2">
        <f t="shared" si="361"/>
        <v>0</v>
      </c>
      <c r="BT444" s="2">
        <f t="shared" si="361"/>
        <v>0</v>
      </c>
      <c r="BU444" s="2">
        <f t="shared" si="361"/>
        <v>0</v>
      </c>
      <c r="BV444" s="2">
        <f t="shared" si="361"/>
        <v>0</v>
      </c>
      <c r="BW444" s="2">
        <f t="shared" si="361"/>
        <v>0</v>
      </c>
      <c r="BX444" s="2">
        <f t="shared" si="361"/>
        <v>0</v>
      </c>
      <c r="BY444" s="2">
        <f t="shared" si="361"/>
        <v>0</v>
      </c>
      <c r="BZ444" s="2">
        <f t="shared" si="361"/>
        <v>0</v>
      </c>
      <c r="CA444" s="2">
        <f t="shared" ref="CA444:DF444" si="362">CA484</f>
        <v>186449.48</v>
      </c>
      <c r="CB444" s="2">
        <f t="shared" si="362"/>
        <v>0</v>
      </c>
      <c r="CC444" s="2">
        <f t="shared" si="362"/>
        <v>0</v>
      </c>
      <c r="CD444" s="2">
        <f t="shared" si="362"/>
        <v>186449.48</v>
      </c>
      <c r="CE444" s="2">
        <f t="shared" si="362"/>
        <v>681.84</v>
      </c>
      <c r="CF444" s="2">
        <f t="shared" si="362"/>
        <v>681.84</v>
      </c>
      <c r="CG444" s="2">
        <f t="shared" si="362"/>
        <v>0</v>
      </c>
      <c r="CH444" s="2">
        <f t="shared" si="362"/>
        <v>681.84</v>
      </c>
      <c r="CI444" s="2">
        <f t="shared" si="362"/>
        <v>0</v>
      </c>
      <c r="CJ444" s="2">
        <f t="shared" si="362"/>
        <v>0</v>
      </c>
      <c r="CK444" s="2">
        <f t="shared" si="362"/>
        <v>0</v>
      </c>
      <c r="CL444" s="2">
        <f t="shared" si="362"/>
        <v>0</v>
      </c>
      <c r="CM444" s="2">
        <f t="shared" si="362"/>
        <v>0</v>
      </c>
      <c r="CN444" s="2">
        <f t="shared" si="362"/>
        <v>0</v>
      </c>
      <c r="CO444" s="2">
        <f t="shared" si="362"/>
        <v>0</v>
      </c>
      <c r="CP444" s="2">
        <f t="shared" si="362"/>
        <v>0</v>
      </c>
      <c r="CQ444" s="2">
        <f t="shared" si="362"/>
        <v>0</v>
      </c>
      <c r="CR444" s="2">
        <f t="shared" si="362"/>
        <v>0</v>
      </c>
      <c r="CS444" s="2">
        <f t="shared" si="362"/>
        <v>0</v>
      </c>
      <c r="CT444" s="2">
        <f t="shared" si="362"/>
        <v>0</v>
      </c>
      <c r="CU444" s="2">
        <f t="shared" si="362"/>
        <v>0</v>
      </c>
      <c r="CV444" s="2">
        <f t="shared" si="362"/>
        <v>0</v>
      </c>
      <c r="CW444" s="2">
        <f t="shared" si="362"/>
        <v>0</v>
      </c>
      <c r="CX444" s="2">
        <f t="shared" si="362"/>
        <v>0</v>
      </c>
      <c r="CY444" s="2">
        <f t="shared" si="362"/>
        <v>0</v>
      </c>
      <c r="CZ444" s="2">
        <f t="shared" si="362"/>
        <v>0</v>
      </c>
      <c r="DA444" s="2">
        <f t="shared" si="362"/>
        <v>0</v>
      </c>
      <c r="DB444" s="2">
        <f t="shared" si="362"/>
        <v>0</v>
      </c>
      <c r="DC444" s="2">
        <f t="shared" si="362"/>
        <v>0</v>
      </c>
      <c r="DD444" s="2">
        <f t="shared" si="362"/>
        <v>0</v>
      </c>
      <c r="DE444" s="2">
        <f t="shared" si="362"/>
        <v>0</v>
      </c>
      <c r="DF444" s="2">
        <f t="shared" si="362"/>
        <v>0</v>
      </c>
      <c r="DG444" s="3">
        <f t="shared" ref="DG444:EL444" si="363">DG484</f>
        <v>0</v>
      </c>
      <c r="DH444" s="3">
        <f t="shared" si="363"/>
        <v>0</v>
      </c>
      <c r="DI444" s="3">
        <f t="shared" si="363"/>
        <v>0</v>
      </c>
      <c r="DJ444" s="3">
        <f t="shared" si="363"/>
        <v>0</v>
      </c>
      <c r="DK444" s="3">
        <f t="shared" si="363"/>
        <v>0</v>
      </c>
      <c r="DL444" s="3">
        <f t="shared" si="363"/>
        <v>0</v>
      </c>
      <c r="DM444" s="3">
        <f t="shared" si="363"/>
        <v>0</v>
      </c>
      <c r="DN444" s="3">
        <f t="shared" si="363"/>
        <v>0</v>
      </c>
      <c r="DO444" s="3">
        <f t="shared" si="363"/>
        <v>0</v>
      </c>
      <c r="DP444" s="3">
        <f t="shared" si="363"/>
        <v>0</v>
      </c>
      <c r="DQ444" s="3">
        <f t="shared" si="363"/>
        <v>0</v>
      </c>
      <c r="DR444" s="3">
        <f t="shared" si="363"/>
        <v>0</v>
      </c>
      <c r="DS444" s="3">
        <f t="shared" si="363"/>
        <v>0</v>
      </c>
      <c r="DT444" s="3">
        <f t="shared" si="363"/>
        <v>0</v>
      </c>
      <c r="DU444" s="3">
        <f t="shared" si="363"/>
        <v>0</v>
      </c>
      <c r="DV444" s="3">
        <f t="shared" si="363"/>
        <v>0</v>
      </c>
      <c r="DW444" s="3">
        <f t="shared" si="363"/>
        <v>0</v>
      </c>
      <c r="DX444" s="3">
        <f t="shared" si="363"/>
        <v>0</v>
      </c>
      <c r="DY444" s="3">
        <f t="shared" si="363"/>
        <v>0</v>
      </c>
      <c r="DZ444" s="3">
        <f t="shared" si="363"/>
        <v>0</v>
      </c>
      <c r="EA444" s="3">
        <f t="shared" si="363"/>
        <v>0</v>
      </c>
      <c r="EB444" s="3">
        <f t="shared" si="363"/>
        <v>0</v>
      </c>
      <c r="EC444" s="3">
        <f t="shared" si="363"/>
        <v>0</v>
      </c>
      <c r="ED444" s="3">
        <f t="shared" si="363"/>
        <v>0</v>
      </c>
      <c r="EE444" s="3">
        <f t="shared" si="363"/>
        <v>0</v>
      </c>
      <c r="EF444" s="3">
        <f t="shared" si="363"/>
        <v>0</v>
      </c>
      <c r="EG444" s="3">
        <f t="shared" si="363"/>
        <v>0</v>
      </c>
      <c r="EH444" s="3">
        <f t="shared" si="363"/>
        <v>0</v>
      </c>
      <c r="EI444" s="3">
        <f t="shared" si="363"/>
        <v>0</v>
      </c>
      <c r="EJ444" s="3">
        <f t="shared" si="363"/>
        <v>0</v>
      </c>
      <c r="EK444" s="3">
        <f t="shared" si="363"/>
        <v>0</v>
      </c>
      <c r="EL444" s="3">
        <f t="shared" si="363"/>
        <v>0</v>
      </c>
      <c r="EM444" s="3">
        <f t="shared" ref="EM444:FR444" si="364">EM484</f>
        <v>0</v>
      </c>
      <c r="EN444" s="3">
        <f t="shared" si="364"/>
        <v>0</v>
      </c>
      <c r="EO444" s="3">
        <f t="shared" si="364"/>
        <v>0</v>
      </c>
      <c r="EP444" s="3">
        <f t="shared" si="364"/>
        <v>0</v>
      </c>
      <c r="EQ444" s="3">
        <f t="shared" si="364"/>
        <v>0</v>
      </c>
      <c r="ER444" s="3">
        <f t="shared" si="364"/>
        <v>0</v>
      </c>
      <c r="ES444" s="3">
        <f t="shared" si="364"/>
        <v>0</v>
      </c>
      <c r="ET444" s="3">
        <f t="shared" si="364"/>
        <v>0</v>
      </c>
      <c r="EU444" s="3">
        <f t="shared" si="364"/>
        <v>0</v>
      </c>
      <c r="EV444" s="3">
        <f t="shared" si="364"/>
        <v>0</v>
      </c>
      <c r="EW444" s="3">
        <f t="shared" si="364"/>
        <v>0</v>
      </c>
      <c r="EX444" s="3">
        <f t="shared" si="364"/>
        <v>0</v>
      </c>
      <c r="EY444" s="3">
        <f t="shared" si="364"/>
        <v>0</v>
      </c>
      <c r="EZ444" s="3">
        <f t="shared" si="364"/>
        <v>0</v>
      </c>
      <c r="FA444" s="3">
        <f t="shared" si="364"/>
        <v>0</v>
      </c>
      <c r="FB444" s="3">
        <f t="shared" si="364"/>
        <v>0</v>
      </c>
      <c r="FC444" s="3">
        <f t="shared" si="364"/>
        <v>0</v>
      </c>
      <c r="FD444" s="3">
        <f t="shared" si="364"/>
        <v>0</v>
      </c>
      <c r="FE444" s="3">
        <f t="shared" si="364"/>
        <v>0</v>
      </c>
      <c r="FF444" s="3">
        <f t="shared" si="364"/>
        <v>0</v>
      </c>
      <c r="FG444" s="3">
        <f t="shared" si="364"/>
        <v>0</v>
      </c>
      <c r="FH444" s="3">
        <f t="shared" si="364"/>
        <v>0</v>
      </c>
      <c r="FI444" s="3">
        <f t="shared" si="364"/>
        <v>0</v>
      </c>
      <c r="FJ444" s="3">
        <f t="shared" si="364"/>
        <v>0</v>
      </c>
      <c r="FK444" s="3">
        <f t="shared" si="364"/>
        <v>0</v>
      </c>
      <c r="FL444" s="3">
        <f t="shared" si="364"/>
        <v>0</v>
      </c>
      <c r="FM444" s="3">
        <f t="shared" si="364"/>
        <v>0</v>
      </c>
      <c r="FN444" s="3">
        <f t="shared" si="364"/>
        <v>0</v>
      </c>
      <c r="FO444" s="3">
        <f t="shared" si="364"/>
        <v>0</v>
      </c>
      <c r="FP444" s="3">
        <f t="shared" si="364"/>
        <v>0</v>
      </c>
      <c r="FQ444" s="3">
        <f t="shared" si="364"/>
        <v>0</v>
      </c>
      <c r="FR444" s="3">
        <f t="shared" si="364"/>
        <v>0</v>
      </c>
      <c r="FS444" s="3">
        <f t="shared" ref="FS444:GX444" si="365">FS484</f>
        <v>0</v>
      </c>
      <c r="FT444" s="3">
        <f t="shared" si="365"/>
        <v>0</v>
      </c>
      <c r="FU444" s="3">
        <f t="shared" si="365"/>
        <v>0</v>
      </c>
      <c r="FV444" s="3">
        <f t="shared" si="365"/>
        <v>0</v>
      </c>
      <c r="FW444" s="3">
        <f t="shared" si="365"/>
        <v>0</v>
      </c>
      <c r="FX444" s="3">
        <f t="shared" si="365"/>
        <v>0</v>
      </c>
      <c r="FY444" s="3">
        <f t="shared" si="365"/>
        <v>0</v>
      </c>
      <c r="FZ444" s="3">
        <f t="shared" si="365"/>
        <v>0</v>
      </c>
      <c r="GA444" s="3">
        <f t="shared" si="365"/>
        <v>0</v>
      </c>
      <c r="GB444" s="3">
        <f t="shared" si="365"/>
        <v>0</v>
      </c>
      <c r="GC444" s="3">
        <f t="shared" si="365"/>
        <v>0</v>
      </c>
      <c r="GD444" s="3">
        <f t="shared" si="365"/>
        <v>0</v>
      </c>
      <c r="GE444" s="3">
        <f t="shared" si="365"/>
        <v>0</v>
      </c>
      <c r="GF444" s="3">
        <f t="shared" si="365"/>
        <v>0</v>
      </c>
      <c r="GG444" s="3">
        <f t="shared" si="365"/>
        <v>0</v>
      </c>
      <c r="GH444" s="3">
        <f t="shared" si="365"/>
        <v>0</v>
      </c>
      <c r="GI444" s="3">
        <f t="shared" si="365"/>
        <v>0</v>
      </c>
      <c r="GJ444" s="3">
        <f t="shared" si="365"/>
        <v>0</v>
      </c>
      <c r="GK444" s="3">
        <f t="shared" si="365"/>
        <v>0</v>
      </c>
      <c r="GL444" s="3">
        <f t="shared" si="365"/>
        <v>0</v>
      </c>
      <c r="GM444" s="3">
        <f t="shared" si="365"/>
        <v>0</v>
      </c>
      <c r="GN444" s="3">
        <f t="shared" si="365"/>
        <v>0</v>
      </c>
      <c r="GO444" s="3">
        <f t="shared" si="365"/>
        <v>0</v>
      </c>
      <c r="GP444" s="3">
        <f t="shared" si="365"/>
        <v>0</v>
      </c>
      <c r="GQ444" s="3">
        <f t="shared" si="365"/>
        <v>0</v>
      </c>
      <c r="GR444" s="3">
        <f t="shared" si="365"/>
        <v>0</v>
      </c>
      <c r="GS444" s="3">
        <f t="shared" si="365"/>
        <v>0</v>
      </c>
      <c r="GT444" s="3">
        <f t="shared" si="365"/>
        <v>0</v>
      </c>
      <c r="GU444" s="3">
        <f t="shared" si="365"/>
        <v>0</v>
      </c>
      <c r="GV444" s="3">
        <f t="shared" si="365"/>
        <v>0</v>
      </c>
      <c r="GW444" s="3">
        <f t="shared" si="365"/>
        <v>0</v>
      </c>
      <c r="GX444" s="3">
        <f t="shared" si="365"/>
        <v>0</v>
      </c>
    </row>
    <row r="446" spans="1:245" x14ac:dyDescent="0.2">
      <c r="A446">
        <v>19</v>
      </c>
      <c r="B446">
        <v>1</v>
      </c>
      <c r="F446" t="s">
        <v>3</v>
      </c>
      <c r="G446" t="s">
        <v>319</v>
      </c>
      <c r="H446" t="s">
        <v>3</v>
      </c>
      <c r="AA446">
        <v>1</v>
      </c>
      <c r="IK446">
        <v>0</v>
      </c>
    </row>
    <row r="447" spans="1:245" x14ac:dyDescent="0.2">
      <c r="A447">
        <v>17</v>
      </c>
      <c r="B447">
        <v>1</v>
      </c>
      <c r="D447">
        <f>ROW(EtalonRes!A288)</f>
        <v>288</v>
      </c>
      <c r="E447" t="s">
        <v>3</v>
      </c>
      <c r="F447" t="s">
        <v>320</v>
      </c>
      <c r="G447" t="s">
        <v>321</v>
      </c>
      <c r="H447" t="s">
        <v>322</v>
      </c>
      <c r="I447">
        <f>ROUND((1+1)*3,9)</f>
        <v>6</v>
      </c>
      <c r="J447">
        <v>0</v>
      </c>
      <c r="K447">
        <f>ROUND((1+1)*3,9)</f>
        <v>6</v>
      </c>
      <c r="O447">
        <f t="shared" ref="O447:O462" si="366">ROUND(CP447,2)</f>
        <v>235859.24</v>
      </c>
      <c r="P447">
        <f t="shared" ref="P447:P462" si="367">ROUND(CQ447*I447,2)</f>
        <v>12896.36</v>
      </c>
      <c r="Q447">
        <f t="shared" ref="Q447:Q462" si="368">ROUND(CR447*I447,2)</f>
        <v>0</v>
      </c>
      <c r="R447">
        <f t="shared" ref="R447:R462" si="369">ROUND(CS447*I447,2)</f>
        <v>0</v>
      </c>
      <c r="S447">
        <f t="shared" ref="S447:S462" si="370">ROUND(CT447*I447,2)</f>
        <v>222962.88</v>
      </c>
      <c r="T447">
        <f t="shared" ref="T447:T462" si="371">ROUND(CU447*I447,2)</f>
        <v>0</v>
      </c>
      <c r="U447">
        <f t="shared" ref="U447:U462" si="372">CV447*I447</f>
        <v>336</v>
      </c>
      <c r="V447">
        <f t="shared" ref="V447:V462" si="373">CW447*I447</f>
        <v>0</v>
      </c>
      <c r="W447">
        <f t="shared" ref="W447:W462" si="374">ROUND(CX447*I447,2)</f>
        <v>0</v>
      </c>
      <c r="X447">
        <f t="shared" ref="X447:X462" si="375">ROUND(CY447,2)</f>
        <v>156074.01999999999</v>
      </c>
      <c r="Y447">
        <f t="shared" ref="Y447:Y462" si="376">ROUND(CZ447,2)</f>
        <v>22296.29</v>
      </c>
      <c r="AA447">
        <v>-1</v>
      </c>
      <c r="AB447">
        <f t="shared" ref="AB447:AB462" si="377">ROUND((AC447+AD447+AF447),6)</f>
        <v>39309.873333000003</v>
      </c>
      <c r="AC447">
        <f>ROUND((((ES447/12)*8)),6)</f>
        <v>2149.393333</v>
      </c>
      <c r="AD447">
        <f>ROUND((((((ET447/12)*8))-(((EU447/12)*8)))+AE447),6)</f>
        <v>0</v>
      </c>
      <c r="AE447">
        <f>ROUND((((EU447/12)*8)),6)</f>
        <v>0</v>
      </c>
      <c r="AF447">
        <f>ROUND((((EV447/12)*8)),6)</f>
        <v>37160.480000000003</v>
      </c>
      <c r="AG447">
        <f t="shared" ref="AG447:AG462" si="378">ROUND((AP447),6)</f>
        <v>0</v>
      </c>
      <c r="AH447">
        <f>(((EW447/12)*8))</f>
        <v>56</v>
      </c>
      <c r="AI447">
        <f>(((EX447/12)*8))</f>
        <v>0</v>
      </c>
      <c r="AJ447">
        <f t="shared" ref="AJ447:AJ462" si="379">(AS447)</f>
        <v>0</v>
      </c>
      <c r="AK447">
        <v>58964.81</v>
      </c>
      <c r="AL447">
        <v>3224.09</v>
      </c>
      <c r="AM447">
        <v>0</v>
      </c>
      <c r="AN447">
        <v>0</v>
      </c>
      <c r="AO447">
        <v>55740.72</v>
      </c>
      <c r="AP447">
        <v>0</v>
      </c>
      <c r="AQ447">
        <v>84</v>
      </c>
      <c r="AR447">
        <v>0</v>
      </c>
      <c r="AS447">
        <v>0</v>
      </c>
      <c r="AT447">
        <v>70</v>
      </c>
      <c r="AU447">
        <v>10</v>
      </c>
      <c r="AV447">
        <v>1</v>
      </c>
      <c r="AW447">
        <v>1</v>
      </c>
      <c r="AZ447">
        <v>1</v>
      </c>
      <c r="BA447">
        <v>1</v>
      </c>
      <c r="BB447">
        <v>1</v>
      </c>
      <c r="BC447">
        <v>1</v>
      </c>
      <c r="BD447" t="s">
        <v>3</v>
      </c>
      <c r="BE447" t="s">
        <v>3</v>
      </c>
      <c r="BF447" t="s">
        <v>3</v>
      </c>
      <c r="BG447" t="s">
        <v>3</v>
      </c>
      <c r="BH447">
        <v>0</v>
      </c>
      <c r="BI447">
        <v>4</v>
      </c>
      <c r="BJ447" t="s">
        <v>323</v>
      </c>
      <c r="BM447">
        <v>0</v>
      </c>
      <c r="BN447">
        <v>0</v>
      </c>
      <c r="BO447" t="s">
        <v>3</v>
      </c>
      <c r="BP447">
        <v>0</v>
      </c>
      <c r="BQ447">
        <v>1</v>
      </c>
      <c r="BR447">
        <v>0</v>
      </c>
      <c r="BS447">
        <v>1</v>
      </c>
      <c r="BT447">
        <v>1</v>
      </c>
      <c r="BU447">
        <v>1</v>
      </c>
      <c r="BV447">
        <v>1</v>
      </c>
      <c r="BW447">
        <v>1</v>
      </c>
      <c r="BX447">
        <v>1</v>
      </c>
      <c r="BY447" t="s">
        <v>3</v>
      </c>
      <c r="BZ447">
        <v>70</v>
      </c>
      <c r="CA447">
        <v>10</v>
      </c>
      <c r="CB447" t="s">
        <v>3</v>
      </c>
      <c r="CE447">
        <v>0</v>
      </c>
      <c r="CF447">
        <v>0</v>
      </c>
      <c r="CG447">
        <v>0</v>
      </c>
      <c r="CM447">
        <v>0</v>
      </c>
      <c r="CN447" t="s">
        <v>3</v>
      </c>
      <c r="CO447">
        <v>0</v>
      </c>
      <c r="CP447">
        <f t="shared" ref="CP447:CP462" si="380">(P447+Q447+S447)</f>
        <v>235859.24</v>
      </c>
      <c r="CQ447">
        <f t="shared" ref="CQ447:CQ462" si="381">(AC447*BC447*AW447)</f>
        <v>2149.393333</v>
      </c>
      <c r="CR447">
        <f>((((((ET447/12)*8))*BB447-(((EU447/12)*8))*BS447)+AE447*BS447)*AV447)</f>
        <v>0</v>
      </c>
      <c r="CS447">
        <f t="shared" ref="CS447:CS462" si="382">(AE447*BS447*AV447)</f>
        <v>0</v>
      </c>
      <c r="CT447">
        <f t="shared" ref="CT447:CT462" si="383">(AF447*BA447*AV447)</f>
        <v>37160.480000000003</v>
      </c>
      <c r="CU447">
        <f t="shared" ref="CU447:CU462" si="384">AG447</f>
        <v>0</v>
      </c>
      <c r="CV447">
        <f t="shared" ref="CV447:CV462" si="385">(AH447*AV447)</f>
        <v>56</v>
      </c>
      <c r="CW447">
        <f t="shared" ref="CW447:CW462" si="386">AI447</f>
        <v>0</v>
      </c>
      <c r="CX447">
        <f t="shared" ref="CX447:CX462" si="387">AJ447</f>
        <v>0</v>
      </c>
      <c r="CY447">
        <f t="shared" ref="CY447:CY462" si="388">((S447*BZ447)/100)</f>
        <v>156074.016</v>
      </c>
      <c r="CZ447">
        <f t="shared" ref="CZ447:CZ462" si="389">((S447*CA447)/100)</f>
        <v>22296.287999999997</v>
      </c>
      <c r="DC447" t="s">
        <v>3</v>
      </c>
      <c r="DD447" t="s">
        <v>324</v>
      </c>
      <c r="DE447" t="s">
        <v>324</v>
      </c>
      <c r="DF447" t="s">
        <v>324</v>
      </c>
      <c r="DG447" t="s">
        <v>324</v>
      </c>
      <c r="DH447" t="s">
        <v>3</v>
      </c>
      <c r="DI447" t="s">
        <v>324</v>
      </c>
      <c r="DJ447" t="s">
        <v>324</v>
      </c>
      <c r="DK447" t="s">
        <v>3</v>
      </c>
      <c r="DL447" t="s">
        <v>3</v>
      </c>
      <c r="DM447" t="s">
        <v>3</v>
      </c>
      <c r="DN447">
        <v>0</v>
      </c>
      <c r="DO447">
        <v>0</v>
      </c>
      <c r="DP447">
        <v>1</v>
      </c>
      <c r="DQ447">
        <v>1</v>
      </c>
      <c r="DU447">
        <v>1013</v>
      </c>
      <c r="DV447" t="s">
        <v>322</v>
      </c>
      <c r="DW447" t="s">
        <v>322</v>
      </c>
      <c r="DX447">
        <v>1</v>
      </c>
      <c r="DZ447" t="s">
        <v>3</v>
      </c>
      <c r="EA447" t="s">
        <v>3</v>
      </c>
      <c r="EB447" t="s">
        <v>3</v>
      </c>
      <c r="EC447" t="s">
        <v>3</v>
      </c>
      <c r="EE447">
        <v>1441815344</v>
      </c>
      <c r="EF447">
        <v>1</v>
      </c>
      <c r="EG447" t="s">
        <v>23</v>
      </c>
      <c r="EH447">
        <v>0</v>
      </c>
      <c r="EI447" t="s">
        <v>3</v>
      </c>
      <c r="EJ447">
        <v>4</v>
      </c>
      <c r="EK447">
        <v>0</v>
      </c>
      <c r="EL447" t="s">
        <v>24</v>
      </c>
      <c r="EM447" t="s">
        <v>25</v>
      </c>
      <c r="EO447" t="s">
        <v>3</v>
      </c>
      <c r="EQ447">
        <v>1024</v>
      </c>
      <c r="ER447">
        <v>58964.81</v>
      </c>
      <c r="ES447">
        <v>3224.09</v>
      </c>
      <c r="ET447">
        <v>0</v>
      </c>
      <c r="EU447">
        <v>0</v>
      </c>
      <c r="EV447">
        <v>55740.72</v>
      </c>
      <c r="EW447">
        <v>84</v>
      </c>
      <c r="EX447">
        <v>0</v>
      </c>
      <c r="EY447">
        <v>0</v>
      </c>
      <c r="FQ447">
        <v>0</v>
      </c>
      <c r="FR447">
        <f t="shared" ref="FR447:FR462" si="390">ROUND(IF(BI447=3,GM447,0),2)</f>
        <v>0</v>
      </c>
      <c r="FS447">
        <v>0</v>
      </c>
      <c r="FX447">
        <v>70</v>
      </c>
      <c r="FY447">
        <v>10</v>
      </c>
      <c r="GA447" t="s">
        <v>3</v>
      </c>
      <c r="GD447">
        <v>0</v>
      </c>
      <c r="GF447">
        <v>-1359812122</v>
      </c>
      <c r="GG447">
        <v>2</v>
      </c>
      <c r="GH447">
        <v>1</v>
      </c>
      <c r="GI447">
        <v>-2</v>
      </c>
      <c r="GJ447">
        <v>0</v>
      </c>
      <c r="GK447">
        <f>ROUND(R447*(R12)/100,2)</f>
        <v>0</v>
      </c>
      <c r="GL447">
        <f t="shared" ref="GL447:GL462" si="391">ROUND(IF(AND(BH447=3,BI447=3,FS447&lt;&gt;0),P447,0),2)</f>
        <v>0</v>
      </c>
      <c r="GM447">
        <f t="shared" ref="GM447:GM462" si="392">ROUND(O447+X447+Y447+GK447,2)+GX447</f>
        <v>414229.55</v>
      </c>
      <c r="GN447">
        <f t="shared" ref="GN447:GN462" si="393">IF(OR(BI447=0,BI447=1),GM447-GX447,0)</f>
        <v>0</v>
      </c>
      <c r="GO447">
        <f t="shared" ref="GO447:GO462" si="394">IF(BI447=2,GM447-GX447,0)</f>
        <v>0</v>
      </c>
      <c r="GP447">
        <f t="shared" ref="GP447:GP462" si="395">IF(BI447=4,GM447-GX447,0)</f>
        <v>414229.55</v>
      </c>
      <c r="GR447">
        <v>0</v>
      </c>
      <c r="GS447">
        <v>3</v>
      </c>
      <c r="GT447">
        <v>0</v>
      </c>
      <c r="GU447" t="s">
        <v>3</v>
      </c>
      <c r="GV447">
        <f t="shared" ref="GV447:GV462" si="396">ROUND((GT447),6)</f>
        <v>0</v>
      </c>
      <c r="GW447">
        <v>1</v>
      </c>
      <c r="GX447">
        <f t="shared" ref="GX447:GX462" si="397">ROUND(HC447*I447,2)</f>
        <v>0</v>
      </c>
      <c r="HA447">
        <v>0</v>
      </c>
      <c r="HB447">
        <v>0</v>
      </c>
      <c r="HC447">
        <f t="shared" ref="HC447:HC462" si="398">GV447*GW447</f>
        <v>0</v>
      </c>
      <c r="HE447" t="s">
        <v>3</v>
      </c>
      <c r="HF447" t="s">
        <v>3</v>
      </c>
      <c r="HM447" t="s">
        <v>3</v>
      </c>
      <c r="HN447" t="s">
        <v>3</v>
      </c>
      <c r="HO447" t="s">
        <v>3</v>
      </c>
      <c r="HP447" t="s">
        <v>3</v>
      </c>
      <c r="HQ447" t="s">
        <v>3</v>
      </c>
      <c r="IK447">
        <v>0</v>
      </c>
    </row>
    <row r="448" spans="1:245" x14ac:dyDescent="0.2">
      <c r="A448">
        <v>17</v>
      </c>
      <c r="B448">
        <v>1</v>
      </c>
      <c r="D448">
        <f>ROW(EtalonRes!A292)</f>
        <v>292</v>
      </c>
      <c r="E448" t="s">
        <v>3</v>
      </c>
      <c r="F448" t="s">
        <v>325</v>
      </c>
      <c r="G448" t="s">
        <v>326</v>
      </c>
      <c r="H448" t="s">
        <v>322</v>
      </c>
      <c r="I448">
        <f>ROUND((1+1)*3,9)</f>
        <v>6</v>
      </c>
      <c r="J448">
        <v>0</v>
      </c>
      <c r="K448">
        <f>ROUND((1+1)*3,9)</f>
        <v>6</v>
      </c>
      <c r="O448">
        <f t="shared" si="366"/>
        <v>28482.42</v>
      </c>
      <c r="P448">
        <f t="shared" si="367"/>
        <v>80.94</v>
      </c>
      <c r="Q448">
        <f t="shared" si="368"/>
        <v>53.58</v>
      </c>
      <c r="R448">
        <f t="shared" si="369"/>
        <v>0.72</v>
      </c>
      <c r="S448">
        <f t="shared" si="370"/>
        <v>28347.9</v>
      </c>
      <c r="T448">
        <f t="shared" si="371"/>
        <v>0</v>
      </c>
      <c r="U448">
        <f t="shared" si="372"/>
        <v>42.72</v>
      </c>
      <c r="V448">
        <f t="shared" si="373"/>
        <v>0</v>
      </c>
      <c r="W448">
        <f t="shared" si="374"/>
        <v>0</v>
      </c>
      <c r="X448">
        <f t="shared" si="375"/>
        <v>19843.53</v>
      </c>
      <c r="Y448">
        <f t="shared" si="376"/>
        <v>2834.79</v>
      </c>
      <c r="AA448">
        <v>-1</v>
      </c>
      <c r="AB448">
        <f t="shared" si="377"/>
        <v>4747.07</v>
      </c>
      <c r="AC448">
        <f>ROUND((ES448),6)</f>
        <v>13.49</v>
      </c>
      <c r="AD448">
        <f>ROUND((((ET448)-(EU448))+AE448),6)</f>
        <v>8.93</v>
      </c>
      <c r="AE448">
        <f>ROUND((EU448),6)</f>
        <v>0.12</v>
      </c>
      <c r="AF448">
        <f>ROUND((EV448),6)</f>
        <v>4724.6499999999996</v>
      </c>
      <c r="AG448">
        <f t="shared" si="378"/>
        <v>0</v>
      </c>
      <c r="AH448">
        <f>(EW448)</f>
        <v>7.12</v>
      </c>
      <c r="AI448">
        <f>(EX448)</f>
        <v>0</v>
      </c>
      <c r="AJ448">
        <f t="shared" si="379"/>
        <v>0</v>
      </c>
      <c r="AK448">
        <v>4747.07</v>
      </c>
      <c r="AL448">
        <v>13.49</v>
      </c>
      <c r="AM448">
        <v>8.93</v>
      </c>
      <c r="AN448">
        <v>0.12</v>
      </c>
      <c r="AO448">
        <v>4724.6499999999996</v>
      </c>
      <c r="AP448">
        <v>0</v>
      </c>
      <c r="AQ448">
        <v>7.12</v>
      </c>
      <c r="AR448">
        <v>0</v>
      </c>
      <c r="AS448">
        <v>0</v>
      </c>
      <c r="AT448">
        <v>70</v>
      </c>
      <c r="AU448">
        <v>10</v>
      </c>
      <c r="AV448">
        <v>1</v>
      </c>
      <c r="AW448">
        <v>1</v>
      </c>
      <c r="AZ448">
        <v>1</v>
      </c>
      <c r="BA448">
        <v>1</v>
      </c>
      <c r="BB448">
        <v>1</v>
      </c>
      <c r="BC448">
        <v>1</v>
      </c>
      <c r="BD448" t="s">
        <v>3</v>
      </c>
      <c r="BE448" t="s">
        <v>3</v>
      </c>
      <c r="BF448" t="s">
        <v>3</v>
      </c>
      <c r="BG448" t="s">
        <v>3</v>
      </c>
      <c r="BH448">
        <v>0</v>
      </c>
      <c r="BI448">
        <v>4</v>
      </c>
      <c r="BJ448" t="s">
        <v>327</v>
      </c>
      <c r="BM448">
        <v>0</v>
      </c>
      <c r="BN448">
        <v>0</v>
      </c>
      <c r="BO448" t="s">
        <v>3</v>
      </c>
      <c r="BP448">
        <v>0</v>
      </c>
      <c r="BQ448">
        <v>1</v>
      </c>
      <c r="BR448">
        <v>0</v>
      </c>
      <c r="BS448">
        <v>1</v>
      </c>
      <c r="BT448">
        <v>1</v>
      </c>
      <c r="BU448">
        <v>1</v>
      </c>
      <c r="BV448">
        <v>1</v>
      </c>
      <c r="BW448">
        <v>1</v>
      </c>
      <c r="BX448">
        <v>1</v>
      </c>
      <c r="BY448" t="s">
        <v>3</v>
      </c>
      <c r="BZ448">
        <v>70</v>
      </c>
      <c r="CA448">
        <v>10</v>
      </c>
      <c r="CB448" t="s">
        <v>3</v>
      </c>
      <c r="CE448">
        <v>0</v>
      </c>
      <c r="CF448">
        <v>0</v>
      </c>
      <c r="CG448">
        <v>0</v>
      </c>
      <c r="CM448">
        <v>0</v>
      </c>
      <c r="CN448" t="s">
        <v>3</v>
      </c>
      <c r="CO448">
        <v>0</v>
      </c>
      <c r="CP448">
        <f t="shared" si="380"/>
        <v>28482.420000000002</v>
      </c>
      <c r="CQ448">
        <f t="shared" si="381"/>
        <v>13.49</v>
      </c>
      <c r="CR448">
        <f>((((ET448)*BB448-(EU448)*BS448)+AE448*BS448)*AV448)</f>
        <v>8.93</v>
      </c>
      <c r="CS448">
        <f t="shared" si="382"/>
        <v>0.12</v>
      </c>
      <c r="CT448">
        <f t="shared" si="383"/>
        <v>4724.6499999999996</v>
      </c>
      <c r="CU448">
        <f t="shared" si="384"/>
        <v>0</v>
      </c>
      <c r="CV448">
        <f t="shared" si="385"/>
        <v>7.12</v>
      </c>
      <c r="CW448">
        <f t="shared" si="386"/>
        <v>0</v>
      </c>
      <c r="CX448">
        <f t="shared" si="387"/>
        <v>0</v>
      </c>
      <c r="CY448">
        <f t="shared" si="388"/>
        <v>19843.53</v>
      </c>
      <c r="CZ448">
        <f t="shared" si="389"/>
        <v>2834.79</v>
      </c>
      <c r="DC448" t="s">
        <v>3</v>
      </c>
      <c r="DD448" t="s">
        <v>3</v>
      </c>
      <c r="DE448" t="s">
        <v>3</v>
      </c>
      <c r="DF448" t="s">
        <v>3</v>
      </c>
      <c r="DG448" t="s">
        <v>3</v>
      </c>
      <c r="DH448" t="s">
        <v>3</v>
      </c>
      <c r="DI448" t="s">
        <v>3</v>
      </c>
      <c r="DJ448" t="s">
        <v>3</v>
      </c>
      <c r="DK448" t="s">
        <v>3</v>
      </c>
      <c r="DL448" t="s">
        <v>3</v>
      </c>
      <c r="DM448" t="s">
        <v>3</v>
      </c>
      <c r="DN448">
        <v>0</v>
      </c>
      <c r="DO448">
        <v>0</v>
      </c>
      <c r="DP448">
        <v>1</v>
      </c>
      <c r="DQ448">
        <v>1</v>
      </c>
      <c r="DU448">
        <v>1013</v>
      </c>
      <c r="DV448" t="s">
        <v>322</v>
      </c>
      <c r="DW448" t="s">
        <v>322</v>
      </c>
      <c r="DX448">
        <v>1</v>
      </c>
      <c r="DZ448" t="s">
        <v>3</v>
      </c>
      <c r="EA448" t="s">
        <v>3</v>
      </c>
      <c r="EB448" t="s">
        <v>3</v>
      </c>
      <c r="EC448" t="s">
        <v>3</v>
      </c>
      <c r="EE448">
        <v>1441815344</v>
      </c>
      <c r="EF448">
        <v>1</v>
      </c>
      <c r="EG448" t="s">
        <v>23</v>
      </c>
      <c r="EH448">
        <v>0</v>
      </c>
      <c r="EI448" t="s">
        <v>3</v>
      </c>
      <c r="EJ448">
        <v>4</v>
      </c>
      <c r="EK448">
        <v>0</v>
      </c>
      <c r="EL448" t="s">
        <v>24</v>
      </c>
      <c r="EM448" t="s">
        <v>25</v>
      </c>
      <c r="EO448" t="s">
        <v>3</v>
      </c>
      <c r="EQ448">
        <v>1311744</v>
      </c>
      <c r="ER448">
        <v>4747.07</v>
      </c>
      <c r="ES448">
        <v>13.49</v>
      </c>
      <c r="ET448">
        <v>8.93</v>
      </c>
      <c r="EU448">
        <v>0.12</v>
      </c>
      <c r="EV448">
        <v>4724.6499999999996</v>
      </c>
      <c r="EW448">
        <v>7.12</v>
      </c>
      <c r="EX448">
        <v>0</v>
      </c>
      <c r="EY448">
        <v>0</v>
      </c>
      <c r="FQ448">
        <v>0</v>
      </c>
      <c r="FR448">
        <f t="shared" si="390"/>
        <v>0</v>
      </c>
      <c r="FS448">
        <v>0</v>
      </c>
      <c r="FX448">
        <v>70</v>
      </c>
      <c r="FY448">
        <v>10</v>
      </c>
      <c r="GA448" t="s">
        <v>3</v>
      </c>
      <c r="GD448">
        <v>0</v>
      </c>
      <c r="GF448">
        <v>867836691</v>
      </c>
      <c r="GG448">
        <v>2</v>
      </c>
      <c r="GH448">
        <v>1</v>
      </c>
      <c r="GI448">
        <v>-2</v>
      </c>
      <c r="GJ448">
        <v>0</v>
      </c>
      <c r="GK448">
        <f>ROUND(R448*(R12)/100,2)</f>
        <v>0.78</v>
      </c>
      <c r="GL448">
        <f t="shared" si="391"/>
        <v>0</v>
      </c>
      <c r="GM448">
        <f t="shared" si="392"/>
        <v>51161.52</v>
      </c>
      <c r="GN448">
        <f t="shared" si="393"/>
        <v>0</v>
      </c>
      <c r="GO448">
        <f t="shared" si="394"/>
        <v>0</v>
      </c>
      <c r="GP448">
        <f t="shared" si="395"/>
        <v>51161.52</v>
      </c>
      <c r="GR448">
        <v>0</v>
      </c>
      <c r="GS448">
        <v>3</v>
      </c>
      <c r="GT448">
        <v>0</v>
      </c>
      <c r="GU448" t="s">
        <v>3</v>
      </c>
      <c r="GV448">
        <f t="shared" si="396"/>
        <v>0</v>
      </c>
      <c r="GW448">
        <v>1</v>
      </c>
      <c r="GX448">
        <f t="shared" si="397"/>
        <v>0</v>
      </c>
      <c r="HA448">
        <v>0</v>
      </c>
      <c r="HB448">
        <v>0</v>
      </c>
      <c r="HC448">
        <f t="shared" si="398"/>
        <v>0</v>
      </c>
      <c r="HE448" t="s">
        <v>3</v>
      </c>
      <c r="HF448" t="s">
        <v>3</v>
      </c>
      <c r="HM448" t="s">
        <v>3</v>
      </c>
      <c r="HN448" t="s">
        <v>3</v>
      </c>
      <c r="HO448" t="s">
        <v>3</v>
      </c>
      <c r="HP448" t="s">
        <v>3</v>
      </c>
      <c r="HQ448" t="s">
        <v>3</v>
      </c>
      <c r="IK448">
        <v>0</v>
      </c>
    </row>
    <row r="449" spans="1:245" x14ac:dyDescent="0.2">
      <c r="A449">
        <v>17</v>
      </c>
      <c r="B449">
        <v>1</v>
      </c>
      <c r="D449">
        <f>ROW(EtalonRes!A295)</f>
        <v>295</v>
      </c>
      <c r="E449" t="s">
        <v>328</v>
      </c>
      <c r="F449" t="s">
        <v>329</v>
      </c>
      <c r="G449" t="s">
        <v>330</v>
      </c>
      <c r="H449" t="s">
        <v>322</v>
      </c>
      <c r="I449">
        <f>ROUND((1+1)*3,9)</f>
        <v>6</v>
      </c>
      <c r="J449">
        <v>0</v>
      </c>
      <c r="K449">
        <f>ROUND((1+1)*3,9)</f>
        <v>6</v>
      </c>
      <c r="O449">
        <f t="shared" si="366"/>
        <v>25146</v>
      </c>
      <c r="P449">
        <f t="shared" si="367"/>
        <v>120.96</v>
      </c>
      <c r="Q449">
        <f t="shared" si="368"/>
        <v>21.48</v>
      </c>
      <c r="R449">
        <f t="shared" si="369"/>
        <v>0.24</v>
      </c>
      <c r="S449">
        <f t="shared" si="370"/>
        <v>25003.56</v>
      </c>
      <c r="T449">
        <f t="shared" si="371"/>
        <v>0</v>
      </c>
      <c r="U449">
        <f t="shared" si="372"/>
        <v>37.68</v>
      </c>
      <c r="V449">
        <f t="shared" si="373"/>
        <v>0</v>
      </c>
      <c r="W449">
        <f t="shared" si="374"/>
        <v>0</v>
      </c>
      <c r="X449">
        <f t="shared" si="375"/>
        <v>17502.490000000002</v>
      </c>
      <c r="Y449">
        <f t="shared" si="376"/>
        <v>2500.36</v>
      </c>
      <c r="AA449">
        <v>1472224561</v>
      </c>
      <c r="AB449">
        <f t="shared" si="377"/>
        <v>4191</v>
      </c>
      <c r="AC449">
        <f>ROUND(((ES449*2)),6)</f>
        <v>20.16</v>
      </c>
      <c r="AD449">
        <f>ROUND(((((ET449*2))-((EU449*2)))+AE449),6)</f>
        <v>3.58</v>
      </c>
      <c r="AE449">
        <f>ROUND(((EU449*2)),6)</f>
        <v>0.04</v>
      </c>
      <c r="AF449">
        <f>ROUND(((EV449*2)),6)</f>
        <v>4167.26</v>
      </c>
      <c r="AG449">
        <f t="shared" si="378"/>
        <v>0</v>
      </c>
      <c r="AH449">
        <f>((EW449*2))</f>
        <v>6.28</v>
      </c>
      <c r="AI449">
        <f>((EX449*2))</f>
        <v>0</v>
      </c>
      <c r="AJ449">
        <f t="shared" si="379"/>
        <v>0</v>
      </c>
      <c r="AK449">
        <v>2095.5</v>
      </c>
      <c r="AL449">
        <v>10.08</v>
      </c>
      <c r="AM449">
        <v>1.79</v>
      </c>
      <c r="AN449">
        <v>0.02</v>
      </c>
      <c r="AO449">
        <v>2083.63</v>
      </c>
      <c r="AP449">
        <v>0</v>
      </c>
      <c r="AQ449">
        <v>3.14</v>
      </c>
      <c r="AR449">
        <v>0</v>
      </c>
      <c r="AS449">
        <v>0</v>
      </c>
      <c r="AT449">
        <v>70</v>
      </c>
      <c r="AU449">
        <v>10</v>
      </c>
      <c r="AV449">
        <v>1</v>
      </c>
      <c r="AW449">
        <v>1</v>
      </c>
      <c r="AZ449">
        <v>1</v>
      </c>
      <c r="BA449">
        <v>1</v>
      </c>
      <c r="BB449">
        <v>1</v>
      </c>
      <c r="BC449">
        <v>1</v>
      </c>
      <c r="BD449" t="s">
        <v>3</v>
      </c>
      <c r="BE449" t="s">
        <v>3</v>
      </c>
      <c r="BF449" t="s">
        <v>3</v>
      </c>
      <c r="BG449" t="s">
        <v>3</v>
      </c>
      <c r="BH449">
        <v>0</v>
      </c>
      <c r="BI449">
        <v>4</v>
      </c>
      <c r="BJ449" t="s">
        <v>331</v>
      </c>
      <c r="BM449">
        <v>0</v>
      </c>
      <c r="BN449">
        <v>0</v>
      </c>
      <c r="BO449" t="s">
        <v>3</v>
      </c>
      <c r="BP449">
        <v>0</v>
      </c>
      <c r="BQ449">
        <v>1</v>
      </c>
      <c r="BR449">
        <v>0</v>
      </c>
      <c r="BS449">
        <v>1</v>
      </c>
      <c r="BT449">
        <v>1</v>
      </c>
      <c r="BU449">
        <v>1</v>
      </c>
      <c r="BV449">
        <v>1</v>
      </c>
      <c r="BW449">
        <v>1</v>
      </c>
      <c r="BX449">
        <v>1</v>
      </c>
      <c r="BY449" t="s">
        <v>3</v>
      </c>
      <c r="BZ449">
        <v>70</v>
      </c>
      <c r="CA449">
        <v>10</v>
      </c>
      <c r="CB449" t="s">
        <v>3</v>
      </c>
      <c r="CE449">
        <v>0</v>
      </c>
      <c r="CF449">
        <v>0</v>
      </c>
      <c r="CG449">
        <v>0</v>
      </c>
      <c r="CM449">
        <v>0</v>
      </c>
      <c r="CN449" t="s">
        <v>3</v>
      </c>
      <c r="CO449">
        <v>0</v>
      </c>
      <c r="CP449">
        <f t="shared" si="380"/>
        <v>25146</v>
      </c>
      <c r="CQ449">
        <f t="shared" si="381"/>
        <v>20.16</v>
      </c>
      <c r="CR449">
        <f>(((((ET449*2))*BB449-((EU449*2))*BS449)+AE449*BS449)*AV449)</f>
        <v>3.58</v>
      </c>
      <c r="CS449">
        <f t="shared" si="382"/>
        <v>0.04</v>
      </c>
      <c r="CT449">
        <f t="shared" si="383"/>
        <v>4167.26</v>
      </c>
      <c r="CU449">
        <f t="shared" si="384"/>
        <v>0</v>
      </c>
      <c r="CV449">
        <f t="shared" si="385"/>
        <v>6.28</v>
      </c>
      <c r="CW449">
        <f t="shared" si="386"/>
        <v>0</v>
      </c>
      <c r="CX449">
        <f t="shared" si="387"/>
        <v>0</v>
      </c>
      <c r="CY449">
        <f t="shared" si="388"/>
        <v>17502.492000000002</v>
      </c>
      <c r="CZ449">
        <f t="shared" si="389"/>
        <v>2500.3560000000002</v>
      </c>
      <c r="DC449" t="s">
        <v>3</v>
      </c>
      <c r="DD449" t="s">
        <v>164</v>
      </c>
      <c r="DE449" t="s">
        <v>164</v>
      </c>
      <c r="DF449" t="s">
        <v>164</v>
      </c>
      <c r="DG449" t="s">
        <v>164</v>
      </c>
      <c r="DH449" t="s">
        <v>3</v>
      </c>
      <c r="DI449" t="s">
        <v>164</v>
      </c>
      <c r="DJ449" t="s">
        <v>164</v>
      </c>
      <c r="DK449" t="s">
        <v>3</v>
      </c>
      <c r="DL449" t="s">
        <v>3</v>
      </c>
      <c r="DM449" t="s">
        <v>3</v>
      </c>
      <c r="DN449">
        <v>0</v>
      </c>
      <c r="DO449">
        <v>0</v>
      </c>
      <c r="DP449">
        <v>1</v>
      </c>
      <c r="DQ449">
        <v>1</v>
      </c>
      <c r="DU449">
        <v>1013</v>
      </c>
      <c r="DV449" t="s">
        <v>322</v>
      </c>
      <c r="DW449" t="s">
        <v>322</v>
      </c>
      <c r="DX449">
        <v>1</v>
      </c>
      <c r="DZ449" t="s">
        <v>3</v>
      </c>
      <c r="EA449" t="s">
        <v>3</v>
      </c>
      <c r="EB449" t="s">
        <v>3</v>
      </c>
      <c r="EC449" t="s">
        <v>3</v>
      </c>
      <c r="EE449">
        <v>1441815344</v>
      </c>
      <c r="EF449">
        <v>1</v>
      </c>
      <c r="EG449" t="s">
        <v>23</v>
      </c>
      <c r="EH449">
        <v>0</v>
      </c>
      <c r="EI449" t="s">
        <v>3</v>
      </c>
      <c r="EJ449">
        <v>4</v>
      </c>
      <c r="EK449">
        <v>0</v>
      </c>
      <c r="EL449" t="s">
        <v>24</v>
      </c>
      <c r="EM449" t="s">
        <v>25</v>
      </c>
      <c r="EO449" t="s">
        <v>3</v>
      </c>
      <c r="EQ449">
        <v>0</v>
      </c>
      <c r="ER449">
        <v>2095.5</v>
      </c>
      <c r="ES449">
        <v>10.08</v>
      </c>
      <c r="ET449">
        <v>1.79</v>
      </c>
      <c r="EU449">
        <v>0.02</v>
      </c>
      <c r="EV449">
        <v>2083.63</v>
      </c>
      <c r="EW449">
        <v>3.14</v>
      </c>
      <c r="EX449">
        <v>0</v>
      </c>
      <c r="EY449">
        <v>0</v>
      </c>
      <c r="FQ449">
        <v>0</v>
      </c>
      <c r="FR449">
        <f t="shared" si="390"/>
        <v>0</v>
      </c>
      <c r="FS449">
        <v>0</v>
      </c>
      <c r="FX449">
        <v>70</v>
      </c>
      <c r="FY449">
        <v>10</v>
      </c>
      <c r="GA449" t="s">
        <v>3</v>
      </c>
      <c r="GD449">
        <v>0</v>
      </c>
      <c r="GF449">
        <v>984652662</v>
      </c>
      <c r="GG449">
        <v>2</v>
      </c>
      <c r="GH449">
        <v>1</v>
      </c>
      <c r="GI449">
        <v>-2</v>
      </c>
      <c r="GJ449">
        <v>0</v>
      </c>
      <c r="GK449">
        <f>ROUND(R449*(R12)/100,2)</f>
        <v>0.26</v>
      </c>
      <c r="GL449">
        <f t="shared" si="391"/>
        <v>0</v>
      </c>
      <c r="GM449">
        <f t="shared" si="392"/>
        <v>45149.11</v>
      </c>
      <c r="GN449">
        <f t="shared" si="393"/>
        <v>0</v>
      </c>
      <c r="GO449">
        <f t="shared" si="394"/>
        <v>0</v>
      </c>
      <c r="GP449">
        <f t="shared" si="395"/>
        <v>45149.11</v>
      </c>
      <c r="GR449">
        <v>0</v>
      </c>
      <c r="GS449">
        <v>3</v>
      </c>
      <c r="GT449">
        <v>0</v>
      </c>
      <c r="GU449" t="s">
        <v>3</v>
      </c>
      <c r="GV449">
        <f t="shared" si="396"/>
        <v>0</v>
      </c>
      <c r="GW449">
        <v>1</v>
      </c>
      <c r="GX449">
        <f t="shared" si="397"/>
        <v>0</v>
      </c>
      <c r="HA449">
        <v>0</v>
      </c>
      <c r="HB449">
        <v>0</v>
      </c>
      <c r="HC449">
        <f t="shared" si="398"/>
        <v>0</v>
      </c>
      <c r="HE449" t="s">
        <v>3</v>
      </c>
      <c r="HF449" t="s">
        <v>3</v>
      </c>
      <c r="HM449" t="s">
        <v>3</v>
      </c>
      <c r="HN449" t="s">
        <v>3</v>
      </c>
      <c r="HO449" t="s">
        <v>3</v>
      </c>
      <c r="HP449" t="s">
        <v>3</v>
      </c>
      <c r="HQ449" t="s">
        <v>3</v>
      </c>
      <c r="IK449">
        <v>0</v>
      </c>
    </row>
    <row r="450" spans="1:245" x14ac:dyDescent="0.2">
      <c r="A450">
        <v>17</v>
      </c>
      <c r="B450">
        <v>1</v>
      </c>
      <c r="D450">
        <f>ROW(EtalonRes!A298)</f>
        <v>298</v>
      </c>
      <c r="E450" t="s">
        <v>3</v>
      </c>
      <c r="F450" t="s">
        <v>332</v>
      </c>
      <c r="G450" t="s">
        <v>333</v>
      </c>
      <c r="H450" t="s">
        <v>322</v>
      </c>
      <c r="I450">
        <f>ROUND((1+1)*3,9)</f>
        <v>6</v>
      </c>
      <c r="J450">
        <v>0</v>
      </c>
      <c r="K450">
        <f>ROUND((1+1)*3,9)</f>
        <v>6</v>
      </c>
      <c r="O450">
        <f t="shared" si="366"/>
        <v>12451.08</v>
      </c>
      <c r="P450">
        <f t="shared" si="367"/>
        <v>7.56</v>
      </c>
      <c r="Q450">
        <f t="shared" si="368"/>
        <v>21.48</v>
      </c>
      <c r="R450">
        <f t="shared" si="369"/>
        <v>0.24</v>
      </c>
      <c r="S450">
        <f t="shared" si="370"/>
        <v>12422.04</v>
      </c>
      <c r="T450">
        <f t="shared" si="371"/>
        <v>0</v>
      </c>
      <c r="U450">
        <f t="shared" si="372"/>
        <v>18.72</v>
      </c>
      <c r="V450">
        <f t="shared" si="373"/>
        <v>0</v>
      </c>
      <c r="W450">
        <f t="shared" si="374"/>
        <v>0</v>
      </c>
      <c r="X450">
        <f t="shared" si="375"/>
        <v>8695.43</v>
      </c>
      <c r="Y450">
        <f t="shared" si="376"/>
        <v>1242.2</v>
      </c>
      <c r="AA450">
        <v>-1</v>
      </c>
      <c r="AB450">
        <f t="shared" si="377"/>
        <v>2075.1799999999998</v>
      </c>
      <c r="AC450">
        <f>ROUND(((ES450*2)),6)</f>
        <v>1.26</v>
      </c>
      <c r="AD450">
        <f>ROUND(((((ET450*2))-((EU450*2)))+AE450),6)</f>
        <v>3.58</v>
      </c>
      <c r="AE450">
        <f>ROUND(((EU450*2)),6)</f>
        <v>0.04</v>
      </c>
      <c r="AF450">
        <f>ROUND(((EV450*2)),6)</f>
        <v>2070.34</v>
      </c>
      <c r="AG450">
        <f t="shared" si="378"/>
        <v>0</v>
      </c>
      <c r="AH450">
        <f>((EW450*2))</f>
        <v>3.12</v>
      </c>
      <c r="AI450">
        <f>((EX450*2))</f>
        <v>0</v>
      </c>
      <c r="AJ450">
        <f t="shared" si="379"/>
        <v>0</v>
      </c>
      <c r="AK450">
        <v>1037.5899999999999</v>
      </c>
      <c r="AL450">
        <v>0.63</v>
      </c>
      <c r="AM450">
        <v>1.79</v>
      </c>
      <c r="AN450">
        <v>0.02</v>
      </c>
      <c r="AO450">
        <v>1035.17</v>
      </c>
      <c r="AP450">
        <v>0</v>
      </c>
      <c r="AQ450">
        <v>1.56</v>
      </c>
      <c r="AR450">
        <v>0</v>
      </c>
      <c r="AS450">
        <v>0</v>
      </c>
      <c r="AT450">
        <v>70</v>
      </c>
      <c r="AU450">
        <v>10</v>
      </c>
      <c r="AV450">
        <v>1</v>
      </c>
      <c r="AW450">
        <v>1</v>
      </c>
      <c r="AZ450">
        <v>1</v>
      </c>
      <c r="BA450">
        <v>1</v>
      </c>
      <c r="BB450">
        <v>1</v>
      </c>
      <c r="BC450">
        <v>1</v>
      </c>
      <c r="BD450" t="s">
        <v>3</v>
      </c>
      <c r="BE450" t="s">
        <v>3</v>
      </c>
      <c r="BF450" t="s">
        <v>3</v>
      </c>
      <c r="BG450" t="s">
        <v>3</v>
      </c>
      <c r="BH450">
        <v>0</v>
      </c>
      <c r="BI450">
        <v>4</v>
      </c>
      <c r="BJ450" t="s">
        <v>334</v>
      </c>
      <c r="BM450">
        <v>0</v>
      </c>
      <c r="BN450">
        <v>0</v>
      </c>
      <c r="BO450" t="s">
        <v>3</v>
      </c>
      <c r="BP450">
        <v>0</v>
      </c>
      <c r="BQ450">
        <v>1</v>
      </c>
      <c r="BR450">
        <v>0</v>
      </c>
      <c r="BS450">
        <v>1</v>
      </c>
      <c r="BT450">
        <v>1</v>
      </c>
      <c r="BU450">
        <v>1</v>
      </c>
      <c r="BV450">
        <v>1</v>
      </c>
      <c r="BW450">
        <v>1</v>
      </c>
      <c r="BX450">
        <v>1</v>
      </c>
      <c r="BY450" t="s">
        <v>3</v>
      </c>
      <c r="BZ450">
        <v>70</v>
      </c>
      <c r="CA450">
        <v>10</v>
      </c>
      <c r="CB450" t="s">
        <v>3</v>
      </c>
      <c r="CE450">
        <v>0</v>
      </c>
      <c r="CF450">
        <v>0</v>
      </c>
      <c r="CG450">
        <v>0</v>
      </c>
      <c r="CM450">
        <v>0</v>
      </c>
      <c r="CN450" t="s">
        <v>3</v>
      </c>
      <c r="CO450">
        <v>0</v>
      </c>
      <c r="CP450">
        <f t="shared" si="380"/>
        <v>12451.080000000002</v>
      </c>
      <c r="CQ450">
        <f t="shared" si="381"/>
        <v>1.26</v>
      </c>
      <c r="CR450">
        <f>(((((ET450*2))*BB450-((EU450*2))*BS450)+AE450*BS450)*AV450)</f>
        <v>3.58</v>
      </c>
      <c r="CS450">
        <f t="shared" si="382"/>
        <v>0.04</v>
      </c>
      <c r="CT450">
        <f t="shared" si="383"/>
        <v>2070.34</v>
      </c>
      <c r="CU450">
        <f t="shared" si="384"/>
        <v>0</v>
      </c>
      <c r="CV450">
        <f t="shared" si="385"/>
        <v>3.12</v>
      </c>
      <c r="CW450">
        <f t="shared" si="386"/>
        <v>0</v>
      </c>
      <c r="CX450">
        <f t="shared" si="387"/>
        <v>0</v>
      </c>
      <c r="CY450">
        <f t="shared" si="388"/>
        <v>8695.4279999999999</v>
      </c>
      <c r="CZ450">
        <f t="shared" si="389"/>
        <v>1242.2040000000002</v>
      </c>
      <c r="DC450" t="s">
        <v>3</v>
      </c>
      <c r="DD450" t="s">
        <v>164</v>
      </c>
      <c r="DE450" t="s">
        <v>164</v>
      </c>
      <c r="DF450" t="s">
        <v>164</v>
      </c>
      <c r="DG450" t="s">
        <v>164</v>
      </c>
      <c r="DH450" t="s">
        <v>3</v>
      </c>
      <c r="DI450" t="s">
        <v>164</v>
      </c>
      <c r="DJ450" t="s">
        <v>164</v>
      </c>
      <c r="DK450" t="s">
        <v>3</v>
      </c>
      <c r="DL450" t="s">
        <v>3</v>
      </c>
      <c r="DM450" t="s">
        <v>3</v>
      </c>
      <c r="DN450">
        <v>0</v>
      </c>
      <c r="DO450">
        <v>0</v>
      </c>
      <c r="DP450">
        <v>1</v>
      </c>
      <c r="DQ450">
        <v>1</v>
      </c>
      <c r="DU450">
        <v>1013</v>
      </c>
      <c r="DV450" t="s">
        <v>322</v>
      </c>
      <c r="DW450" t="s">
        <v>322</v>
      </c>
      <c r="DX450">
        <v>1</v>
      </c>
      <c r="DZ450" t="s">
        <v>3</v>
      </c>
      <c r="EA450" t="s">
        <v>3</v>
      </c>
      <c r="EB450" t="s">
        <v>3</v>
      </c>
      <c r="EC450" t="s">
        <v>3</v>
      </c>
      <c r="EE450">
        <v>1441815344</v>
      </c>
      <c r="EF450">
        <v>1</v>
      </c>
      <c r="EG450" t="s">
        <v>23</v>
      </c>
      <c r="EH450">
        <v>0</v>
      </c>
      <c r="EI450" t="s">
        <v>3</v>
      </c>
      <c r="EJ450">
        <v>4</v>
      </c>
      <c r="EK450">
        <v>0</v>
      </c>
      <c r="EL450" t="s">
        <v>24</v>
      </c>
      <c r="EM450" t="s">
        <v>25</v>
      </c>
      <c r="EO450" t="s">
        <v>3</v>
      </c>
      <c r="EQ450">
        <v>1024</v>
      </c>
      <c r="ER450">
        <v>1037.5899999999999</v>
      </c>
      <c r="ES450">
        <v>0.63</v>
      </c>
      <c r="ET450">
        <v>1.79</v>
      </c>
      <c r="EU450">
        <v>0.02</v>
      </c>
      <c r="EV450">
        <v>1035.17</v>
      </c>
      <c r="EW450">
        <v>1.56</v>
      </c>
      <c r="EX450">
        <v>0</v>
      </c>
      <c r="EY450">
        <v>0</v>
      </c>
      <c r="FQ450">
        <v>0</v>
      </c>
      <c r="FR450">
        <f t="shared" si="390"/>
        <v>0</v>
      </c>
      <c r="FS450">
        <v>0</v>
      </c>
      <c r="FX450">
        <v>70</v>
      </c>
      <c r="FY450">
        <v>10</v>
      </c>
      <c r="GA450" t="s">
        <v>3</v>
      </c>
      <c r="GD450">
        <v>0</v>
      </c>
      <c r="GF450">
        <v>1684339458</v>
      </c>
      <c r="GG450">
        <v>2</v>
      </c>
      <c r="GH450">
        <v>1</v>
      </c>
      <c r="GI450">
        <v>-2</v>
      </c>
      <c r="GJ450">
        <v>0</v>
      </c>
      <c r="GK450">
        <f>ROUND(R450*(R12)/100,2)</f>
        <v>0.26</v>
      </c>
      <c r="GL450">
        <f t="shared" si="391"/>
        <v>0</v>
      </c>
      <c r="GM450">
        <f t="shared" si="392"/>
        <v>22388.97</v>
      </c>
      <c r="GN450">
        <f t="shared" si="393"/>
        <v>0</v>
      </c>
      <c r="GO450">
        <f t="shared" si="394"/>
        <v>0</v>
      </c>
      <c r="GP450">
        <f t="shared" si="395"/>
        <v>22388.97</v>
      </c>
      <c r="GR450">
        <v>0</v>
      </c>
      <c r="GS450">
        <v>3</v>
      </c>
      <c r="GT450">
        <v>0</v>
      </c>
      <c r="GU450" t="s">
        <v>3</v>
      </c>
      <c r="GV450">
        <f t="shared" si="396"/>
        <v>0</v>
      </c>
      <c r="GW450">
        <v>1</v>
      </c>
      <c r="GX450">
        <f t="shared" si="397"/>
        <v>0</v>
      </c>
      <c r="HA450">
        <v>0</v>
      </c>
      <c r="HB450">
        <v>0</v>
      </c>
      <c r="HC450">
        <f t="shared" si="398"/>
        <v>0</v>
      </c>
      <c r="HE450" t="s">
        <v>3</v>
      </c>
      <c r="HF450" t="s">
        <v>3</v>
      </c>
      <c r="HM450" t="s">
        <v>3</v>
      </c>
      <c r="HN450" t="s">
        <v>3</v>
      </c>
      <c r="HO450" t="s">
        <v>3</v>
      </c>
      <c r="HP450" t="s">
        <v>3</v>
      </c>
      <c r="HQ450" t="s">
        <v>3</v>
      </c>
      <c r="IK450">
        <v>0</v>
      </c>
    </row>
    <row r="451" spans="1:245" x14ac:dyDescent="0.2">
      <c r="A451">
        <v>17</v>
      </c>
      <c r="B451">
        <v>1</v>
      </c>
      <c r="D451">
        <f>ROW(EtalonRes!A308)</f>
        <v>308</v>
      </c>
      <c r="E451" t="s">
        <v>3</v>
      </c>
      <c r="F451" t="s">
        <v>335</v>
      </c>
      <c r="G451" t="s">
        <v>336</v>
      </c>
      <c r="H451" t="s">
        <v>322</v>
      </c>
      <c r="I451">
        <f>ROUND(ROUND(2*3,9),9)</f>
        <v>6</v>
      </c>
      <c r="J451">
        <v>0</v>
      </c>
      <c r="K451">
        <f>ROUND(ROUND(2*3,9),9)</f>
        <v>6</v>
      </c>
      <c r="O451">
        <f t="shared" si="366"/>
        <v>91785.36</v>
      </c>
      <c r="P451">
        <f t="shared" si="367"/>
        <v>2619.8000000000002</v>
      </c>
      <c r="Q451">
        <f t="shared" si="368"/>
        <v>0</v>
      </c>
      <c r="R451">
        <f t="shared" si="369"/>
        <v>0</v>
      </c>
      <c r="S451">
        <f t="shared" si="370"/>
        <v>89165.56</v>
      </c>
      <c r="T451">
        <f t="shared" si="371"/>
        <v>0</v>
      </c>
      <c r="U451">
        <f t="shared" si="372"/>
        <v>144.4</v>
      </c>
      <c r="V451">
        <f t="shared" si="373"/>
        <v>0</v>
      </c>
      <c r="W451">
        <f t="shared" si="374"/>
        <v>0</v>
      </c>
      <c r="X451">
        <f t="shared" si="375"/>
        <v>62415.89</v>
      </c>
      <c r="Y451">
        <f t="shared" si="376"/>
        <v>8916.56</v>
      </c>
      <c r="AA451">
        <v>-1</v>
      </c>
      <c r="AB451">
        <f t="shared" si="377"/>
        <v>15297.56</v>
      </c>
      <c r="AC451">
        <f>ROUND((((ES451/12)*8)),6)</f>
        <v>436.63333299999999</v>
      </c>
      <c r="AD451">
        <f>ROUND((((((ET451/12)*8))-(((EU451/12)*8)))+AE451),6)</f>
        <v>0</v>
      </c>
      <c r="AE451">
        <f>ROUND((((EU451/12)*8)),6)</f>
        <v>0</v>
      </c>
      <c r="AF451">
        <f>ROUND((((EV451/12)*8)),6)</f>
        <v>14860.926667</v>
      </c>
      <c r="AG451">
        <f t="shared" si="378"/>
        <v>0</v>
      </c>
      <c r="AH451">
        <f>(((EW451/12)*8))</f>
        <v>24.066666666666666</v>
      </c>
      <c r="AI451">
        <f>(((EX451/12)*8))</f>
        <v>0</v>
      </c>
      <c r="AJ451">
        <f t="shared" si="379"/>
        <v>0</v>
      </c>
      <c r="AK451">
        <v>22946.34</v>
      </c>
      <c r="AL451">
        <v>654.95000000000005</v>
      </c>
      <c r="AM451">
        <v>0</v>
      </c>
      <c r="AN451">
        <v>0</v>
      </c>
      <c r="AO451">
        <v>22291.39</v>
      </c>
      <c r="AP451">
        <v>0</v>
      </c>
      <c r="AQ451">
        <v>36.1</v>
      </c>
      <c r="AR451">
        <v>0</v>
      </c>
      <c r="AS451">
        <v>0</v>
      </c>
      <c r="AT451">
        <v>70</v>
      </c>
      <c r="AU451">
        <v>10</v>
      </c>
      <c r="AV451">
        <v>1</v>
      </c>
      <c r="AW451">
        <v>1</v>
      </c>
      <c r="AZ451">
        <v>1</v>
      </c>
      <c r="BA451">
        <v>1</v>
      </c>
      <c r="BB451">
        <v>1</v>
      </c>
      <c r="BC451">
        <v>1</v>
      </c>
      <c r="BD451" t="s">
        <v>3</v>
      </c>
      <c r="BE451" t="s">
        <v>3</v>
      </c>
      <c r="BF451" t="s">
        <v>3</v>
      </c>
      <c r="BG451" t="s">
        <v>3</v>
      </c>
      <c r="BH451">
        <v>0</v>
      </c>
      <c r="BI451">
        <v>4</v>
      </c>
      <c r="BJ451" t="s">
        <v>337</v>
      </c>
      <c r="BM451">
        <v>0</v>
      </c>
      <c r="BN451">
        <v>0</v>
      </c>
      <c r="BO451" t="s">
        <v>3</v>
      </c>
      <c r="BP451">
        <v>0</v>
      </c>
      <c r="BQ451">
        <v>1</v>
      </c>
      <c r="BR451">
        <v>0</v>
      </c>
      <c r="BS451">
        <v>1</v>
      </c>
      <c r="BT451">
        <v>1</v>
      </c>
      <c r="BU451">
        <v>1</v>
      </c>
      <c r="BV451">
        <v>1</v>
      </c>
      <c r="BW451">
        <v>1</v>
      </c>
      <c r="BX451">
        <v>1</v>
      </c>
      <c r="BY451" t="s">
        <v>3</v>
      </c>
      <c r="BZ451">
        <v>70</v>
      </c>
      <c r="CA451">
        <v>10</v>
      </c>
      <c r="CB451" t="s">
        <v>3</v>
      </c>
      <c r="CE451">
        <v>0</v>
      </c>
      <c r="CF451">
        <v>0</v>
      </c>
      <c r="CG451">
        <v>0</v>
      </c>
      <c r="CM451">
        <v>0</v>
      </c>
      <c r="CN451" t="s">
        <v>3</v>
      </c>
      <c r="CO451">
        <v>0</v>
      </c>
      <c r="CP451">
        <f t="shared" si="380"/>
        <v>91785.36</v>
      </c>
      <c r="CQ451">
        <f t="shared" si="381"/>
        <v>436.63333299999999</v>
      </c>
      <c r="CR451">
        <f>((((((ET451/12)*8))*BB451-(((EU451/12)*8))*BS451)+AE451*BS451)*AV451)</f>
        <v>0</v>
      </c>
      <c r="CS451">
        <f t="shared" si="382"/>
        <v>0</v>
      </c>
      <c r="CT451">
        <f t="shared" si="383"/>
        <v>14860.926667</v>
      </c>
      <c r="CU451">
        <f t="shared" si="384"/>
        <v>0</v>
      </c>
      <c r="CV451">
        <f t="shared" si="385"/>
        <v>24.066666666666666</v>
      </c>
      <c r="CW451">
        <f t="shared" si="386"/>
        <v>0</v>
      </c>
      <c r="CX451">
        <f t="shared" si="387"/>
        <v>0</v>
      </c>
      <c r="CY451">
        <f t="shared" si="388"/>
        <v>62415.892</v>
      </c>
      <c r="CZ451">
        <f t="shared" si="389"/>
        <v>8916.5560000000005</v>
      </c>
      <c r="DC451" t="s">
        <v>3</v>
      </c>
      <c r="DD451" t="s">
        <v>324</v>
      </c>
      <c r="DE451" t="s">
        <v>324</v>
      </c>
      <c r="DF451" t="s">
        <v>324</v>
      </c>
      <c r="DG451" t="s">
        <v>324</v>
      </c>
      <c r="DH451" t="s">
        <v>3</v>
      </c>
      <c r="DI451" t="s">
        <v>324</v>
      </c>
      <c r="DJ451" t="s">
        <v>324</v>
      </c>
      <c r="DK451" t="s">
        <v>3</v>
      </c>
      <c r="DL451" t="s">
        <v>3</v>
      </c>
      <c r="DM451" t="s">
        <v>3</v>
      </c>
      <c r="DN451">
        <v>0</v>
      </c>
      <c r="DO451">
        <v>0</v>
      </c>
      <c r="DP451">
        <v>1</v>
      </c>
      <c r="DQ451">
        <v>1</v>
      </c>
      <c r="DU451">
        <v>1013</v>
      </c>
      <c r="DV451" t="s">
        <v>322</v>
      </c>
      <c r="DW451" t="s">
        <v>322</v>
      </c>
      <c r="DX451">
        <v>1</v>
      </c>
      <c r="DZ451" t="s">
        <v>3</v>
      </c>
      <c r="EA451" t="s">
        <v>3</v>
      </c>
      <c r="EB451" t="s">
        <v>3</v>
      </c>
      <c r="EC451" t="s">
        <v>3</v>
      </c>
      <c r="EE451">
        <v>1441815344</v>
      </c>
      <c r="EF451">
        <v>1</v>
      </c>
      <c r="EG451" t="s">
        <v>23</v>
      </c>
      <c r="EH451">
        <v>0</v>
      </c>
      <c r="EI451" t="s">
        <v>3</v>
      </c>
      <c r="EJ451">
        <v>4</v>
      </c>
      <c r="EK451">
        <v>0</v>
      </c>
      <c r="EL451" t="s">
        <v>24</v>
      </c>
      <c r="EM451" t="s">
        <v>25</v>
      </c>
      <c r="EO451" t="s">
        <v>3</v>
      </c>
      <c r="EQ451">
        <v>1024</v>
      </c>
      <c r="ER451">
        <v>22946.34</v>
      </c>
      <c r="ES451">
        <v>654.95000000000005</v>
      </c>
      <c r="ET451">
        <v>0</v>
      </c>
      <c r="EU451">
        <v>0</v>
      </c>
      <c r="EV451">
        <v>22291.39</v>
      </c>
      <c r="EW451">
        <v>36.1</v>
      </c>
      <c r="EX451">
        <v>0</v>
      </c>
      <c r="EY451">
        <v>0</v>
      </c>
      <c r="FQ451">
        <v>0</v>
      </c>
      <c r="FR451">
        <f t="shared" si="390"/>
        <v>0</v>
      </c>
      <c r="FS451">
        <v>0</v>
      </c>
      <c r="FX451">
        <v>70</v>
      </c>
      <c r="FY451">
        <v>10</v>
      </c>
      <c r="GA451" t="s">
        <v>3</v>
      </c>
      <c r="GD451">
        <v>0</v>
      </c>
      <c r="GF451">
        <v>86364489</v>
      </c>
      <c r="GG451">
        <v>2</v>
      </c>
      <c r="GH451">
        <v>1</v>
      </c>
      <c r="GI451">
        <v>-2</v>
      </c>
      <c r="GJ451">
        <v>0</v>
      </c>
      <c r="GK451">
        <f>ROUND(R451*(R12)/100,2)</f>
        <v>0</v>
      </c>
      <c r="GL451">
        <f t="shared" si="391"/>
        <v>0</v>
      </c>
      <c r="GM451">
        <f t="shared" si="392"/>
        <v>163117.81</v>
      </c>
      <c r="GN451">
        <f t="shared" si="393"/>
        <v>0</v>
      </c>
      <c r="GO451">
        <f t="shared" si="394"/>
        <v>0</v>
      </c>
      <c r="GP451">
        <f t="shared" si="395"/>
        <v>163117.81</v>
      </c>
      <c r="GR451">
        <v>0</v>
      </c>
      <c r="GS451">
        <v>3</v>
      </c>
      <c r="GT451">
        <v>0</v>
      </c>
      <c r="GU451" t="s">
        <v>3</v>
      </c>
      <c r="GV451">
        <f t="shared" si="396"/>
        <v>0</v>
      </c>
      <c r="GW451">
        <v>1</v>
      </c>
      <c r="GX451">
        <f t="shared" si="397"/>
        <v>0</v>
      </c>
      <c r="HA451">
        <v>0</v>
      </c>
      <c r="HB451">
        <v>0</v>
      </c>
      <c r="HC451">
        <f t="shared" si="398"/>
        <v>0</v>
      </c>
      <c r="HE451" t="s">
        <v>3</v>
      </c>
      <c r="HF451" t="s">
        <v>3</v>
      </c>
      <c r="HM451" t="s">
        <v>3</v>
      </c>
      <c r="HN451" t="s">
        <v>3</v>
      </c>
      <c r="HO451" t="s">
        <v>3</v>
      </c>
      <c r="HP451" t="s">
        <v>3</v>
      </c>
      <c r="HQ451" t="s">
        <v>3</v>
      </c>
      <c r="IK451">
        <v>0</v>
      </c>
    </row>
    <row r="452" spans="1:245" x14ac:dyDescent="0.2">
      <c r="A452">
        <v>17</v>
      </c>
      <c r="B452">
        <v>1</v>
      </c>
      <c r="D452">
        <f>ROW(EtalonRes!A311)</f>
        <v>311</v>
      </c>
      <c r="E452" t="s">
        <v>3</v>
      </c>
      <c r="F452" t="s">
        <v>338</v>
      </c>
      <c r="G452" t="s">
        <v>339</v>
      </c>
      <c r="H452" t="s">
        <v>322</v>
      </c>
      <c r="I452">
        <f>ROUND(2*3,9)</f>
        <v>6</v>
      </c>
      <c r="J452">
        <v>0</v>
      </c>
      <c r="K452">
        <f>ROUND(2*3,9)</f>
        <v>6</v>
      </c>
      <c r="O452">
        <f t="shared" si="366"/>
        <v>21914.7</v>
      </c>
      <c r="P452">
        <f t="shared" si="367"/>
        <v>16.739999999999998</v>
      </c>
      <c r="Q452">
        <f t="shared" si="368"/>
        <v>0</v>
      </c>
      <c r="R452">
        <f t="shared" si="369"/>
        <v>0</v>
      </c>
      <c r="S452">
        <f t="shared" si="370"/>
        <v>21897.96</v>
      </c>
      <c r="T452">
        <f t="shared" si="371"/>
        <v>0</v>
      </c>
      <c r="U452">
        <f t="shared" si="372"/>
        <v>33</v>
      </c>
      <c r="V452">
        <f t="shared" si="373"/>
        <v>0</v>
      </c>
      <c r="W452">
        <f t="shared" si="374"/>
        <v>0</v>
      </c>
      <c r="X452">
        <f t="shared" si="375"/>
        <v>15328.57</v>
      </c>
      <c r="Y452">
        <f t="shared" si="376"/>
        <v>2189.8000000000002</v>
      </c>
      <c r="AA452">
        <v>-1</v>
      </c>
      <c r="AB452">
        <f t="shared" si="377"/>
        <v>3652.45</v>
      </c>
      <c r="AC452">
        <f>ROUND((ES452),6)</f>
        <v>2.79</v>
      </c>
      <c r="AD452">
        <f>ROUND((((ET452)-(EU452))+AE452),6)</f>
        <v>0</v>
      </c>
      <c r="AE452">
        <f>ROUND((EU452),6)</f>
        <v>0</v>
      </c>
      <c r="AF452">
        <f>ROUND((EV452),6)</f>
        <v>3649.66</v>
      </c>
      <c r="AG452">
        <f t="shared" si="378"/>
        <v>0</v>
      </c>
      <c r="AH452">
        <f>(EW452)</f>
        <v>5.5</v>
      </c>
      <c r="AI452">
        <f>(EX452)</f>
        <v>0</v>
      </c>
      <c r="AJ452">
        <f t="shared" si="379"/>
        <v>0</v>
      </c>
      <c r="AK452">
        <v>3652.45</v>
      </c>
      <c r="AL452">
        <v>2.79</v>
      </c>
      <c r="AM452">
        <v>0</v>
      </c>
      <c r="AN452">
        <v>0</v>
      </c>
      <c r="AO452">
        <v>3649.66</v>
      </c>
      <c r="AP452">
        <v>0</v>
      </c>
      <c r="AQ452">
        <v>5.5</v>
      </c>
      <c r="AR452">
        <v>0</v>
      </c>
      <c r="AS452">
        <v>0</v>
      </c>
      <c r="AT452">
        <v>70</v>
      </c>
      <c r="AU452">
        <v>10</v>
      </c>
      <c r="AV452">
        <v>1</v>
      </c>
      <c r="AW452">
        <v>1</v>
      </c>
      <c r="AZ452">
        <v>1</v>
      </c>
      <c r="BA452">
        <v>1</v>
      </c>
      <c r="BB452">
        <v>1</v>
      </c>
      <c r="BC452">
        <v>1</v>
      </c>
      <c r="BD452" t="s">
        <v>3</v>
      </c>
      <c r="BE452" t="s">
        <v>3</v>
      </c>
      <c r="BF452" t="s">
        <v>3</v>
      </c>
      <c r="BG452" t="s">
        <v>3</v>
      </c>
      <c r="BH452">
        <v>0</v>
      </c>
      <c r="BI452">
        <v>4</v>
      </c>
      <c r="BJ452" t="s">
        <v>340</v>
      </c>
      <c r="BM452">
        <v>0</v>
      </c>
      <c r="BN452">
        <v>0</v>
      </c>
      <c r="BO452" t="s">
        <v>3</v>
      </c>
      <c r="BP452">
        <v>0</v>
      </c>
      <c r="BQ452">
        <v>1</v>
      </c>
      <c r="BR452">
        <v>0</v>
      </c>
      <c r="BS452">
        <v>1</v>
      </c>
      <c r="BT452">
        <v>1</v>
      </c>
      <c r="BU452">
        <v>1</v>
      </c>
      <c r="BV452">
        <v>1</v>
      </c>
      <c r="BW452">
        <v>1</v>
      </c>
      <c r="BX452">
        <v>1</v>
      </c>
      <c r="BY452" t="s">
        <v>3</v>
      </c>
      <c r="BZ452">
        <v>70</v>
      </c>
      <c r="CA452">
        <v>10</v>
      </c>
      <c r="CB452" t="s">
        <v>3</v>
      </c>
      <c r="CE452">
        <v>0</v>
      </c>
      <c r="CF452">
        <v>0</v>
      </c>
      <c r="CG452">
        <v>0</v>
      </c>
      <c r="CM452">
        <v>0</v>
      </c>
      <c r="CN452" t="s">
        <v>3</v>
      </c>
      <c r="CO452">
        <v>0</v>
      </c>
      <c r="CP452">
        <f t="shared" si="380"/>
        <v>21914.7</v>
      </c>
      <c r="CQ452">
        <f t="shared" si="381"/>
        <v>2.79</v>
      </c>
      <c r="CR452">
        <f>((((ET452)*BB452-(EU452)*BS452)+AE452*BS452)*AV452)</f>
        <v>0</v>
      </c>
      <c r="CS452">
        <f t="shared" si="382"/>
        <v>0</v>
      </c>
      <c r="CT452">
        <f t="shared" si="383"/>
        <v>3649.66</v>
      </c>
      <c r="CU452">
        <f t="shared" si="384"/>
        <v>0</v>
      </c>
      <c r="CV452">
        <f t="shared" si="385"/>
        <v>5.5</v>
      </c>
      <c r="CW452">
        <f t="shared" si="386"/>
        <v>0</v>
      </c>
      <c r="CX452">
        <f t="shared" si="387"/>
        <v>0</v>
      </c>
      <c r="CY452">
        <f t="shared" si="388"/>
        <v>15328.572</v>
      </c>
      <c r="CZ452">
        <f t="shared" si="389"/>
        <v>2189.7959999999998</v>
      </c>
      <c r="DC452" t="s">
        <v>3</v>
      </c>
      <c r="DD452" t="s">
        <v>3</v>
      </c>
      <c r="DE452" t="s">
        <v>3</v>
      </c>
      <c r="DF452" t="s">
        <v>3</v>
      </c>
      <c r="DG452" t="s">
        <v>3</v>
      </c>
      <c r="DH452" t="s">
        <v>3</v>
      </c>
      <c r="DI452" t="s">
        <v>3</v>
      </c>
      <c r="DJ452" t="s">
        <v>3</v>
      </c>
      <c r="DK452" t="s">
        <v>3</v>
      </c>
      <c r="DL452" t="s">
        <v>3</v>
      </c>
      <c r="DM452" t="s">
        <v>3</v>
      </c>
      <c r="DN452">
        <v>0</v>
      </c>
      <c r="DO452">
        <v>0</v>
      </c>
      <c r="DP452">
        <v>1</v>
      </c>
      <c r="DQ452">
        <v>1</v>
      </c>
      <c r="DU452">
        <v>1013</v>
      </c>
      <c r="DV452" t="s">
        <v>322</v>
      </c>
      <c r="DW452" t="s">
        <v>322</v>
      </c>
      <c r="DX452">
        <v>1</v>
      </c>
      <c r="DZ452" t="s">
        <v>3</v>
      </c>
      <c r="EA452" t="s">
        <v>3</v>
      </c>
      <c r="EB452" t="s">
        <v>3</v>
      </c>
      <c r="EC452" t="s">
        <v>3</v>
      </c>
      <c r="EE452">
        <v>1441815344</v>
      </c>
      <c r="EF452">
        <v>1</v>
      </c>
      <c r="EG452" t="s">
        <v>23</v>
      </c>
      <c r="EH452">
        <v>0</v>
      </c>
      <c r="EI452" t="s">
        <v>3</v>
      </c>
      <c r="EJ452">
        <v>4</v>
      </c>
      <c r="EK452">
        <v>0</v>
      </c>
      <c r="EL452" t="s">
        <v>24</v>
      </c>
      <c r="EM452" t="s">
        <v>25</v>
      </c>
      <c r="EO452" t="s">
        <v>3</v>
      </c>
      <c r="EQ452">
        <v>1311744</v>
      </c>
      <c r="ER452">
        <v>3652.45</v>
      </c>
      <c r="ES452">
        <v>2.79</v>
      </c>
      <c r="ET452">
        <v>0</v>
      </c>
      <c r="EU452">
        <v>0</v>
      </c>
      <c r="EV452">
        <v>3649.66</v>
      </c>
      <c r="EW452">
        <v>5.5</v>
      </c>
      <c r="EX452">
        <v>0</v>
      </c>
      <c r="EY452">
        <v>0</v>
      </c>
      <c r="FQ452">
        <v>0</v>
      </c>
      <c r="FR452">
        <f t="shared" si="390"/>
        <v>0</v>
      </c>
      <c r="FS452">
        <v>0</v>
      </c>
      <c r="FX452">
        <v>70</v>
      </c>
      <c r="FY452">
        <v>10</v>
      </c>
      <c r="GA452" t="s">
        <v>3</v>
      </c>
      <c r="GD452">
        <v>0</v>
      </c>
      <c r="GF452">
        <v>1979362590</v>
      </c>
      <c r="GG452">
        <v>2</v>
      </c>
      <c r="GH452">
        <v>1</v>
      </c>
      <c r="GI452">
        <v>-2</v>
      </c>
      <c r="GJ452">
        <v>0</v>
      </c>
      <c r="GK452">
        <f>ROUND(R452*(R12)/100,2)</f>
        <v>0</v>
      </c>
      <c r="GL452">
        <f t="shared" si="391"/>
        <v>0</v>
      </c>
      <c r="GM452">
        <f t="shared" si="392"/>
        <v>39433.07</v>
      </c>
      <c r="GN452">
        <f t="shared" si="393"/>
        <v>0</v>
      </c>
      <c r="GO452">
        <f t="shared" si="394"/>
        <v>0</v>
      </c>
      <c r="GP452">
        <f t="shared" si="395"/>
        <v>39433.07</v>
      </c>
      <c r="GR452">
        <v>0</v>
      </c>
      <c r="GS452">
        <v>3</v>
      </c>
      <c r="GT452">
        <v>0</v>
      </c>
      <c r="GU452" t="s">
        <v>3</v>
      </c>
      <c r="GV452">
        <f t="shared" si="396"/>
        <v>0</v>
      </c>
      <c r="GW452">
        <v>1</v>
      </c>
      <c r="GX452">
        <f t="shared" si="397"/>
        <v>0</v>
      </c>
      <c r="HA452">
        <v>0</v>
      </c>
      <c r="HB452">
        <v>0</v>
      </c>
      <c r="HC452">
        <f t="shared" si="398"/>
        <v>0</v>
      </c>
      <c r="HE452" t="s">
        <v>3</v>
      </c>
      <c r="HF452" t="s">
        <v>3</v>
      </c>
      <c r="HM452" t="s">
        <v>3</v>
      </c>
      <c r="HN452" t="s">
        <v>3</v>
      </c>
      <c r="HO452" t="s">
        <v>3</v>
      </c>
      <c r="HP452" t="s">
        <v>3</v>
      </c>
      <c r="HQ452" t="s">
        <v>3</v>
      </c>
      <c r="IK452">
        <v>0</v>
      </c>
    </row>
    <row r="453" spans="1:245" x14ac:dyDescent="0.2">
      <c r="A453">
        <v>17</v>
      </c>
      <c r="B453">
        <v>1</v>
      </c>
      <c r="D453">
        <f>ROW(EtalonRes!A313)</f>
        <v>313</v>
      </c>
      <c r="E453" t="s">
        <v>341</v>
      </c>
      <c r="F453" t="s">
        <v>342</v>
      </c>
      <c r="G453" t="s">
        <v>343</v>
      </c>
      <c r="H453" t="s">
        <v>322</v>
      </c>
      <c r="I453">
        <f>ROUND(2*3,9)</f>
        <v>6</v>
      </c>
      <c r="J453">
        <v>0</v>
      </c>
      <c r="K453">
        <f>ROUND(2*3,9)</f>
        <v>6</v>
      </c>
      <c r="O453">
        <f t="shared" si="366"/>
        <v>18952.080000000002</v>
      </c>
      <c r="P453">
        <f t="shared" si="367"/>
        <v>0.36</v>
      </c>
      <c r="Q453">
        <f t="shared" si="368"/>
        <v>0</v>
      </c>
      <c r="R453">
        <f t="shared" si="369"/>
        <v>0</v>
      </c>
      <c r="S453">
        <f t="shared" si="370"/>
        <v>18951.72</v>
      </c>
      <c r="T453">
        <f t="shared" si="371"/>
        <v>0</v>
      </c>
      <c r="U453">
        <f t="shared" si="372"/>
        <v>28.56</v>
      </c>
      <c r="V453">
        <f t="shared" si="373"/>
        <v>0</v>
      </c>
      <c r="W453">
        <f t="shared" si="374"/>
        <v>0</v>
      </c>
      <c r="X453">
        <f t="shared" si="375"/>
        <v>13266.2</v>
      </c>
      <c r="Y453">
        <f t="shared" si="376"/>
        <v>1895.17</v>
      </c>
      <c r="AA453">
        <v>1472224561</v>
      </c>
      <c r="AB453">
        <f t="shared" si="377"/>
        <v>3158.68</v>
      </c>
      <c r="AC453">
        <f>ROUND(((ES453*2)),6)</f>
        <v>0.06</v>
      </c>
      <c r="AD453">
        <f>ROUND(((((ET453*2))-((EU453*2)))+AE453),6)</f>
        <v>0</v>
      </c>
      <c r="AE453">
        <f>ROUND(((EU453*2)),6)</f>
        <v>0</v>
      </c>
      <c r="AF453">
        <f>ROUND(((EV453*2)),6)</f>
        <v>3158.62</v>
      </c>
      <c r="AG453">
        <f t="shared" si="378"/>
        <v>0</v>
      </c>
      <c r="AH453">
        <f>((EW453*2))</f>
        <v>4.76</v>
      </c>
      <c r="AI453">
        <f>((EX453*2))</f>
        <v>0</v>
      </c>
      <c r="AJ453">
        <f t="shared" si="379"/>
        <v>0</v>
      </c>
      <c r="AK453">
        <v>1579.34</v>
      </c>
      <c r="AL453">
        <v>0.03</v>
      </c>
      <c r="AM453">
        <v>0</v>
      </c>
      <c r="AN453">
        <v>0</v>
      </c>
      <c r="AO453">
        <v>1579.31</v>
      </c>
      <c r="AP453">
        <v>0</v>
      </c>
      <c r="AQ453">
        <v>2.38</v>
      </c>
      <c r="AR453">
        <v>0</v>
      </c>
      <c r="AS453">
        <v>0</v>
      </c>
      <c r="AT453">
        <v>70</v>
      </c>
      <c r="AU453">
        <v>10</v>
      </c>
      <c r="AV453">
        <v>1</v>
      </c>
      <c r="AW453">
        <v>1</v>
      </c>
      <c r="AZ453">
        <v>1</v>
      </c>
      <c r="BA453">
        <v>1</v>
      </c>
      <c r="BB453">
        <v>1</v>
      </c>
      <c r="BC453">
        <v>1</v>
      </c>
      <c r="BD453" t="s">
        <v>3</v>
      </c>
      <c r="BE453" t="s">
        <v>3</v>
      </c>
      <c r="BF453" t="s">
        <v>3</v>
      </c>
      <c r="BG453" t="s">
        <v>3</v>
      </c>
      <c r="BH453">
        <v>0</v>
      </c>
      <c r="BI453">
        <v>4</v>
      </c>
      <c r="BJ453" t="s">
        <v>344</v>
      </c>
      <c r="BM453">
        <v>0</v>
      </c>
      <c r="BN453">
        <v>0</v>
      </c>
      <c r="BO453" t="s">
        <v>3</v>
      </c>
      <c r="BP453">
        <v>0</v>
      </c>
      <c r="BQ453">
        <v>1</v>
      </c>
      <c r="BR453">
        <v>0</v>
      </c>
      <c r="BS453">
        <v>1</v>
      </c>
      <c r="BT453">
        <v>1</v>
      </c>
      <c r="BU453">
        <v>1</v>
      </c>
      <c r="BV453">
        <v>1</v>
      </c>
      <c r="BW453">
        <v>1</v>
      </c>
      <c r="BX453">
        <v>1</v>
      </c>
      <c r="BY453" t="s">
        <v>3</v>
      </c>
      <c r="BZ453">
        <v>70</v>
      </c>
      <c r="CA453">
        <v>10</v>
      </c>
      <c r="CB453" t="s">
        <v>3</v>
      </c>
      <c r="CE453">
        <v>0</v>
      </c>
      <c r="CF453">
        <v>0</v>
      </c>
      <c r="CG453">
        <v>0</v>
      </c>
      <c r="CM453">
        <v>0</v>
      </c>
      <c r="CN453" t="s">
        <v>3</v>
      </c>
      <c r="CO453">
        <v>0</v>
      </c>
      <c r="CP453">
        <f t="shared" si="380"/>
        <v>18952.080000000002</v>
      </c>
      <c r="CQ453">
        <f t="shared" si="381"/>
        <v>0.06</v>
      </c>
      <c r="CR453">
        <f>(((((ET453*2))*BB453-((EU453*2))*BS453)+AE453*BS453)*AV453)</f>
        <v>0</v>
      </c>
      <c r="CS453">
        <f t="shared" si="382"/>
        <v>0</v>
      </c>
      <c r="CT453">
        <f t="shared" si="383"/>
        <v>3158.62</v>
      </c>
      <c r="CU453">
        <f t="shared" si="384"/>
        <v>0</v>
      </c>
      <c r="CV453">
        <f t="shared" si="385"/>
        <v>4.76</v>
      </c>
      <c r="CW453">
        <f t="shared" si="386"/>
        <v>0</v>
      </c>
      <c r="CX453">
        <f t="shared" si="387"/>
        <v>0</v>
      </c>
      <c r="CY453">
        <f t="shared" si="388"/>
        <v>13266.204000000002</v>
      </c>
      <c r="CZ453">
        <f t="shared" si="389"/>
        <v>1895.172</v>
      </c>
      <c r="DC453" t="s">
        <v>3</v>
      </c>
      <c r="DD453" t="s">
        <v>164</v>
      </c>
      <c r="DE453" t="s">
        <v>164</v>
      </c>
      <c r="DF453" t="s">
        <v>164</v>
      </c>
      <c r="DG453" t="s">
        <v>164</v>
      </c>
      <c r="DH453" t="s">
        <v>3</v>
      </c>
      <c r="DI453" t="s">
        <v>164</v>
      </c>
      <c r="DJ453" t="s">
        <v>164</v>
      </c>
      <c r="DK453" t="s">
        <v>3</v>
      </c>
      <c r="DL453" t="s">
        <v>3</v>
      </c>
      <c r="DM453" t="s">
        <v>3</v>
      </c>
      <c r="DN453">
        <v>0</v>
      </c>
      <c r="DO453">
        <v>0</v>
      </c>
      <c r="DP453">
        <v>1</v>
      </c>
      <c r="DQ453">
        <v>1</v>
      </c>
      <c r="DU453">
        <v>1013</v>
      </c>
      <c r="DV453" t="s">
        <v>322</v>
      </c>
      <c r="DW453" t="s">
        <v>322</v>
      </c>
      <c r="DX453">
        <v>1</v>
      </c>
      <c r="DZ453" t="s">
        <v>3</v>
      </c>
      <c r="EA453" t="s">
        <v>3</v>
      </c>
      <c r="EB453" t="s">
        <v>3</v>
      </c>
      <c r="EC453" t="s">
        <v>3</v>
      </c>
      <c r="EE453">
        <v>1441815344</v>
      </c>
      <c r="EF453">
        <v>1</v>
      </c>
      <c r="EG453" t="s">
        <v>23</v>
      </c>
      <c r="EH453">
        <v>0</v>
      </c>
      <c r="EI453" t="s">
        <v>3</v>
      </c>
      <c r="EJ453">
        <v>4</v>
      </c>
      <c r="EK453">
        <v>0</v>
      </c>
      <c r="EL453" t="s">
        <v>24</v>
      </c>
      <c r="EM453" t="s">
        <v>25</v>
      </c>
      <c r="EO453" t="s">
        <v>3</v>
      </c>
      <c r="EQ453">
        <v>0</v>
      </c>
      <c r="ER453">
        <v>1579.34</v>
      </c>
      <c r="ES453">
        <v>0.03</v>
      </c>
      <c r="ET453">
        <v>0</v>
      </c>
      <c r="EU453">
        <v>0</v>
      </c>
      <c r="EV453">
        <v>1579.31</v>
      </c>
      <c r="EW453">
        <v>2.38</v>
      </c>
      <c r="EX453">
        <v>0</v>
      </c>
      <c r="EY453">
        <v>0</v>
      </c>
      <c r="FQ453">
        <v>0</v>
      </c>
      <c r="FR453">
        <f t="shared" si="390"/>
        <v>0</v>
      </c>
      <c r="FS453">
        <v>0</v>
      </c>
      <c r="FX453">
        <v>70</v>
      </c>
      <c r="FY453">
        <v>10</v>
      </c>
      <c r="GA453" t="s">
        <v>3</v>
      </c>
      <c r="GD453">
        <v>0</v>
      </c>
      <c r="GF453">
        <v>-1593979091</v>
      </c>
      <c r="GG453">
        <v>2</v>
      </c>
      <c r="GH453">
        <v>1</v>
      </c>
      <c r="GI453">
        <v>-2</v>
      </c>
      <c r="GJ453">
        <v>0</v>
      </c>
      <c r="GK453">
        <f>ROUND(R453*(R12)/100,2)</f>
        <v>0</v>
      </c>
      <c r="GL453">
        <f t="shared" si="391"/>
        <v>0</v>
      </c>
      <c r="GM453">
        <f t="shared" si="392"/>
        <v>34113.449999999997</v>
      </c>
      <c r="GN453">
        <f t="shared" si="393"/>
        <v>0</v>
      </c>
      <c r="GO453">
        <f t="shared" si="394"/>
        <v>0</v>
      </c>
      <c r="GP453">
        <f t="shared" si="395"/>
        <v>34113.449999999997</v>
      </c>
      <c r="GR453">
        <v>0</v>
      </c>
      <c r="GS453">
        <v>3</v>
      </c>
      <c r="GT453">
        <v>0</v>
      </c>
      <c r="GU453" t="s">
        <v>3</v>
      </c>
      <c r="GV453">
        <f t="shared" si="396"/>
        <v>0</v>
      </c>
      <c r="GW453">
        <v>1</v>
      </c>
      <c r="GX453">
        <f t="shared" si="397"/>
        <v>0</v>
      </c>
      <c r="HA453">
        <v>0</v>
      </c>
      <c r="HB453">
        <v>0</v>
      </c>
      <c r="HC453">
        <f t="shared" si="398"/>
        <v>0</v>
      </c>
      <c r="HE453" t="s">
        <v>3</v>
      </c>
      <c r="HF453" t="s">
        <v>3</v>
      </c>
      <c r="HM453" t="s">
        <v>3</v>
      </c>
      <c r="HN453" t="s">
        <v>3</v>
      </c>
      <c r="HO453" t="s">
        <v>3</v>
      </c>
      <c r="HP453" t="s">
        <v>3</v>
      </c>
      <c r="HQ453" t="s">
        <v>3</v>
      </c>
      <c r="IK453">
        <v>0</v>
      </c>
    </row>
    <row r="454" spans="1:245" x14ac:dyDescent="0.2">
      <c r="A454">
        <v>17</v>
      </c>
      <c r="B454">
        <v>1</v>
      </c>
      <c r="D454">
        <f>ROW(EtalonRes!A315)</f>
        <v>315</v>
      </c>
      <c r="E454" t="s">
        <v>3</v>
      </c>
      <c r="F454" t="s">
        <v>345</v>
      </c>
      <c r="G454" t="s">
        <v>346</v>
      </c>
      <c r="H454" t="s">
        <v>322</v>
      </c>
      <c r="I454">
        <f>ROUND(2*3,9)</f>
        <v>6</v>
      </c>
      <c r="J454">
        <v>0</v>
      </c>
      <c r="K454">
        <f>ROUND(2*3,9)</f>
        <v>6</v>
      </c>
      <c r="O454">
        <f t="shared" si="366"/>
        <v>8759.64</v>
      </c>
      <c r="P454">
        <f t="shared" si="367"/>
        <v>0.48</v>
      </c>
      <c r="Q454">
        <f t="shared" si="368"/>
        <v>0</v>
      </c>
      <c r="R454">
        <f t="shared" si="369"/>
        <v>0</v>
      </c>
      <c r="S454">
        <f t="shared" si="370"/>
        <v>8759.16</v>
      </c>
      <c r="T454">
        <f t="shared" si="371"/>
        <v>0</v>
      </c>
      <c r="U454">
        <f t="shared" si="372"/>
        <v>13.200000000000001</v>
      </c>
      <c r="V454">
        <f t="shared" si="373"/>
        <v>0</v>
      </c>
      <c r="W454">
        <f t="shared" si="374"/>
        <v>0</v>
      </c>
      <c r="X454">
        <f t="shared" si="375"/>
        <v>6131.41</v>
      </c>
      <c r="Y454">
        <f t="shared" si="376"/>
        <v>875.92</v>
      </c>
      <c r="AA454">
        <v>-1</v>
      </c>
      <c r="AB454">
        <f t="shared" si="377"/>
        <v>1459.94</v>
      </c>
      <c r="AC454">
        <f>ROUND(((ES454*2)),6)</f>
        <v>0.08</v>
      </c>
      <c r="AD454">
        <f>ROUND(((((ET454*2))-((EU454*2)))+AE454),6)</f>
        <v>0</v>
      </c>
      <c r="AE454">
        <f>ROUND(((EU454*2)),6)</f>
        <v>0</v>
      </c>
      <c r="AF454">
        <f>ROUND(((EV454*2)),6)</f>
        <v>1459.86</v>
      </c>
      <c r="AG454">
        <f t="shared" si="378"/>
        <v>0</v>
      </c>
      <c r="AH454">
        <f>((EW454*2))</f>
        <v>2.2000000000000002</v>
      </c>
      <c r="AI454">
        <f>((EX454*2))</f>
        <v>0</v>
      </c>
      <c r="AJ454">
        <f t="shared" si="379"/>
        <v>0</v>
      </c>
      <c r="AK454">
        <v>729.97</v>
      </c>
      <c r="AL454">
        <v>0.04</v>
      </c>
      <c r="AM454">
        <v>0</v>
      </c>
      <c r="AN454">
        <v>0</v>
      </c>
      <c r="AO454">
        <v>729.93</v>
      </c>
      <c r="AP454">
        <v>0</v>
      </c>
      <c r="AQ454">
        <v>1.1000000000000001</v>
      </c>
      <c r="AR454">
        <v>0</v>
      </c>
      <c r="AS454">
        <v>0</v>
      </c>
      <c r="AT454">
        <v>70</v>
      </c>
      <c r="AU454">
        <v>10</v>
      </c>
      <c r="AV454">
        <v>1</v>
      </c>
      <c r="AW454">
        <v>1</v>
      </c>
      <c r="AZ454">
        <v>1</v>
      </c>
      <c r="BA454">
        <v>1</v>
      </c>
      <c r="BB454">
        <v>1</v>
      </c>
      <c r="BC454">
        <v>1</v>
      </c>
      <c r="BD454" t="s">
        <v>3</v>
      </c>
      <c r="BE454" t="s">
        <v>3</v>
      </c>
      <c r="BF454" t="s">
        <v>3</v>
      </c>
      <c r="BG454" t="s">
        <v>3</v>
      </c>
      <c r="BH454">
        <v>0</v>
      </c>
      <c r="BI454">
        <v>4</v>
      </c>
      <c r="BJ454" t="s">
        <v>347</v>
      </c>
      <c r="BM454">
        <v>0</v>
      </c>
      <c r="BN454">
        <v>0</v>
      </c>
      <c r="BO454" t="s">
        <v>3</v>
      </c>
      <c r="BP454">
        <v>0</v>
      </c>
      <c r="BQ454">
        <v>1</v>
      </c>
      <c r="BR454">
        <v>0</v>
      </c>
      <c r="BS454">
        <v>1</v>
      </c>
      <c r="BT454">
        <v>1</v>
      </c>
      <c r="BU454">
        <v>1</v>
      </c>
      <c r="BV454">
        <v>1</v>
      </c>
      <c r="BW454">
        <v>1</v>
      </c>
      <c r="BX454">
        <v>1</v>
      </c>
      <c r="BY454" t="s">
        <v>3</v>
      </c>
      <c r="BZ454">
        <v>70</v>
      </c>
      <c r="CA454">
        <v>10</v>
      </c>
      <c r="CB454" t="s">
        <v>3</v>
      </c>
      <c r="CE454">
        <v>0</v>
      </c>
      <c r="CF454">
        <v>0</v>
      </c>
      <c r="CG454">
        <v>0</v>
      </c>
      <c r="CM454">
        <v>0</v>
      </c>
      <c r="CN454" t="s">
        <v>3</v>
      </c>
      <c r="CO454">
        <v>0</v>
      </c>
      <c r="CP454">
        <f t="shared" si="380"/>
        <v>8759.64</v>
      </c>
      <c r="CQ454">
        <f t="shared" si="381"/>
        <v>0.08</v>
      </c>
      <c r="CR454">
        <f>(((((ET454*2))*BB454-((EU454*2))*BS454)+AE454*BS454)*AV454)</f>
        <v>0</v>
      </c>
      <c r="CS454">
        <f t="shared" si="382"/>
        <v>0</v>
      </c>
      <c r="CT454">
        <f t="shared" si="383"/>
        <v>1459.86</v>
      </c>
      <c r="CU454">
        <f t="shared" si="384"/>
        <v>0</v>
      </c>
      <c r="CV454">
        <f t="shared" si="385"/>
        <v>2.2000000000000002</v>
      </c>
      <c r="CW454">
        <f t="shared" si="386"/>
        <v>0</v>
      </c>
      <c r="CX454">
        <f t="shared" si="387"/>
        <v>0</v>
      </c>
      <c r="CY454">
        <f t="shared" si="388"/>
        <v>6131.4119999999994</v>
      </c>
      <c r="CZ454">
        <f t="shared" si="389"/>
        <v>875.91600000000005</v>
      </c>
      <c r="DC454" t="s">
        <v>3</v>
      </c>
      <c r="DD454" t="s">
        <v>164</v>
      </c>
      <c r="DE454" t="s">
        <v>164</v>
      </c>
      <c r="DF454" t="s">
        <v>164</v>
      </c>
      <c r="DG454" t="s">
        <v>164</v>
      </c>
      <c r="DH454" t="s">
        <v>3</v>
      </c>
      <c r="DI454" t="s">
        <v>164</v>
      </c>
      <c r="DJ454" t="s">
        <v>164</v>
      </c>
      <c r="DK454" t="s">
        <v>3</v>
      </c>
      <c r="DL454" t="s">
        <v>3</v>
      </c>
      <c r="DM454" t="s">
        <v>3</v>
      </c>
      <c r="DN454">
        <v>0</v>
      </c>
      <c r="DO454">
        <v>0</v>
      </c>
      <c r="DP454">
        <v>1</v>
      </c>
      <c r="DQ454">
        <v>1</v>
      </c>
      <c r="DU454">
        <v>1013</v>
      </c>
      <c r="DV454" t="s">
        <v>322</v>
      </c>
      <c r="DW454" t="s">
        <v>322</v>
      </c>
      <c r="DX454">
        <v>1</v>
      </c>
      <c r="DZ454" t="s">
        <v>3</v>
      </c>
      <c r="EA454" t="s">
        <v>3</v>
      </c>
      <c r="EB454" t="s">
        <v>3</v>
      </c>
      <c r="EC454" t="s">
        <v>3</v>
      </c>
      <c r="EE454">
        <v>1441815344</v>
      </c>
      <c r="EF454">
        <v>1</v>
      </c>
      <c r="EG454" t="s">
        <v>23</v>
      </c>
      <c r="EH454">
        <v>0</v>
      </c>
      <c r="EI454" t="s">
        <v>3</v>
      </c>
      <c r="EJ454">
        <v>4</v>
      </c>
      <c r="EK454">
        <v>0</v>
      </c>
      <c r="EL454" t="s">
        <v>24</v>
      </c>
      <c r="EM454" t="s">
        <v>25</v>
      </c>
      <c r="EO454" t="s">
        <v>3</v>
      </c>
      <c r="EQ454">
        <v>1024</v>
      </c>
      <c r="ER454">
        <v>729.97</v>
      </c>
      <c r="ES454">
        <v>0.04</v>
      </c>
      <c r="ET454">
        <v>0</v>
      </c>
      <c r="EU454">
        <v>0</v>
      </c>
      <c r="EV454">
        <v>729.93</v>
      </c>
      <c r="EW454">
        <v>1.1000000000000001</v>
      </c>
      <c r="EX454">
        <v>0</v>
      </c>
      <c r="EY454">
        <v>0</v>
      </c>
      <c r="FQ454">
        <v>0</v>
      </c>
      <c r="FR454">
        <f t="shared" si="390"/>
        <v>0</v>
      </c>
      <c r="FS454">
        <v>0</v>
      </c>
      <c r="FX454">
        <v>70</v>
      </c>
      <c r="FY454">
        <v>10</v>
      </c>
      <c r="GA454" t="s">
        <v>3</v>
      </c>
      <c r="GD454">
        <v>0</v>
      </c>
      <c r="GF454">
        <v>-767716234</v>
      </c>
      <c r="GG454">
        <v>2</v>
      </c>
      <c r="GH454">
        <v>1</v>
      </c>
      <c r="GI454">
        <v>-2</v>
      </c>
      <c r="GJ454">
        <v>0</v>
      </c>
      <c r="GK454">
        <f>ROUND(R454*(R12)/100,2)</f>
        <v>0</v>
      </c>
      <c r="GL454">
        <f t="shared" si="391"/>
        <v>0</v>
      </c>
      <c r="GM454">
        <f t="shared" si="392"/>
        <v>15766.97</v>
      </c>
      <c r="GN454">
        <f t="shared" si="393"/>
        <v>0</v>
      </c>
      <c r="GO454">
        <f t="shared" si="394"/>
        <v>0</v>
      </c>
      <c r="GP454">
        <f t="shared" si="395"/>
        <v>15766.97</v>
      </c>
      <c r="GR454">
        <v>0</v>
      </c>
      <c r="GS454">
        <v>3</v>
      </c>
      <c r="GT454">
        <v>0</v>
      </c>
      <c r="GU454" t="s">
        <v>3</v>
      </c>
      <c r="GV454">
        <f t="shared" si="396"/>
        <v>0</v>
      </c>
      <c r="GW454">
        <v>1</v>
      </c>
      <c r="GX454">
        <f t="shared" si="397"/>
        <v>0</v>
      </c>
      <c r="HA454">
        <v>0</v>
      </c>
      <c r="HB454">
        <v>0</v>
      </c>
      <c r="HC454">
        <f t="shared" si="398"/>
        <v>0</v>
      </c>
      <c r="HE454" t="s">
        <v>3</v>
      </c>
      <c r="HF454" t="s">
        <v>3</v>
      </c>
      <c r="HM454" t="s">
        <v>3</v>
      </c>
      <c r="HN454" t="s">
        <v>3</v>
      </c>
      <c r="HO454" t="s">
        <v>3</v>
      </c>
      <c r="HP454" t="s">
        <v>3</v>
      </c>
      <c r="HQ454" t="s">
        <v>3</v>
      </c>
      <c r="IK454">
        <v>0</v>
      </c>
    </row>
    <row r="455" spans="1:245" x14ac:dyDescent="0.2">
      <c r="A455">
        <v>17</v>
      </c>
      <c r="B455">
        <v>1</v>
      </c>
      <c r="D455">
        <f>ROW(EtalonRes!A319)</f>
        <v>319</v>
      </c>
      <c r="E455" t="s">
        <v>3</v>
      </c>
      <c r="F455" t="s">
        <v>348</v>
      </c>
      <c r="G455" t="s">
        <v>349</v>
      </c>
      <c r="H455" t="s">
        <v>32</v>
      </c>
      <c r="I455">
        <f>ROUND(ROUND((1+1)*3,9),9)</f>
        <v>6</v>
      </c>
      <c r="J455">
        <v>0</v>
      </c>
      <c r="K455">
        <f>ROUND(ROUND((1+1)*3,9),9)</f>
        <v>6</v>
      </c>
      <c r="O455">
        <f t="shared" si="366"/>
        <v>56464.44</v>
      </c>
      <c r="P455">
        <f t="shared" si="367"/>
        <v>1961.7</v>
      </c>
      <c r="Q455">
        <f t="shared" si="368"/>
        <v>19289.939999999999</v>
      </c>
      <c r="R455">
        <f t="shared" si="369"/>
        <v>12149.28</v>
      </c>
      <c r="S455">
        <f t="shared" si="370"/>
        <v>35212.800000000003</v>
      </c>
      <c r="T455">
        <f t="shared" si="371"/>
        <v>0</v>
      </c>
      <c r="U455">
        <f t="shared" si="372"/>
        <v>57.599999999999994</v>
      </c>
      <c r="V455">
        <f t="shared" si="373"/>
        <v>0</v>
      </c>
      <c r="W455">
        <f t="shared" si="374"/>
        <v>0</v>
      </c>
      <c r="X455">
        <f t="shared" si="375"/>
        <v>24648.959999999999</v>
      </c>
      <c r="Y455">
        <f t="shared" si="376"/>
        <v>3521.28</v>
      </c>
      <c r="AA455">
        <v>-1</v>
      </c>
      <c r="AB455">
        <f t="shared" si="377"/>
        <v>9410.74</v>
      </c>
      <c r="AC455">
        <f>ROUND((ES455),6)</f>
        <v>326.95</v>
      </c>
      <c r="AD455">
        <f>ROUND((((ET455)-(EU455))+AE455),6)</f>
        <v>3214.99</v>
      </c>
      <c r="AE455">
        <f>ROUND((EU455),6)</f>
        <v>2024.88</v>
      </c>
      <c r="AF455">
        <f>ROUND((EV455),6)</f>
        <v>5868.8</v>
      </c>
      <c r="AG455">
        <f t="shared" si="378"/>
        <v>0</v>
      </c>
      <c r="AH455">
        <f>(EW455)</f>
        <v>9.6</v>
      </c>
      <c r="AI455">
        <f>(EX455)</f>
        <v>0</v>
      </c>
      <c r="AJ455">
        <f t="shared" si="379"/>
        <v>0</v>
      </c>
      <c r="AK455">
        <v>9410.74</v>
      </c>
      <c r="AL455">
        <v>326.95</v>
      </c>
      <c r="AM455">
        <v>3214.99</v>
      </c>
      <c r="AN455">
        <v>2024.88</v>
      </c>
      <c r="AO455">
        <v>5868.8</v>
      </c>
      <c r="AP455">
        <v>0</v>
      </c>
      <c r="AQ455">
        <v>9.6</v>
      </c>
      <c r="AR455">
        <v>0</v>
      </c>
      <c r="AS455">
        <v>0</v>
      </c>
      <c r="AT455">
        <v>70</v>
      </c>
      <c r="AU455">
        <v>10</v>
      </c>
      <c r="AV455">
        <v>1</v>
      </c>
      <c r="AW455">
        <v>1</v>
      </c>
      <c r="AZ455">
        <v>1</v>
      </c>
      <c r="BA455">
        <v>1</v>
      </c>
      <c r="BB455">
        <v>1</v>
      </c>
      <c r="BC455">
        <v>1</v>
      </c>
      <c r="BD455" t="s">
        <v>3</v>
      </c>
      <c r="BE455" t="s">
        <v>3</v>
      </c>
      <c r="BF455" t="s">
        <v>3</v>
      </c>
      <c r="BG455" t="s">
        <v>3</v>
      </c>
      <c r="BH455">
        <v>0</v>
      </c>
      <c r="BI455">
        <v>4</v>
      </c>
      <c r="BJ455" t="s">
        <v>350</v>
      </c>
      <c r="BM455">
        <v>0</v>
      </c>
      <c r="BN455">
        <v>0</v>
      </c>
      <c r="BO455" t="s">
        <v>3</v>
      </c>
      <c r="BP455">
        <v>0</v>
      </c>
      <c r="BQ455">
        <v>1</v>
      </c>
      <c r="BR455">
        <v>0</v>
      </c>
      <c r="BS455">
        <v>1</v>
      </c>
      <c r="BT455">
        <v>1</v>
      </c>
      <c r="BU455">
        <v>1</v>
      </c>
      <c r="BV455">
        <v>1</v>
      </c>
      <c r="BW455">
        <v>1</v>
      </c>
      <c r="BX455">
        <v>1</v>
      </c>
      <c r="BY455" t="s">
        <v>3</v>
      </c>
      <c r="BZ455">
        <v>70</v>
      </c>
      <c r="CA455">
        <v>10</v>
      </c>
      <c r="CB455" t="s">
        <v>3</v>
      </c>
      <c r="CE455">
        <v>0</v>
      </c>
      <c r="CF455">
        <v>0</v>
      </c>
      <c r="CG455">
        <v>0</v>
      </c>
      <c r="CM455">
        <v>0</v>
      </c>
      <c r="CN455" t="s">
        <v>3</v>
      </c>
      <c r="CO455">
        <v>0</v>
      </c>
      <c r="CP455">
        <f t="shared" si="380"/>
        <v>56464.44</v>
      </c>
      <c r="CQ455">
        <f t="shared" si="381"/>
        <v>326.95</v>
      </c>
      <c r="CR455">
        <f>((((ET455)*BB455-(EU455)*BS455)+AE455*BS455)*AV455)</f>
        <v>3214.99</v>
      </c>
      <c r="CS455">
        <f t="shared" si="382"/>
        <v>2024.88</v>
      </c>
      <c r="CT455">
        <f t="shared" si="383"/>
        <v>5868.8</v>
      </c>
      <c r="CU455">
        <f t="shared" si="384"/>
        <v>0</v>
      </c>
      <c r="CV455">
        <f t="shared" si="385"/>
        <v>9.6</v>
      </c>
      <c r="CW455">
        <f t="shared" si="386"/>
        <v>0</v>
      </c>
      <c r="CX455">
        <f t="shared" si="387"/>
        <v>0</v>
      </c>
      <c r="CY455">
        <f t="shared" si="388"/>
        <v>24648.959999999999</v>
      </c>
      <c r="CZ455">
        <f t="shared" si="389"/>
        <v>3521.28</v>
      </c>
      <c r="DC455" t="s">
        <v>3</v>
      </c>
      <c r="DD455" t="s">
        <v>3</v>
      </c>
      <c r="DE455" t="s">
        <v>3</v>
      </c>
      <c r="DF455" t="s">
        <v>3</v>
      </c>
      <c r="DG455" t="s">
        <v>3</v>
      </c>
      <c r="DH455" t="s">
        <v>3</v>
      </c>
      <c r="DI455" t="s">
        <v>3</v>
      </c>
      <c r="DJ455" t="s">
        <v>3</v>
      </c>
      <c r="DK455" t="s">
        <v>3</v>
      </c>
      <c r="DL455" t="s">
        <v>3</v>
      </c>
      <c r="DM455" t="s">
        <v>3</v>
      </c>
      <c r="DN455">
        <v>0</v>
      </c>
      <c r="DO455">
        <v>0</v>
      </c>
      <c r="DP455">
        <v>1</v>
      </c>
      <c r="DQ455">
        <v>1</v>
      </c>
      <c r="DU455">
        <v>16987630</v>
      </c>
      <c r="DV455" t="s">
        <v>32</v>
      </c>
      <c r="DW455" t="s">
        <v>32</v>
      </c>
      <c r="DX455">
        <v>1</v>
      </c>
      <c r="DZ455" t="s">
        <v>3</v>
      </c>
      <c r="EA455" t="s">
        <v>3</v>
      </c>
      <c r="EB455" t="s">
        <v>3</v>
      </c>
      <c r="EC455" t="s">
        <v>3</v>
      </c>
      <c r="EE455">
        <v>1441815344</v>
      </c>
      <c r="EF455">
        <v>1</v>
      </c>
      <c r="EG455" t="s">
        <v>23</v>
      </c>
      <c r="EH455">
        <v>0</v>
      </c>
      <c r="EI455" t="s">
        <v>3</v>
      </c>
      <c r="EJ455">
        <v>4</v>
      </c>
      <c r="EK455">
        <v>0</v>
      </c>
      <c r="EL455" t="s">
        <v>24</v>
      </c>
      <c r="EM455" t="s">
        <v>25</v>
      </c>
      <c r="EO455" t="s">
        <v>3</v>
      </c>
      <c r="EQ455">
        <v>1311744</v>
      </c>
      <c r="ER455">
        <v>9410.74</v>
      </c>
      <c r="ES455">
        <v>326.95</v>
      </c>
      <c r="ET455">
        <v>3214.99</v>
      </c>
      <c r="EU455">
        <v>2024.88</v>
      </c>
      <c r="EV455">
        <v>5868.8</v>
      </c>
      <c r="EW455">
        <v>9.6</v>
      </c>
      <c r="EX455">
        <v>0</v>
      </c>
      <c r="EY455">
        <v>0</v>
      </c>
      <c r="FQ455">
        <v>0</v>
      </c>
      <c r="FR455">
        <f t="shared" si="390"/>
        <v>0</v>
      </c>
      <c r="FS455">
        <v>0</v>
      </c>
      <c r="FX455">
        <v>70</v>
      </c>
      <c r="FY455">
        <v>10</v>
      </c>
      <c r="GA455" t="s">
        <v>3</v>
      </c>
      <c r="GD455">
        <v>0</v>
      </c>
      <c r="GF455">
        <v>-939616904</v>
      </c>
      <c r="GG455">
        <v>2</v>
      </c>
      <c r="GH455">
        <v>1</v>
      </c>
      <c r="GI455">
        <v>-2</v>
      </c>
      <c r="GJ455">
        <v>0</v>
      </c>
      <c r="GK455">
        <f>ROUND(R455*(R12)/100,2)</f>
        <v>13121.22</v>
      </c>
      <c r="GL455">
        <f t="shared" si="391"/>
        <v>0</v>
      </c>
      <c r="GM455">
        <f t="shared" si="392"/>
        <v>97755.9</v>
      </c>
      <c r="GN455">
        <f t="shared" si="393"/>
        <v>0</v>
      </c>
      <c r="GO455">
        <f t="shared" si="394"/>
        <v>0</v>
      </c>
      <c r="GP455">
        <f t="shared" si="395"/>
        <v>97755.9</v>
      </c>
      <c r="GR455">
        <v>0</v>
      </c>
      <c r="GS455">
        <v>3</v>
      </c>
      <c r="GT455">
        <v>0</v>
      </c>
      <c r="GU455" t="s">
        <v>3</v>
      </c>
      <c r="GV455">
        <f t="shared" si="396"/>
        <v>0</v>
      </c>
      <c r="GW455">
        <v>1</v>
      </c>
      <c r="GX455">
        <f t="shared" si="397"/>
        <v>0</v>
      </c>
      <c r="HA455">
        <v>0</v>
      </c>
      <c r="HB455">
        <v>0</v>
      </c>
      <c r="HC455">
        <f t="shared" si="398"/>
        <v>0</v>
      </c>
      <c r="HE455" t="s">
        <v>3</v>
      </c>
      <c r="HF455" t="s">
        <v>3</v>
      </c>
      <c r="HM455" t="s">
        <v>3</v>
      </c>
      <c r="HN455" t="s">
        <v>3</v>
      </c>
      <c r="HO455" t="s">
        <v>3</v>
      </c>
      <c r="HP455" t="s">
        <v>3</v>
      </c>
      <c r="HQ455" t="s">
        <v>3</v>
      </c>
      <c r="IK455">
        <v>0</v>
      </c>
    </row>
    <row r="456" spans="1:245" x14ac:dyDescent="0.2">
      <c r="A456">
        <v>17</v>
      </c>
      <c r="B456">
        <v>1</v>
      </c>
      <c r="D456">
        <f>ROW(EtalonRes!A322)</f>
        <v>322</v>
      </c>
      <c r="E456" t="s">
        <v>3</v>
      </c>
      <c r="F456" t="s">
        <v>351</v>
      </c>
      <c r="G456" t="s">
        <v>352</v>
      </c>
      <c r="H456" t="s">
        <v>32</v>
      </c>
      <c r="I456">
        <f>ROUND(ROUND((1+1)*3,9),9)</f>
        <v>6</v>
      </c>
      <c r="J456">
        <v>0</v>
      </c>
      <c r="K456">
        <f>ROUND(ROUND((1+1)*3,9),9)</f>
        <v>6</v>
      </c>
      <c r="O456">
        <f t="shared" si="366"/>
        <v>37929.96</v>
      </c>
      <c r="P456">
        <f t="shared" si="367"/>
        <v>119.28</v>
      </c>
      <c r="Q456">
        <f t="shared" si="368"/>
        <v>0</v>
      </c>
      <c r="R456">
        <f t="shared" si="369"/>
        <v>0</v>
      </c>
      <c r="S456">
        <f t="shared" si="370"/>
        <v>37810.68</v>
      </c>
      <c r="T456">
        <f t="shared" si="371"/>
        <v>0</v>
      </c>
      <c r="U456">
        <f t="shared" si="372"/>
        <v>53.28</v>
      </c>
      <c r="V456">
        <f t="shared" si="373"/>
        <v>0</v>
      </c>
      <c r="W456">
        <f t="shared" si="374"/>
        <v>0</v>
      </c>
      <c r="X456">
        <f t="shared" si="375"/>
        <v>26467.48</v>
      </c>
      <c r="Y456">
        <f t="shared" si="376"/>
        <v>3781.07</v>
      </c>
      <c r="AA456">
        <v>-1</v>
      </c>
      <c r="AB456">
        <f t="shared" si="377"/>
        <v>6321.66</v>
      </c>
      <c r="AC456">
        <f>ROUND(((ES456*2)),6)</f>
        <v>19.88</v>
      </c>
      <c r="AD456">
        <f>ROUND(((((ET456*2))-((EU456*2)))+AE456),6)</f>
        <v>0</v>
      </c>
      <c r="AE456">
        <f t="shared" ref="AE456:AF458" si="399">ROUND(((EU456*2)),6)</f>
        <v>0</v>
      </c>
      <c r="AF456">
        <f t="shared" si="399"/>
        <v>6301.78</v>
      </c>
      <c r="AG456">
        <f t="shared" si="378"/>
        <v>0</v>
      </c>
      <c r="AH456">
        <f t="shared" ref="AH456:AI458" si="400">((EW456*2))</f>
        <v>8.8800000000000008</v>
      </c>
      <c r="AI456">
        <f t="shared" si="400"/>
        <v>0</v>
      </c>
      <c r="AJ456">
        <f t="shared" si="379"/>
        <v>0</v>
      </c>
      <c r="AK456">
        <v>3160.83</v>
      </c>
      <c r="AL456">
        <v>9.94</v>
      </c>
      <c r="AM456">
        <v>0</v>
      </c>
      <c r="AN456">
        <v>0</v>
      </c>
      <c r="AO456">
        <v>3150.89</v>
      </c>
      <c r="AP456">
        <v>0</v>
      </c>
      <c r="AQ456">
        <v>4.4400000000000004</v>
      </c>
      <c r="AR456">
        <v>0</v>
      </c>
      <c r="AS456">
        <v>0</v>
      </c>
      <c r="AT456">
        <v>70</v>
      </c>
      <c r="AU456">
        <v>10</v>
      </c>
      <c r="AV456">
        <v>1</v>
      </c>
      <c r="AW456">
        <v>1</v>
      </c>
      <c r="AZ456">
        <v>1</v>
      </c>
      <c r="BA456">
        <v>1</v>
      </c>
      <c r="BB456">
        <v>1</v>
      </c>
      <c r="BC456">
        <v>1</v>
      </c>
      <c r="BD456" t="s">
        <v>3</v>
      </c>
      <c r="BE456" t="s">
        <v>3</v>
      </c>
      <c r="BF456" t="s">
        <v>3</v>
      </c>
      <c r="BG456" t="s">
        <v>3</v>
      </c>
      <c r="BH456">
        <v>0</v>
      </c>
      <c r="BI456">
        <v>4</v>
      </c>
      <c r="BJ456" t="s">
        <v>353</v>
      </c>
      <c r="BM456">
        <v>0</v>
      </c>
      <c r="BN456">
        <v>0</v>
      </c>
      <c r="BO456" t="s">
        <v>3</v>
      </c>
      <c r="BP456">
        <v>0</v>
      </c>
      <c r="BQ456">
        <v>1</v>
      </c>
      <c r="BR456">
        <v>0</v>
      </c>
      <c r="BS456">
        <v>1</v>
      </c>
      <c r="BT456">
        <v>1</v>
      </c>
      <c r="BU456">
        <v>1</v>
      </c>
      <c r="BV456">
        <v>1</v>
      </c>
      <c r="BW456">
        <v>1</v>
      </c>
      <c r="BX456">
        <v>1</v>
      </c>
      <c r="BY456" t="s">
        <v>3</v>
      </c>
      <c r="BZ456">
        <v>70</v>
      </c>
      <c r="CA456">
        <v>10</v>
      </c>
      <c r="CB456" t="s">
        <v>3</v>
      </c>
      <c r="CE456">
        <v>0</v>
      </c>
      <c r="CF456">
        <v>0</v>
      </c>
      <c r="CG456">
        <v>0</v>
      </c>
      <c r="CM456">
        <v>0</v>
      </c>
      <c r="CN456" t="s">
        <v>3</v>
      </c>
      <c r="CO456">
        <v>0</v>
      </c>
      <c r="CP456">
        <f t="shared" si="380"/>
        <v>37929.96</v>
      </c>
      <c r="CQ456">
        <f t="shared" si="381"/>
        <v>19.88</v>
      </c>
      <c r="CR456">
        <f>(((((ET456*2))*BB456-((EU456*2))*BS456)+AE456*BS456)*AV456)</f>
        <v>0</v>
      </c>
      <c r="CS456">
        <f t="shared" si="382"/>
        <v>0</v>
      </c>
      <c r="CT456">
        <f t="shared" si="383"/>
        <v>6301.78</v>
      </c>
      <c r="CU456">
        <f t="shared" si="384"/>
        <v>0</v>
      </c>
      <c r="CV456">
        <f t="shared" si="385"/>
        <v>8.8800000000000008</v>
      </c>
      <c r="CW456">
        <f t="shared" si="386"/>
        <v>0</v>
      </c>
      <c r="CX456">
        <f t="shared" si="387"/>
        <v>0</v>
      </c>
      <c r="CY456">
        <f t="shared" si="388"/>
        <v>26467.476000000002</v>
      </c>
      <c r="CZ456">
        <f t="shared" si="389"/>
        <v>3781.0679999999998</v>
      </c>
      <c r="DC456" t="s">
        <v>3</v>
      </c>
      <c r="DD456" t="s">
        <v>164</v>
      </c>
      <c r="DE456" t="s">
        <v>164</v>
      </c>
      <c r="DF456" t="s">
        <v>164</v>
      </c>
      <c r="DG456" t="s">
        <v>164</v>
      </c>
      <c r="DH456" t="s">
        <v>3</v>
      </c>
      <c r="DI456" t="s">
        <v>164</v>
      </c>
      <c r="DJ456" t="s">
        <v>164</v>
      </c>
      <c r="DK456" t="s">
        <v>3</v>
      </c>
      <c r="DL456" t="s">
        <v>3</v>
      </c>
      <c r="DM456" t="s">
        <v>3</v>
      </c>
      <c r="DN456">
        <v>0</v>
      </c>
      <c r="DO456">
        <v>0</v>
      </c>
      <c r="DP456">
        <v>1</v>
      </c>
      <c r="DQ456">
        <v>1</v>
      </c>
      <c r="DU456">
        <v>16987630</v>
      </c>
      <c r="DV456" t="s">
        <v>32</v>
      </c>
      <c r="DW456" t="s">
        <v>32</v>
      </c>
      <c r="DX456">
        <v>1</v>
      </c>
      <c r="DZ456" t="s">
        <v>3</v>
      </c>
      <c r="EA456" t="s">
        <v>3</v>
      </c>
      <c r="EB456" t="s">
        <v>3</v>
      </c>
      <c r="EC456" t="s">
        <v>3</v>
      </c>
      <c r="EE456">
        <v>1441815344</v>
      </c>
      <c r="EF456">
        <v>1</v>
      </c>
      <c r="EG456" t="s">
        <v>23</v>
      </c>
      <c r="EH456">
        <v>0</v>
      </c>
      <c r="EI456" t="s">
        <v>3</v>
      </c>
      <c r="EJ456">
        <v>4</v>
      </c>
      <c r="EK456">
        <v>0</v>
      </c>
      <c r="EL456" t="s">
        <v>24</v>
      </c>
      <c r="EM456" t="s">
        <v>25</v>
      </c>
      <c r="EO456" t="s">
        <v>3</v>
      </c>
      <c r="EQ456">
        <v>1311744</v>
      </c>
      <c r="ER456">
        <v>3160.83</v>
      </c>
      <c r="ES456">
        <v>9.94</v>
      </c>
      <c r="ET456">
        <v>0</v>
      </c>
      <c r="EU456">
        <v>0</v>
      </c>
      <c r="EV456">
        <v>3150.89</v>
      </c>
      <c r="EW456">
        <v>4.4400000000000004</v>
      </c>
      <c r="EX456">
        <v>0</v>
      </c>
      <c r="EY456">
        <v>0</v>
      </c>
      <c r="FQ456">
        <v>0</v>
      </c>
      <c r="FR456">
        <f t="shared" si="390"/>
        <v>0</v>
      </c>
      <c r="FS456">
        <v>0</v>
      </c>
      <c r="FX456">
        <v>70</v>
      </c>
      <c r="FY456">
        <v>10</v>
      </c>
      <c r="GA456" t="s">
        <v>3</v>
      </c>
      <c r="GD456">
        <v>0</v>
      </c>
      <c r="GF456">
        <v>66224296</v>
      </c>
      <c r="GG456">
        <v>2</v>
      </c>
      <c r="GH456">
        <v>1</v>
      </c>
      <c r="GI456">
        <v>-2</v>
      </c>
      <c r="GJ456">
        <v>0</v>
      </c>
      <c r="GK456">
        <f>ROUND(R456*(R12)/100,2)</f>
        <v>0</v>
      </c>
      <c r="GL456">
        <f t="shared" si="391"/>
        <v>0</v>
      </c>
      <c r="GM456">
        <f t="shared" si="392"/>
        <v>68178.509999999995</v>
      </c>
      <c r="GN456">
        <f t="shared" si="393"/>
        <v>0</v>
      </c>
      <c r="GO456">
        <f t="shared" si="394"/>
        <v>0</v>
      </c>
      <c r="GP456">
        <f t="shared" si="395"/>
        <v>68178.509999999995</v>
      </c>
      <c r="GR456">
        <v>0</v>
      </c>
      <c r="GS456">
        <v>3</v>
      </c>
      <c r="GT456">
        <v>0</v>
      </c>
      <c r="GU456" t="s">
        <v>3</v>
      </c>
      <c r="GV456">
        <f t="shared" si="396"/>
        <v>0</v>
      </c>
      <c r="GW456">
        <v>1</v>
      </c>
      <c r="GX456">
        <f t="shared" si="397"/>
        <v>0</v>
      </c>
      <c r="HA456">
        <v>0</v>
      </c>
      <c r="HB456">
        <v>0</v>
      </c>
      <c r="HC456">
        <f t="shared" si="398"/>
        <v>0</v>
      </c>
      <c r="HE456" t="s">
        <v>3</v>
      </c>
      <c r="HF456" t="s">
        <v>3</v>
      </c>
      <c r="HM456" t="s">
        <v>3</v>
      </c>
      <c r="HN456" t="s">
        <v>3</v>
      </c>
      <c r="HO456" t="s">
        <v>3</v>
      </c>
      <c r="HP456" t="s">
        <v>3</v>
      </c>
      <c r="HQ456" t="s">
        <v>3</v>
      </c>
      <c r="IK456">
        <v>0</v>
      </c>
    </row>
    <row r="457" spans="1:245" x14ac:dyDescent="0.2">
      <c r="A457">
        <v>17</v>
      </c>
      <c r="B457">
        <v>1</v>
      </c>
      <c r="D457">
        <f>ROW(EtalonRes!A325)</f>
        <v>325</v>
      </c>
      <c r="E457" t="s">
        <v>354</v>
      </c>
      <c r="F457" t="s">
        <v>355</v>
      </c>
      <c r="G457" t="s">
        <v>356</v>
      </c>
      <c r="H457" t="s">
        <v>32</v>
      </c>
      <c r="I457">
        <f>ROUND(ROUND((1+1)*3,9),9)</f>
        <v>6</v>
      </c>
      <c r="J457">
        <v>0</v>
      </c>
      <c r="K457">
        <f>ROUND(ROUND((1+1)*3,9),9)</f>
        <v>6</v>
      </c>
      <c r="O457">
        <f t="shared" si="366"/>
        <v>3465.72</v>
      </c>
      <c r="P457">
        <f t="shared" si="367"/>
        <v>229.68</v>
      </c>
      <c r="Q457">
        <f t="shared" si="368"/>
        <v>0</v>
      </c>
      <c r="R457">
        <f t="shared" si="369"/>
        <v>0</v>
      </c>
      <c r="S457">
        <f t="shared" si="370"/>
        <v>3236.04</v>
      </c>
      <c r="T457">
        <f t="shared" si="371"/>
        <v>0</v>
      </c>
      <c r="U457">
        <f t="shared" si="372"/>
        <v>4.5600000000000005</v>
      </c>
      <c r="V457">
        <f t="shared" si="373"/>
        <v>0</v>
      </c>
      <c r="W457">
        <f t="shared" si="374"/>
        <v>0</v>
      </c>
      <c r="X457">
        <f t="shared" si="375"/>
        <v>2265.23</v>
      </c>
      <c r="Y457">
        <f t="shared" si="376"/>
        <v>323.60000000000002</v>
      </c>
      <c r="AA457">
        <v>1472224561</v>
      </c>
      <c r="AB457">
        <f t="shared" si="377"/>
        <v>577.62</v>
      </c>
      <c r="AC457">
        <f>ROUND(((ES457*2)),6)</f>
        <v>38.28</v>
      </c>
      <c r="AD457">
        <f>ROUND(((((ET457*2))-((EU457*2)))+AE457),6)</f>
        <v>0</v>
      </c>
      <c r="AE457">
        <f t="shared" si="399"/>
        <v>0</v>
      </c>
      <c r="AF457">
        <f t="shared" si="399"/>
        <v>539.34</v>
      </c>
      <c r="AG457">
        <f t="shared" si="378"/>
        <v>0</v>
      </c>
      <c r="AH457">
        <f t="shared" si="400"/>
        <v>0.76</v>
      </c>
      <c r="AI457">
        <f t="shared" si="400"/>
        <v>0</v>
      </c>
      <c r="AJ457">
        <f t="shared" si="379"/>
        <v>0</v>
      </c>
      <c r="AK457">
        <v>288.81</v>
      </c>
      <c r="AL457">
        <v>19.14</v>
      </c>
      <c r="AM457">
        <v>0</v>
      </c>
      <c r="AN457">
        <v>0</v>
      </c>
      <c r="AO457">
        <v>269.67</v>
      </c>
      <c r="AP457">
        <v>0</v>
      </c>
      <c r="AQ457">
        <v>0.38</v>
      </c>
      <c r="AR457">
        <v>0</v>
      </c>
      <c r="AS457">
        <v>0</v>
      </c>
      <c r="AT457">
        <v>70</v>
      </c>
      <c r="AU457">
        <v>10</v>
      </c>
      <c r="AV457">
        <v>1</v>
      </c>
      <c r="AW457">
        <v>1</v>
      </c>
      <c r="AZ457">
        <v>1</v>
      </c>
      <c r="BA457">
        <v>1</v>
      </c>
      <c r="BB457">
        <v>1</v>
      </c>
      <c r="BC457">
        <v>1</v>
      </c>
      <c r="BD457" t="s">
        <v>3</v>
      </c>
      <c r="BE457" t="s">
        <v>3</v>
      </c>
      <c r="BF457" t="s">
        <v>3</v>
      </c>
      <c r="BG457" t="s">
        <v>3</v>
      </c>
      <c r="BH457">
        <v>0</v>
      </c>
      <c r="BI457">
        <v>4</v>
      </c>
      <c r="BJ457" t="s">
        <v>357</v>
      </c>
      <c r="BM457">
        <v>0</v>
      </c>
      <c r="BN457">
        <v>0</v>
      </c>
      <c r="BO457" t="s">
        <v>3</v>
      </c>
      <c r="BP457">
        <v>0</v>
      </c>
      <c r="BQ457">
        <v>1</v>
      </c>
      <c r="BR457">
        <v>0</v>
      </c>
      <c r="BS457">
        <v>1</v>
      </c>
      <c r="BT457">
        <v>1</v>
      </c>
      <c r="BU457">
        <v>1</v>
      </c>
      <c r="BV457">
        <v>1</v>
      </c>
      <c r="BW457">
        <v>1</v>
      </c>
      <c r="BX457">
        <v>1</v>
      </c>
      <c r="BY457" t="s">
        <v>3</v>
      </c>
      <c r="BZ457">
        <v>70</v>
      </c>
      <c r="CA457">
        <v>10</v>
      </c>
      <c r="CB457" t="s">
        <v>3</v>
      </c>
      <c r="CE457">
        <v>0</v>
      </c>
      <c r="CF457">
        <v>0</v>
      </c>
      <c r="CG457">
        <v>0</v>
      </c>
      <c r="CM457">
        <v>0</v>
      </c>
      <c r="CN457" t="s">
        <v>3</v>
      </c>
      <c r="CO457">
        <v>0</v>
      </c>
      <c r="CP457">
        <f t="shared" si="380"/>
        <v>3465.72</v>
      </c>
      <c r="CQ457">
        <f t="shared" si="381"/>
        <v>38.28</v>
      </c>
      <c r="CR457">
        <f>(((((ET457*2))*BB457-((EU457*2))*BS457)+AE457*BS457)*AV457)</f>
        <v>0</v>
      </c>
      <c r="CS457">
        <f t="shared" si="382"/>
        <v>0</v>
      </c>
      <c r="CT457">
        <f t="shared" si="383"/>
        <v>539.34</v>
      </c>
      <c r="CU457">
        <f t="shared" si="384"/>
        <v>0</v>
      </c>
      <c r="CV457">
        <f t="shared" si="385"/>
        <v>0.76</v>
      </c>
      <c r="CW457">
        <f t="shared" si="386"/>
        <v>0</v>
      </c>
      <c r="CX457">
        <f t="shared" si="387"/>
        <v>0</v>
      </c>
      <c r="CY457">
        <f t="shared" si="388"/>
        <v>2265.2280000000001</v>
      </c>
      <c r="CZ457">
        <f t="shared" si="389"/>
        <v>323.60400000000004</v>
      </c>
      <c r="DC457" t="s">
        <v>3</v>
      </c>
      <c r="DD457" t="s">
        <v>164</v>
      </c>
      <c r="DE457" t="s">
        <v>164</v>
      </c>
      <c r="DF457" t="s">
        <v>164</v>
      </c>
      <c r="DG457" t="s">
        <v>164</v>
      </c>
      <c r="DH457" t="s">
        <v>3</v>
      </c>
      <c r="DI457" t="s">
        <v>164</v>
      </c>
      <c r="DJ457" t="s">
        <v>164</v>
      </c>
      <c r="DK457" t="s">
        <v>3</v>
      </c>
      <c r="DL457" t="s">
        <v>3</v>
      </c>
      <c r="DM457" t="s">
        <v>3</v>
      </c>
      <c r="DN457">
        <v>0</v>
      </c>
      <c r="DO457">
        <v>0</v>
      </c>
      <c r="DP457">
        <v>1</v>
      </c>
      <c r="DQ457">
        <v>1</v>
      </c>
      <c r="DU457">
        <v>16987630</v>
      </c>
      <c r="DV457" t="s">
        <v>32</v>
      </c>
      <c r="DW457" t="s">
        <v>32</v>
      </c>
      <c r="DX457">
        <v>1</v>
      </c>
      <c r="DZ457" t="s">
        <v>3</v>
      </c>
      <c r="EA457" t="s">
        <v>3</v>
      </c>
      <c r="EB457" t="s">
        <v>3</v>
      </c>
      <c r="EC457" t="s">
        <v>3</v>
      </c>
      <c r="EE457">
        <v>1441815344</v>
      </c>
      <c r="EF457">
        <v>1</v>
      </c>
      <c r="EG457" t="s">
        <v>23</v>
      </c>
      <c r="EH457">
        <v>0</v>
      </c>
      <c r="EI457" t="s">
        <v>3</v>
      </c>
      <c r="EJ457">
        <v>4</v>
      </c>
      <c r="EK457">
        <v>0</v>
      </c>
      <c r="EL457" t="s">
        <v>24</v>
      </c>
      <c r="EM457" t="s">
        <v>25</v>
      </c>
      <c r="EO457" t="s">
        <v>3</v>
      </c>
      <c r="EQ457">
        <v>0</v>
      </c>
      <c r="ER457">
        <v>288.81</v>
      </c>
      <c r="ES457">
        <v>19.14</v>
      </c>
      <c r="ET457">
        <v>0</v>
      </c>
      <c r="EU457">
        <v>0</v>
      </c>
      <c r="EV457">
        <v>269.67</v>
      </c>
      <c r="EW457">
        <v>0.38</v>
      </c>
      <c r="EX457">
        <v>0</v>
      </c>
      <c r="EY457">
        <v>0</v>
      </c>
      <c r="FQ457">
        <v>0</v>
      </c>
      <c r="FR457">
        <f t="shared" si="390"/>
        <v>0</v>
      </c>
      <c r="FS457">
        <v>0</v>
      </c>
      <c r="FX457">
        <v>70</v>
      </c>
      <c r="FY457">
        <v>10</v>
      </c>
      <c r="GA457" t="s">
        <v>3</v>
      </c>
      <c r="GD457">
        <v>0</v>
      </c>
      <c r="GF457">
        <v>1498136171</v>
      </c>
      <c r="GG457">
        <v>2</v>
      </c>
      <c r="GH457">
        <v>1</v>
      </c>
      <c r="GI457">
        <v>-2</v>
      </c>
      <c r="GJ457">
        <v>0</v>
      </c>
      <c r="GK457">
        <f>ROUND(R457*(R12)/100,2)</f>
        <v>0</v>
      </c>
      <c r="GL457">
        <f t="shared" si="391"/>
        <v>0</v>
      </c>
      <c r="GM457">
        <f t="shared" si="392"/>
        <v>6054.55</v>
      </c>
      <c r="GN457">
        <f t="shared" si="393"/>
        <v>0</v>
      </c>
      <c r="GO457">
        <f t="shared" si="394"/>
        <v>0</v>
      </c>
      <c r="GP457">
        <f t="shared" si="395"/>
        <v>6054.55</v>
      </c>
      <c r="GR457">
        <v>0</v>
      </c>
      <c r="GS457">
        <v>3</v>
      </c>
      <c r="GT457">
        <v>0</v>
      </c>
      <c r="GU457" t="s">
        <v>3</v>
      </c>
      <c r="GV457">
        <f t="shared" si="396"/>
        <v>0</v>
      </c>
      <c r="GW457">
        <v>1</v>
      </c>
      <c r="GX457">
        <f t="shared" si="397"/>
        <v>0</v>
      </c>
      <c r="HA457">
        <v>0</v>
      </c>
      <c r="HB457">
        <v>0</v>
      </c>
      <c r="HC457">
        <f t="shared" si="398"/>
        <v>0</v>
      </c>
      <c r="HE457" t="s">
        <v>3</v>
      </c>
      <c r="HF457" t="s">
        <v>3</v>
      </c>
      <c r="HM457" t="s">
        <v>3</v>
      </c>
      <c r="HN457" t="s">
        <v>3</v>
      </c>
      <c r="HO457" t="s">
        <v>3</v>
      </c>
      <c r="HP457" t="s">
        <v>3</v>
      </c>
      <c r="HQ457" t="s">
        <v>3</v>
      </c>
      <c r="IK457">
        <v>0</v>
      </c>
    </row>
    <row r="458" spans="1:245" x14ac:dyDescent="0.2">
      <c r="A458">
        <v>17</v>
      </c>
      <c r="B458">
        <v>1</v>
      </c>
      <c r="D458">
        <f>ROW(EtalonRes!A328)</f>
        <v>328</v>
      </c>
      <c r="E458" t="s">
        <v>358</v>
      </c>
      <c r="F458" t="s">
        <v>359</v>
      </c>
      <c r="G458" t="s">
        <v>360</v>
      </c>
      <c r="H458" t="s">
        <v>32</v>
      </c>
      <c r="I458">
        <f>ROUND(ROUND((1+1)*3,9),9)</f>
        <v>6</v>
      </c>
      <c r="J458">
        <v>0</v>
      </c>
      <c r="K458">
        <f>ROUND(ROUND((1+1)*3,9),9)</f>
        <v>6</v>
      </c>
      <c r="O458">
        <f t="shared" si="366"/>
        <v>4317.3599999999997</v>
      </c>
      <c r="P458">
        <f t="shared" si="367"/>
        <v>229.68</v>
      </c>
      <c r="Q458">
        <f t="shared" si="368"/>
        <v>0</v>
      </c>
      <c r="R458">
        <f t="shared" si="369"/>
        <v>0</v>
      </c>
      <c r="S458">
        <f t="shared" si="370"/>
        <v>4087.68</v>
      </c>
      <c r="T458">
        <f t="shared" si="371"/>
        <v>0</v>
      </c>
      <c r="U458">
        <f t="shared" si="372"/>
        <v>5.76</v>
      </c>
      <c r="V458">
        <f t="shared" si="373"/>
        <v>0</v>
      </c>
      <c r="W458">
        <f t="shared" si="374"/>
        <v>0</v>
      </c>
      <c r="X458">
        <f t="shared" si="375"/>
        <v>2861.38</v>
      </c>
      <c r="Y458">
        <f t="shared" si="376"/>
        <v>408.77</v>
      </c>
      <c r="AA458">
        <v>1472224561</v>
      </c>
      <c r="AB458">
        <f t="shared" si="377"/>
        <v>719.56</v>
      </c>
      <c r="AC458">
        <f>ROUND(((ES458*2)),6)</f>
        <v>38.28</v>
      </c>
      <c r="AD458">
        <f>ROUND(((((ET458*2))-((EU458*2)))+AE458),6)</f>
        <v>0</v>
      </c>
      <c r="AE458">
        <f t="shared" si="399"/>
        <v>0</v>
      </c>
      <c r="AF458">
        <f t="shared" si="399"/>
        <v>681.28</v>
      </c>
      <c r="AG458">
        <f t="shared" si="378"/>
        <v>0</v>
      </c>
      <c r="AH458">
        <f t="shared" si="400"/>
        <v>0.96</v>
      </c>
      <c r="AI458">
        <f t="shared" si="400"/>
        <v>0</v>
      </c>
      <c r="AJ458">
        <f t="shared" si="379"/>
        <v>0</v>
      </c>
      <c r="AK458">
        <v>359.78</v>
      </c>
      <c r="AL458">
        <v>19.14</v>
      </c>
      <c r="AM458">
        <v>0</v>
      </c>
      <c r="AN458">
        <v>0</v>
      </c>
      <c r="AO458">
        <v>340.64</v>
      </c>
      <c r="AP458">
        <v>0</v>
      </c>
      <c r="AQ458">
        <v>0.48</v>
      </c>
      <c r="AR458">
        <v>0</v>
      </c>
      <c r="AS458">
        <v>0</v>
      </c>
      <c r="AT458">
        <v>70</v>
      </c>
      <c r="AU458">
        <v>10</v>
      </c>
      <c r="AV458">
        <v>1</v>
      </c>
      <c r="AW458">
        <v>1</v>
      </c>
      <c r="AZ458">
        <v>1</v>
      </c>
      <c r="BA458">
        <v>1</v>
      </c>
      <c r="BB458">
        <v>1</v>
      </c>
      <c r="BC458">
        <v>1</v>
      </c>
      <c r="BD458" t="s">
        <v>3</v>
      </c>
      <c r="BE458" t="s">
        <v>3</v>
      </c>
      <c r="BF458" t="s">
        <v>3</v>
      </c>
      <c r="BG458" t="s">
        <v>3</v>
      </c>
      <c r="BH458">
        <v>0</v>
      </c>
      <c r="BI458">
        <v>4</v>
      </c>
      <c r="BJ458" t="s">
        <v>361</v>
      </c>
      <c r="BM458">
        <v>0</v>
      </c>
      <c r="BN458">
        <v>0</v>
      </c>
      <c r="BO458" t="s">
        <v>3</v>
      </c>
      <c r="BP458">
        <v>0</v>
      </c>
      <c r="BQ458">
        <v>1</v>
      </c>
      <c r="BR458">
        <v>0</v>
      </c>
      <c r="BS458">
        <v>1</v>
      </c>
      <c r="BT458">
        <v>1</v>
      </c>
      <c r="BU458">
        <v>1</v>
      </c>
      <c r="BV458">
        <v>1</v>
      </c>
      <c r="BW458">
        <v>1</v>
      </c>
      <c r="BX458">
        <v>1</v>
      </c>
      <c r="BY458" t="s">
        <v>3</v>
      </c>
      <c r="BZ458">
        <v>70</v>
      </c>
      <c r="CA458">
        <v>10</v>
      </c>
      <c r="CB458" t="s">
        <v>3</v>
      </c>
      <c r="CE458">
        <v>0</v>
      </c>
      <c r="CF458">
        <v>0</v>
      </c>
      <c r="CG458">
        <v>0</v>
      </c>
      <c r="CM458">
        <v>0</v>
      </c>
      <c r="CN458" t="s">
        <v>3</v>
      </c>
      <c r="CO458">
        <v>0</v>
      </c>
      <c r="CP458">
        <f t="shared" si="380"/>
        <v>4317.3599999999997</v>
      </c>
      <c r="CQ458">
        <f t="shared" si="381"/>
        <v>38.28</v>
      </c>
      <c r="CR458">
        <f>(((((ET458*2))*BB458-((EU458*2))*BS458)+AE458*BS458)*AV458)</f>
        <v>0</v>
      </c>
      <c r="CS458">
        <f t="shared" si="382"/>
        <v>0</v>
      </c>
      <c r="CT458">
        <f t="shared" si="383"/>
        <v>681.28</v>
      </c>
      <c r="CU458">
        <f t="shared" si="384"/>
        <v>0</v>
      </c>
      <c r="CV458">
        <f t="shared" si="385"/>
        <v>0.96</v>
      </c>
      <c r="CW458">
        <f t="shared" si="386"/>
        <v>0</v>
      </c>
      <c r="CX458">
        <f t="shared" si="387"/>
        <v>0</v>
      </c>
      <c r="CY458">
        <f t="shared" si="388"/>
        <v>2861.3759999999997</v>
      </c>
      <c r="CZ458">
        <f t="shared" si="389"/>
        <v>408.76799999999997</v>
      </c>
      <c r="DC458" t="s">
        <v>3</v>
      </c>
      <c r="DD458" t="s">
        <v>164</v>
      </c>
      <c r="DE458" t="s">
        <v>164</v>
      </c>
      <c r="DF458" t="s">
        <v>164</v>
      </c>
      <c r="DG458" t="s">
        <v>164</v>
      </c>
      <c r="DH458" t="s">
        <v>3</v>
      </c>
      <c r="DI458" t="s">
        <v>164</v>
      </c>
      <c r="DJ458" t="s">
        <v>164</v>
      </c>
      <c r="DK458" t="s">
        <v>3</v>
      </c>
      <c r="DL458" t="s">
        <v>3</v>
      </c>
      <c r="DM458" t="s">
        <v>3</v>
      </c>
      <c r="DN458">
        <v>0</v>
      </c>
      <c r="DO458">
        <v>0</v>
      </c>
      <c r="DP458">
        <v>1</v>
      </c>
      <c r="DQ458">
        <v>1</v>
      </c>
      <c r="DU458">
        <v>16987630</v>
      </c>
      <c r="DV458" t="s">
        <v>32</v>
      </c>
      <c r="DW458" t="s">
        <v>32</v>
      </c>
      <c r="DX458">
        <v>1</v>
      </c>
      <c r="DZ458" t="s">
        <v>3</v>
      </c>
      <c r="EA458" t="s">
        <v>3</v>
      </c>
      <c r="EB458" t="s">
        <v>3</v>
      </c>
      <c r="EC458" t="s">
        <v>3</v>
      </c>
      <c r="EE458">
        <v>1441815344</v>
      </c>
      <c r="EF458">
        <v>1</v>
      </c>
      <c r="EG458" t="s">
        <v>23</v>
      </c>
      <c r="EH458">
        <v>0</v>
      </c>
      <c r="EI458" t="s">
        <v>3</v>
      </c>
      <c r="EJ458">
        <v>4</v>
      </c>
      <c r="EK458">
        <v>0</v>
      </c>
      <c r="EL458" t="s">
        <v>24</v>
      </c>
      <c r="EM458" t="s">
        <v>25</v>
      </c>
      <c r="EO458" t="s">
        <v>3</v>
      </c>
      <c r="EQ458">
        <v>0</v>
      </c>
      <c r="ER458">
        <v>359.78</v>
      </c>
      <c r="ES458">
        <v>19.14</v>
      </c>
      <c r="ET458">
        <v>0</v>
      </c>
      <c r="EU458">
        <v>0</v>
      </c>
      <c r="EV458">
        <v>340.64</v>
      </c>
      <c r="EW458">
        <v>0.48</v>
      </c>
      <c r="EX458">
        <v>0</v>
      </c>
      <c r="EY458">
        <v>0</v>
      </c>
      <c r="FQ458">
        <v>0</v>
      </c>
      <c r="FR458">
        <f t="shared" si="390"/>
        <v>0</v>
      </c>
      <c r="FS458">
        <v>0</v>
      </c>
      <c r="FX458">
        <v>70</v>
      </c>
      <c r="FY458">
        <v>10</v>
      </c>
      <c r="GA458" t="s">
        <v>3</v>
      </c>
      <c r="GD458">
        <v>0</v>
      </c>
      <c r="GF458">
        <v>-2012551400</v>
      </c>
      <c r="GG458">
        <v>2</v>
      </c>
      <c r="GH458">
        <v>1</v>
      </c>
      <c r="GI458">
        <v>-2</v>
      </c>
      <c r="GJ458">
        <v>0</v>
      </c>
      <c r="GK458">
        <f>ROUND(R458*(R12)/100,2)</f>
        <v>0</v>
      </c>
      <c r="GL458">
        <f t="shared" si="391"/>
        <v>0</v>
      </c>
      <c r="GM458">
        <f t="shared" si="392"/>
        <v>7587.51</v>
      </c>
      <c r="GN458">
        <f t="shared" si="393"/>
        <v>0</v>
      </c>
      <c r="GO458">
        <f t="shared" si="394"/>
        <v>0</v>
      </c>
      <c r="GP458">
        <f t="shared" si="395"/>
        <v>7587.51</v>
      </c>
      <c r="GR458">
        <v>0</v>
      </c>
      <c r="GS458">
        <v>3</v>
      </c>
      <c r="GT458">
        <v>0</v>
      </c>
      <c r="GU458" t="s">
        <v>3</v>
      </c>
      <c r="GV458">
        <f t="shared" si="396"/>
        <v>0</v>
      </c>
      <c r="GW458">
        <v>1</v>
      </c>
      <c r="GX458">
        <f t="shared" si="397"/>
        <v>0</v>
      </c>
      <c r="HA458">
        <v>0</v>
      </c>
      <c r="HB458">
        <v>0</v>
      </c>
      <c r="HC458">
        <f t="shared" si="398"/>
        <v>0</v>
      </c>
      <c r="HE458" t="s">
        <v>3</v>
      </c>
      <c r="HF458" t="s">
        <v>3</v>
      </c>
      <c r="HM458" t="s">
        <v>3</v>
      </c>
      <c r="HN458" t="s">
        <v>3</v>
      </c>
      <c r="HO458" t="s">
        <v>3</v>
      </c>
      <c r="HP458" t="s">
        <v>3</v>
      </c>
      <c r="HQ458" t="s">
        <v>3</v>
      </c>
      <c r="IK458">
        <v>0</v>
      </c>
    </row>
    <row r="459" spans="1:245" x14ac:dyDescent="0.2">
      <c r="A459">
        <v>17</v>
      </c>
      <c r="B459">
        <v>1</v>
      </c>
      <c r="D459">
        <f>ROW(EtalonRes!A329)</f>
        <v>329</v>
      </c>
      <c r="E459" t="s">
        <v>362</v>
      </c>
      <c r="F459" t="s">
        <v>363</v>
      </c>
      <c r="G459" t="s">
        <v>364</v>
      </c>
      <c r="H459" t="s">
        <v>32</v>
      </c>
      <c r="I459">
        <f>ROUND(ROUND((3+3)*3,9),9)</f>
        <v>18</v>
      </c>
      <c r="J459">
        <v>0</v>
      </c>
      <c r="K459">
        <f>ROUND(ROUND((3+3)*3,9),9)</f>
        <v>18</v>
      </c>
      <c r="O459">
        <f t="shared" si="366"/>
        <v>12115.08</v>
      </c>
      <c r="P459">
        <f t="shared" si="367"/>
        <v>0</v>
      </c>
      <c r="Q459">
        <f t="shared" si="368"/>
        <v>0</v>
      </c>
      <c r="R459">
        <f t="shared" si="369"/>
        <v>0</v>
      </c>
      <c r="S459">
        <f t="shared" si="370"/>
        <v>12115.08</v>
      </c>
      <c r="T459">
        <f t="shared" si="371"/>
        <v>0</v>
      </c>
      <c r="U459">
        <f t="shared" si="372"/>
        <v>19.62</v>
      </c>
      <c r="V459">
        <f t="shared" si="373"/>
        <v>0</v>
      </c>
      <c r="W459">
        <f t="shared" si="374"/>
        <v>0</v>
      </c>
      <c r="X459">
        <f t="shared" si="375"/>
        <v>8480.56</v>
      </c>
      <c r="Y459">
        <f t="shared" si="376"/>
        <v>1211.51</v>
      </c>
      <c r="AA459">
        <v>1472224561</v>
      </c>
      <c r="AB459">
        <f t="shared" si="377"/>
        <v>673.06</v>
      </c>
      <c r="AC459">
        <f>ROUND((ES459),6)</f>
        <v>0</v>
      </c>
      <c r="AD459">
        <f>ROUND((((ET459)-(EU459))+AE459),6)</f>
        <v>0</v>
      </c>
      <c r="AE459">
        <f>ROUND((EU459),6)</f>
        <v>0</v>
      </c>
      <c r="AF459">
        <f>ROUND((EV459),6)</f>
        <v>673.06</v>
      </c>
      <c r="AG459">
        <f t="shared" si="378"/>
        <v>0</v>
      </c>
      <c r="AH459">
        <f>(EW459)</f>
        <v>1.0900000000000001</v>
      </c>
      <c r="AI459">
        <f>(EX459)</f>
        <v>0</v>
      </c>
      <c r="AJ459">
        <f t="shared" si="379"/>
        <v>0</v>
      </c>
      <c r="AK459">
        <v>673.06</v>
      </c>
      <c r="AL459">
        <v>0</v>
      </c>
      <c r="AM459">
        <v>0</v>
      </c>
      <c r="AN459">
        <v>0</v>
      </c>
      <c r="AO459">
        <v>673.06</v>
      </c>
      <c r="AP459">
        <v>0</v>
      </c>
      <c r="AQ459">
        <v>1.0900000000000001</v>
      </c>
      <c r="AR459">
        <v>0</v>
      </c>
      <c r="AS459">
        <v>0</v>
      </c>
      <c r="AT459">
        <v>70</v>
      </c>
      <c r="AU459">
        <v>10</v>
      </c>
      <c r="AV459">
        <v>1</v>
      </c>
      <c r="AW459">
        <v>1</v>
      </c>
      <c r="AZ459">
        <v>1</v>
      </c>
      <c r="BA459">
        <v>1</v>
      </c>
      <c r="BB459">
        <v>1</v>
      </c>
      <c r="BC459">
        <v>1</v>
      </c>
      <c r="BD459" t="s">
        <v>3</v>
      </c>
      <c r="BE459" t="s">
        <v>3</v>
      </c>
      <c r="BF459" t="s">
        <v>3</v>
      </c>
      <c r="BG459" t="s">
        <v>3</v>
      </c>
      <c r="BH459">
        <v>0</v>
      </c>
      <c r="BI459">
        <v>4</v>
      </c>
      <c r="BJ459" t="s">
        <v>365</v>
      </c>
      <c r="BM459">
        <v>0</v>
      </c>
      <c r="BN459">
        <v>0</v>
      </c>
      <c r="BO459" t="s">
        <v>3</v>
      </c>
      <c r="BP459">
        <v>0</v>
      </c>
      <c r="BQ459">
        <v>1</v>
      </c>
      <c r="BR459">
        <v>0</v>
      </c>
      <c r="BS459">
        <v>1</v>
      </c>
      <c r="BT459">
        <v>1</v>
      </c>
      <c r="BU459">
        <v>1</v>
      </c>
      <c r="BV459">
        <v>1</v>
      </c>
      <c r="BW459">
        <v>1</v>
      </c>
      <c r="BX459">
        <v>1</v>
      </c>
      <c r="BY459" t="s">
        <v>3</v>
      </c>
      <c r="BZ459">
        <v>70</v>
      </c>
      <c r="CA459">
        <v>10</v>
      </c>
      <c r="CB459" t="s">
        <v>3</v>
      </c>
      <c r="CE459">
        <v>0</v>
      </c>
      <c r="CF459">
        <v>0</v>
      </c>
      <c r="CG459">
        <v>0</v>
      </c>
      <c r="CM459">
        <v>0</v>
      </c>
      <c r="CN459" t="s">
        <v>3</v>
      </c>
      <c r="CO459">
        <v>0</v>
      </c>
      <c r="CP459">
        <f t="shared" si="380"/>
        <v>12115.08</v>
      </c>
      <c r="CQ459">
        <f t="shared" si="381"/>
        <v>0</v>
      </c>
      <c r="CR459">
        <f>((((ET459)*BB459-(EU459)*BS459)+AE459*BS459)*AV459)</f>
        <v>0</v>
      </c>
      <c r="CS459">
        <f t="shared" si="382"/>
        <v>0</v>
      </c>
      <c r="CT459">
        <f t="shared" si="383"/>
        <v>673.06</v>
      </c>
      <c r="CU459">
        <f t="shared" si="384"/>
        <v>0</v>
      </c>
      <c r="CV459">
        <f t="shared" si="385"/>
        <v>1.0900000000000001</v>
      </c>
      <c r="CW459">
        <f t="shared" si="386"/>
        <v>0</v>
      </c>
      <c r="CX459">
        <f t="shared" si="387"/>
        <v>0</v>
      </c>
      <c r="CY459">
        <f t="shared" si="388"/>
        <v>8480.5560000000005</v>
      </c>
      <c r="CZ459">
        <f t="shared" si="389"/>
        <v>1211.508</v>
      </c>
      <c r="DC459" t="s">
        <v>3</v>
      </c>
      <c r="DD459" t="s">
        <v>3</v>
      </c>
      <c r="DE459" t="s">
        <v>3</v>
      </c>
      <c r="DF459" t="s">
        <v>3</v>
      </c>
      <c r="DG459" t="s">
        <v>3</v>
      </c>
      <c r="DH459" t="s">
        <v>3</v>
      </c>
      <c r="DI459" t="s">
        <v>3</v>
      </c>
      <c r="DJ459" t="s">
        <v>3</v>
      </c>
      <c r="DK459" t="s">
        <v>3</v>
      </c>
      <c r="DL459" t="s">
        <v>3</v>
      </c>
      <c r="DM459" t="s">
        <v>3</v>
      </c>
      <c r="DN459">
        <v>0</v>
      </c>
      <c r="DO459">
        <v>0</v>
      </c>
      <c r="DP459">
        <v>1</v>
      </c>
      <c r="DQ459">
        <v>1</v>
      </c>
      <c r="DU459">
        <v>16987630</v>
      </c>
      <c r="DV459" t="s">
        <v>32</v>
      </c>
      <c r="DW459" t="s">
        <v>32</v>
      </c>
      <c r="DX459">
        <v>1</v>
      </c>
      <c r="DZ459" t="s">
        <v>3</v>
      </c>
      <c r="EA459" t="s">
        <v>3</v>
      </c>
      <c r="EB459" t="s">
        <v>3</v>
      </c>
      <c r="EC459" t="s">
        <v>3</v>
      </c>
      <c r="EE459">
        <v>1441815344</v>
      </c>
      <c r="EF459">
        <v>1</v>
      </c>
      <c r="EG459" t="s">
        <v>23</v>
      </c>
      <c r="EH459">
        <v>0</v>
      </c>
      <c r="EI459" t="s">
        <v>3</v>
      </c>
      <c r="EJ459">
        <v>4</v>
      </c>
      <c r="EK459">
        <v>0</v>
      </c>
      <c r="EL459" t="s">
        <v>24</v>
      </c>
      <c r="EM459" t="s">
        <v>25</v>
      </c>
      <c r="EO459" t="s">
        <v>3</v>
      </c>
      <c r="EQ459">
        <v>0</v>
      </c>
      <c r="ER459">
        <v>673.06</v>
      </c>
      <c r="ES459">
        <v>0</v>
      </c>
      <c r="ET459">
        <v>0</v>
      </c>
      <c r="EU459">
        <v>0</v>
      </c>
      <c r="EV459">
        <v>673.06</v>
      </c>
      <c r="EW459">
        <v>1.0900000000000001</v>
      </c>
      <c r="EX459">
        <v>0</v>
      </c>
      <c r="EY459">
        <v>0</v>
      </c>
      <c r="FQ459">
        <v>0</v>
      </c>
      <c r="FR459">
        <f t="shared" si="390"/>
        <v>0</v>
      </c>
      <c r="FS459">
        <v>0</v>
      </c>
      <c r="FX459">
        <v>70</v>
      </c>
      <c r="FY459">
        <v>10</v>
      </c>
      <c r="GA459" t="s">
        <v>3</v>
      </c>
      <c r="GD459">
        <v>0</v>
      </c>
      <c r="GF459">
        <v>-659887813</v>
      </c>
      <c r="GG459">
        <v>2</v>
      </c>
      <c r="GH459">
        <v>1</v>
      </c>
      <c r="GI459">
        <v>-2</v>
      </c>
      <c r="GJ459">
        <v>0</v>
      </c>
      <c r="GK459">
        <f>ROUND(R459*(R12)/100,2)</f>
        <v>0</v>
      </c>
      <c r="GL459">
        <f t="shared" si="391"/>
        <v>0</v>
      </c>
      <c r="GM459">
        <f t="shared" si="392"/>
        <v>21807.15</v>
      </c>
      <c r="GN459">
        <f t="shared" si="393"/>
        <v>0</v>
      </c>
      <c r="GO459">
        <f t="shared" si="394"/>
        <v>0</v>
      </c>
      <c r="GP459">
        <f t="shared" si="395"/>
        <v>21807.15</v>
      </c>
      <c r="GR459">
        <v>0</v>
      </c>
      <c r="GS459">
        <v>3</v>
      </c>
      <c r="GT459">
        <v>0</v>
      </c>
      <c r="GU459" t="s">
        <v>3</v>
      </c>
      <c r="GV459">
        <f t="shared" si="396"/>
        <v>0</v>
      </c>
      <c r="GW459">
        <v>1</v>
      </c>
      <c r="GX459">
        <f t="shared" si="397"/>
        <v>0</v>
      </c>
      <c r="HA459">
        <v>0</v>
      </c>
      <c r="HB459">
        <v>0</v>
      </c>
      <c r="HC459">
        <f t="shared" si="398"/>
        <v>0</v>
      </c>
      <c r="HE459" t="s">
        <v>3</v>
      </c>
      <c r="HF459" t="s">
        <v>3</v>
      </c>
      <c r="HM459" t="s">
        <v>3</v>
      </c>
      <c r="HN459" t="s">
        <v>3</v>
      </c>
      <c r="HO459" t="s">
        <v>3</v>
      </c>
      <c r="HP459" t="s">
        <v>3</v>
      </c>
      <c r="HQ459" t="s">
        <v>3</v>
      </c>
      <c r="IK459">
        <v>0</v>
      </c>
    </row>
    <row r="460" spans="1:245" x14ac:dyDescent="0.2">
      <c r="A460">
        <v>17</v>
      </c>
      <c r="B460">
        <v>1</v>
      </c>
      <c r="D460">
        <f>ROW(EtalonRes!A330)</f>
        <v>330</v>
      </c>
      <c r="E460" t="s">
        <v>3</v>
      </c>
      <c r="F460" t="s">
        <v>366</v>
      </c>
      <c r="G460" t="s">
        <v>367</v>
      </c>
      <c r="H460" t="s">
        <v>32</v>
      </c>
      <c r="I460">
        <f>ROUND(ROUND((103+1)*3,9),9)</f>
        <v>312</v>
      </c>
      <c r="J460">
        <v>0</v>
      </c>
      <c r="K460">
        <f>ROUND(ROUND((103+1)*3,9),9)</f>
        <v>312</v>
      </c>
      <c r="O460">
        <f t="shared" si="366"/>
        <v>129274.08</v>
      </c>
      <c r="P460">
        <f t="shared" si="367"/>
        <v>0</v>
      </c>
      <c r="Q460">
        <f t="shared" si="368"/>
        <v>0</v>
      </c>
      <c r="R460">
        <f t="shared" si="369"/>
        <v>0</v>
      </c>
      <c r="S460">
        <f t="shared" si="370"/>
        <v>129274.08</v>
      </c>
      <c r="T460">
        <f t="shared" si="371"/>
        <v>0</v>
      </c>
      <c r="U460">
        <f t="shared" si="372"/>
        <v>249.60000000000002</v>
      </c>
      <c r="V460">
        <f t="shared" si="373"/>
        <v>0</v>
      </c>
      <c r="W460">
        <f t="shared" si="374"/>
        <v>0</v>
      </c>
      <c r="X460">
        <f t="shared" si="375"/>
        <v>90491.86</v>
      </c>
      <c r="Y460">
        <f t="shared" si="376"/>
        <v>12927.41</v>
      </c>
      <c r="AA460">
        <v>-1</v>
      </c>
      <c r="AB460">
        <f t="shared" si="377"/>
        <v>414.34</v>
      </c>
      <c r="AC460">
        <f>ROUND(((ES460*2)),6)</f>
        <v>0</v>
      </c>
      <c r="AD460">
        <f>ROUND(((((ET460*2))-((EU460*2)))+AE460),6)</f>
        <v>0</v>
      </c>
      <c r="AE460">
        <f>ROUND(((EU460*2)),6)</f>
        <v>0</v>
      </c>
      <c r="AF460">
        <f>ROUND(((EV460*2)),6)</f>
        <v>414.34</v>
      </c>
      <c r="AG460">
        <f t="shared" si="378"/>
        <v>0</v>
      </c>
      <c r="AH460">
        <f>((EW460*2))</f>
        <v>0.8</v>
      </c>
      <c r="AI460">
        <f>((EX460*2))</f>
        <v>0</v>
      </c>
      <c r="AJ460">
        <f t="shared" si="379"/>
        <v>0</v>
      </c>
      <c r="AK460">
        <v>207.17</v>
      </c>
      <c r="AL460">
        <v>0</v>
      </c>
      <c r="AM460">
        <v>0</v>
      </c>
      <c r="AN460">
        <v>0</v>
      </c>
      <c r="AO460">
        <v>207.17</v>
      </c>
      <c r="AP460">
        <v>0</v>
      </c>
      <c r="AQ460">
        <v>0.4</v>
      </c>
      <c r="AR460">
        <v>0</v>
      </c>
      <c r="AS460">
        <v>0</v>
      </c>
      <c r="AT460">
        <v>70</v>
      </c>
      <c r="AU460">
        <v>10</v>
      </c>
      <c r="AV460">
        <v>1</v>
      </c>
      <c r="AW460">
        <v>1</v>
      </c>
      <c r="AZ460">
        <v>1</v>
      </c>
      <c r="BA460">
        <v>1</v>
      </c>
      <c r="BB460">
        <v>1</v>
      </c>
      <c r="BC460">
        <v>1</v>
      </c>
      <c r="BD460" t="s">
        <v>3</v>
      </c>
      <c r="BE460" t="s">
        <v>3</v>
      </c>
      <c r="BF460" t="s">
        <v>3</v>
      </c>
      <c r="BG460" t="s">
        <v>3</v>
      </c>
      <c r="BH460">
        <v>0</v>
      </c>
      <c r="BI460">
        <v>4</v>
      </c>
      <c r="BJ460" t="s">
        <v>368</v>
      </c>
      <c r="BM460">
        <v>0</v>
      </c>
      <c r="BN460">
        <v>0</v>
      </c>
      <c r="BO460" t="s">
        <v>3</v>
      </c>
      <c r="BP460">
        <v>0</v>
      </c>
      <c r="BQ460">
        <v>1</v>
      </c>
      <c r="BR460">
        <v>0</v>
      </c>
      <c r="BS460">
        <v>1</v>
      </c>
      <c r="BT460">
        <v>1</v>
      </c>
      <c r="BU460">
        <v>1</v>
      </c>
      <c r="BV460">
        <v>1</v>
      </c>
      <c r="BW460">
        <v>1</v>
      </c>
      <c r="BX460">
        <v>1</v>
      </c>
      <c r="BY460" t="s">
        <v>3</v>
      </c>
      <c r="BZ460">
        <v>70</v>
      </c>
      <c r="CA460">
        <v>10</v>
      </c>
      <c r="CB460" t="s">
        <v>3</v>
      </c>
      <c r="CE460">
        <v>0</v>
      </c>
      <c r="CF460">
        <v>0</v>
      </c>
      <c r="CG460">
        <v>0</v>
      </c>
      <c r="CM460">
        <v>0</v>
      </c>
      <c r="CN460" t="s">
        <v>3</v>
      </c>
      <c r="CO460">
        <v>0</v>
      </c>
      <c r="CP460">
        <f t="shared" si="380"/>
        <v>129274.08</v>
      </c>
      <c r="CQ460">
        <f t="shared" si="381"/>
        <v>0</v>
      </c>
      <c r="CR460">
        <f>(((((ET460*2))*BB460-((EU460*2))*BS460)+AE460*BS460)*AV460)</f>
        <v>0</v>
      </c>
      <c r="CS460">
        <f t="shared" si="382"/>
        <v>0</v>
      </c>
      <c r="CT460">
        <f t="shared" si="383"/>
        <v>414.34</v>
      </c>
      <c r="CU460">
        <f t="shared" si="384"/>
        <v>0</v>
      </c>
      <c r="CV460">
        <f t="shared" si="385"/>
        <v>0.8</v>
      </c>
      <c r="CW460">
        <f t="shared" si="386"/>
        <v>0</v>
      </c>
      <c r="CX460">
        <f t="shared" si="387"/>
        <v>0</v>
      </c>
      <c r="CY460">
        <f t="shared" si="388"/>
        <v>90491.856</v>
      </c>
      <c r="CZ460">
        <f t="shared" si="389"/>
        <v>12927.408000000001</v>
      </c>
      <c r="DC460" t="s">
        <v>3</v>
      </c>
      <c r="DD460" t="s">
        <v>164</v>
      </c>
      <c r="DE460" t="s">
        <v>164</v>
      </c>
      <c r="DF460" t="s">
        <v>164</v>
      </c>
      <c r="DG460" t="s">
        <v>164</v>
      </c>
      <c r="DH460" t="s">
        <v>3</v>
      </c>
      <c r="DI460" t="s">
        <v>164</v>
      </c>
      <c r="DJ460" t="s">
        <v>164</v>
      </c>
      <c r="DK460" t="s">
        <v>3</v>
      </c>
      <c r="DL460" t="s">
        <v>3</v>
      </c>
      <c r="DM460" t="s">
        <v>3</v>
      </c>
      <c r="DN460">
        <v>0</v>
      </c>
      <c r="DO460">
        <v>0</v>
      </c>
      <c r="DP460">
        <v>1</v>
      </c>
      <c r="DQ460">
        <v>1</v>
      </c>
      <c r="DU460">
        <v>16987630</v>
      </c>
      <c r="DV460" t="s">
        <v>32</v>
      </c>
      <c r="DW460" t="s">
        <v>32</v>
      </c>
      <c r="DX460">
        <v>1</v>
      </c>
      <c r="DZ460" t="s">
        <v>3</v>
      </c>
      <c r="EA460" t="s">
        <v>3</v>
      </c>
      <c r="EB460" t="s">
        <v>3</v>
      </c>
      <c r="EC460" t="s">
        <v>3</v>
      </c>
      <c r="EE460">
        <v>1441815344</v>
      </c>
      <c r="EF460">
        <v>1</v>
      </c>
      <c r="EG460" t="s">
        <v>23</v>
      </c>
      <c r="EH460">
        <v>0</v>
      </c>
      <c r="EI460" t="s">
        <v>3</v>
      </c>
      <c r="EJ460">
        <v>4</v>
      </c>
      <c r="EK460">
        <v>0</v>
      </c>
      <c r="EL460" t="s">
        <v>24</v>
      </c>
      <c r="EM460" t="s">
        <v>25</v>
      </c>
      <c r="EO460" t="s">
        <v>3</v>
      </c>
      <c r="EQ460">
        <v>1311744</v>
      </c>
      <c r="ER460">
        <v>207.17</v>
      </c>
      <c r="ES460">
        <v>0</v>
      </c>
      <c r="ET460">
        <v>0</v>
      </c>
      <c r="EU460">
        <v>0</v>
      </c>
      <c r="EV460">
        <v>207.17</v>
      </c>
      <c r="EW460">
        <v>0.4</v>
      </c>
      <c r="EX460">
        <v>0</v>
      </c>
      <c r="EY460">
        <v>0</v>
      </c>
      <c r="FQ460">
        <v>0</v>
      </c>
      <c r="FR460">
        <f t="shared" si="390"/>
        <v>0</v>
      </c>
      <c r="FS460">
        <v>0</v>
      </c>
      <c r="FX460">
        <v>70</v>
      </c>
      <c r="FY460">
        <v>10</v>
      </c>
      <c r="GA460" t="s">
        <v>3</v>
      </c>
      <c r="GD460">
        <v>0</v>
      </c>
      <c r="GF460">
        <v>-1777342782</v>
      </c>
      <c r="GG460">
        <v>2</v>
      </c>
      <c r="GH460">
        <v>1</v>
      </c>
      <c r="GI460">
        <v>-2</v>
      </c>
      <c r="GJ460">
        <v>0</v>
      </c>
      <c r="GK460">
        <f>ROUND(R460*(R12)/100,2)</f>
        <v>0</v>
      </c>
      <c r="GL460">
        <f t="shared" si="391"/>
        <v>0</v>
      </c>
      <c r="GM460">
        <f t="shared" si="392"/>
        <v>232693.35</v>
      </c>
      <c r="GN460">
        <f t="shared" si="393"/>
        <v>0</v>
      </c>
      <c r="GO460">
        <f t="shared" si="394"/>
        <v>0</v>
      </c>
      <c r="GP460">
        <f t="shared" si="395"/>
        <v>232693.35</v>
      </c>
      <c r="GR460">
        <v>0</v>
      </c>
      <c r="GS460">
        <v>3</v>
      </c>
      <c r="GT460">
        <v>0</v>
      </c>
      <c r="GU460" t="s">
        <v>3</v>
      </c>
      <c r="GV460">
        <f t="shared" si="396"/>
        <v>0</v>
      </c>
      <c r="GW460">
        <v>1</v>
      </c>
      <c r="GX460">
        <f t="shared" si="397"/>
        <v>0</v>
      </c>
      <c r="HA460">
        <v>0</v>
      </c>
      <c r="HB460">
        <v>0</v>
      </c>
      <c r="HC460">
        <f t="shared" si="398"/>
        <v>0</v>
      </c>
      <c r="HE460" t="s">
        <v>3</v>
      </c>
      <c r="HF460" t="s">
        <v>3</v>
      </c>
      <c r="HM460" t="s">
        <v>3</v>
      </c>
      <c r="HN460" t="s">
        <v>3</v>
      </c>
      <c r="HO460" t="s">
        <v>3</v>
      </c>
      <c r="HP460" t="s">
        <v>3</v>
      </c>
      <c r="HQ460" t="s">
        <v>3</v>
      </c>
      <c r="IK460">
        <v>0</v>
      </c>
    </row>
    <row r="461" spans="1:245" x14ac:dyDescent="0.2">
      <c r="A461">
        <v>17</v>
      </c>
      <c r="B461">
        <v>1</v>
      </c>
      <c r="D461">
        <f>ROW(EtalonRes!A336)</f>
        <v>336</v>
      </c>
      <c r="E461" t="s">
        <v>3</v>
      </c>
      <c r="F461" t="s">
        <v>369</v>
      </c>
      <c r="G461" t="s">
        <v>370</v>
      </c>
      <c r="H461" t="s">
        <v>371</v>
      </c>
      <c r="I461">
        <f>ROUND(ROUND(253.08*3/100,9),9)</f>
        <v>7.5923999999999996</v>
      </c>
      <c r="J461">
        <v>0</v>
      </c>
      <c r="K461">
        <f>ROUND(ROUND(253.08*3/100,9),9)</f>
        <v>7.5923999999999996</v>
      </c>
      <c r="O461">
        <f t="shared" si="366"/>
        <v>86583.73</v>
      </c>
      <c r="P461">
        <f t="shared" si="367"/>
        <v>35.840000000000003</v>
      </c>
      <c r="Q461">
        <f t="shared" si="368"/>
        <v>34156.69</v>
      </c>
      <c r="R461">
        <f t="shared" si="369"/>
        <v>20811.07</v>
      </c>
      <c r="S461">
        <f t="shared" si="370"/>
        <v>52391.199999999997</v>
      </c>
      <c r="T461">
        <f t="shared" si="371"/>
        <v>0</v>
      </c>
      <c r="U461">
        <f t="shared" si="372"/>
        <v>99.688212000000007</v>
      </c>
      <c r="V461">
        <f t="shared" si="373"/>
        <v>0</v>
      </c>
      <c r="W461">
        <f t="shared" si="374"/>
        <v>0</v>
      </c>
      <c r="X461">
        <f t="shared" si="375"/>
        <v>36673.839999999997</v>
      </c>
      <c r="Y461">
        <f t="shared" si="376"/>
        <v>5239.12</v>
      </c>
      <c r="AA461">
        <v>-1</v>
      </c>
      <c r="AB461">
        <f t="shared" si="377"/>
        <v>11404</v>
      </c>
      <c r="AC461">
        <f>ROUND((ES461),6)</f>
        <v>4.72</v>
      </c>
      <c r="AD461">
        <f>ROUND((((ET461)-(EU461))+AE461),6)</f>
        <v>4498.8</v>
      </c>
      <c r="AE461">
        <f>ROUND((EU461),6)</f>
        <v>2741.04</v>
      </c>
      <c r="AF461">
        <f>ROUND((EV461),6)</f>
        <v>6900.48</v>
      </c>
      <c r="AG461">
        <f t="shared" si="378"/>
        <v>0</v>
      </c>
      <c r="AH461">
        <f>(EW461)</f>
        <v>13.13</v>
      </c>
      <c r="AI461">
        <f>(EX461)</f>
        <v>0</v>
      </c>
      <c r="AJ461">
        <f t="shared" si="379"/>
        <v>0</v>
      </c>
      <c r="AK461">
        <v>11404</v>
      </c>
      <c r="AL461">
        <v>4.72</v>
      </c>
      <c r="AM461">
        <v>4498.8</v>
      </c>
      <c r="AN461">
        <v>2741.04</v>
      </c>
      <c r="AO461">
        <v>6900.48</v>
      </c>
      <c r="AP461">
        <v>0</v>
      </c>
      <c r="AQ461">
        <v>13.13</v>
      </c>
      <c r="AR461">
        <v>0</v>
      </c>
      <c r="AS461">
        <v>0</v>
      </c>
      <c r="AT461">
        <v>70</v>
      </c>
      <c r="AU461">
        <v>10</v>
      </c>
      <c r="AV461">
        <v>1</v>
      </c>
      <c r="AW461">
        <v>1</v>
      </c>
      <c r="AZ461">
        <v>1</v>
      </c>
      <c r="BA461">
        <v>1</v>
      </c>
      <c r="BB461">
        <v>1</v>
      </c>
      <c r="BC461">
        <v>1</v>
      </c>
      <c r="BD461" t="s">
        <v>3</v>
      </c>
      <c r="BE461" t="s">
        <v>3</v>
      </c>
      <c r="BF461" t="s">
        <v>3</v>
      </c>
      <c r="BG461" t="s">
        <v>3</v>
      </c>
      <c r="BH461">
        <v>0</v>
      </c>
      <c r="BI461">
        <v>4</v>
      </c>
      <c r="BJ461" t="s">
        <v>372</v>
      </c>
      <c r="BM461">
        <v>0</v>
      </c>
      <c r="BN461">
        <v>0</v>
      </c>
      <c r="BO461" t="s">
        <v>3</v>
      </c>
      <c r="BP461">
        <v>0</v>
      </c>
      <c r="BQ461">
        <v>1</v>
      </c>
      <c r="BR461">
        <v>0</v>
      </c>
      <c r="BS461">
        <v>1</v>
      </c>
      <c r="BT461">
        <v>1</v>
      </c>
      <c r="BU461">
        <v>1</v>
      </c>
      <c r="BV461">
        <v>1</v>
      </c>
      <c r="BW461">
        <v>1</v>
      </c>
      <c r="BX461">
        <v>1</v>
      </c>
      <c r="BY461" t="s">
        <v>3</v>
      </c>
      <c r="BZ461">
        <v>70</v>
      </c>
      <c r="CA461">
        <v>10</v>
      </c>
      <c r="CB461" t="s">
        <v>3</v>
      </c>
      <c r="CE461">
        <v>0</v>
      </c>
      <c r="CF461">
        <v>0</v>
      </c>
      <c r="CG461">
        <v>0</v>
      </c>
      <c r="CM461">
        <v>0</v>
      </c>
      <c r="CN461" t="s">
        <v>3</v>
      </c>
      <c r="CO461">
        <v>0</v>
      </c>
      <c r="CP461">
        <f t="shared" si="380"/>
        <v>86583.73</v>
      </c>
      <c r="CQ461">
        <f t="shared" si="381"/>
        <v>4.72</v>
      </c>
      <c r="CR461">
        <f>((((ET461)*BB461-(EU461)*BS461)+AE461*BS461)*AV461)</f>
        <v>4498.8</v>
      </c>
      <c r="CS461">
        <f t="shared" si="382"/>
        <v>2741.04</v>
      </c>
      <c r="CT461">
        <f t="shared" si="383"/>
        <v>6900.48</v>
      </c>
      <c r="CU461">
        <f t="shared" si="384"/>
        <v>0</v>
      </c>
      <c r="CV461">
        <f t="shared" si="385"/>
        <v>13.13</v>
      </c>
      <c r="CW461">
        <f t="shared" si="386"/>
        <v>0</v>
      </c>
      <c r="CX461">
        <f t="shared" si="387"/>
        <v>0</v>
      </c>
      <c r="CY461">
        <f t="shared" si="388"/>
        <v>36673.839999999997</v>
      </c>
      <c r="CZ461">
        <f t="shared" si="389"/>
        <v>5239.12</v>
      </c>
      <c r="DC461" t="s">
        <v>3</v>
      </c>
      <c r="DD461" t="s">
        <v>3</v>
      </c>
      <c r="DE461" t="s">
        <v>3</v>
      </c>
      <c r="DF461" t="s">
        <v>3</v>
      </c>
      <c r="DG461" t="s">
        <v>3</v>
      </c>
      <c r="DH461" t="s">
        <v>3</v>
      </c>
      <c r="DI461" t="s">
        <v>3</v>
      </c>
      <c r="DJ461" t="s">
        <v>3</v>
      </c>
      <c r="DK461" t="s">
        <v>3</v>
      </c>
      <c r="DL461" t="s">
        <v>3</v>
      </c>
      <c r="DM461" t="s">
        <v>3</v>
      </c>
      <c r="DN461">
        <v>0</v>
      </c>
      <c r="DO461">
        <v>0</v>
      </c>
      <c r="DP461">
        <v>1</v>
      </c>
      <c r="DQ461">
        <v>1</v>
      </c>
      <c r="DU461">
        <v>1005</v>
      </c>
      <c r="DV461" t="s">
        <v>371</v>
      </c>
      <c r="DW461" t="s">
        <v>371</v>
      </c>
      <c r="DX461">
        <v>100</v>
      </c>
      <c r="DZ461" t="s">
        <v>3</v>
      </c>
      <c r="EA461" t="s">
        <v>3</v>
      </c>
      <c r="EB461" t="s">
        <v>3</v>
      </c>
      <c r="EC461" t="s">
        <v>3</v>
      </c>
      <c r="EE461">
        <v>1441815344</v>
      </c>
      <c r="EF461">
        <v>1</v>
      </c>
      <c r="EG461" t="s">
        <v>23</v>
      </c>
      <c r="EH461">
        <v>0</v>
      </c>
      <c r="EI461" t="s">
        <v>3</v>
      </c>
      <c r="EJ461">
        <v>4</v>
      </c>
      <c r="EK461">
        <v>0</v>
      </c>
      <c r="EL461" t="s">
        <v>24</v>
      </c>
      <c r="EM461" t="s">
        <v>25</v>
      </c>
      <c r="EO461" t="s">
        <v>3</v>
      </c>
      <c r="EQ461">
        <v>1311744</v>
      </c>
      <c r="ER461">
        <v>11404</v>
      </c>
      <c r="ES461">
        <v>4.72</v>
      </c>
      <c r="ET461">
        <v>4498.8</v>
      </c>
      <c r="EU461">
        <v>2741.04</v>
      </c>
      <c r="EV461">
        <v>6900.48</v>
      </c>
      <c r="EW461">
        <v>13.13</v>
      </c>
      <c r="EX461">
        <v>0</v>
      </c>
      <c r="EY461">
        <v>0</v>
      </c>
      <c r="FQ461">
        <v>0</v>
      </c>
      <c r="FR461">
        <f t="shared" si="390"/>
        <v>0</v>
      </c>
      <c r="FS461">
        <v>0</v>
      </c>
      <c r="FX461">
        <v>70</v>
      </c>
      <c r="FY461">
        <v>10</v>
      </c>
      <c r="GA461" t="s">
        <v>3</v>
      </c>
      <c r="GD461">
        <v>0</v>
      </c>
      <c r="GF461">
        <v>-1858475948</v>
      </c>
      <c r="GG461">
        <v>2</v>
      </c>
      <c r="GH461">
        <v>1</v>
      </c>
      <c r="GI461">
        <v>-2</v>
      </c>
      <c r="GJ461">
        <v>0</v>
      </c>
      <c r="GK461">
        <f>ROUND(R461*(R12)/100,2)</f>
        <v>22475.96</v>
      </c>
      <c r="GL461">
        <f t="shared" si="391"/>
        <v>0</v>
      </c>
      <c r="GM461">
        <f t="shared" si="392"/>
        <v>150972.65</v>
      </c>
      <c r="GN461">
        <f t="shared" si="393"/>
        <v>0</v>
      </c>
      <c r="GO461">
        <f t="shared" si="394"/>
        <v>0</v>
      </c>
      <c r="GP461">
        <f t="shared" si="395"/>
        <v>150972.65</v>
      </c>
      <c r="GR461">
        <v>0</v>
      </c>
      <c r="GS461">
        <v>3</v>
      </c>
      <c r="GT461">
        <v>0</v>
      </c>
      <c r="GU461" t="s">
        <v>3</v>
      </c>
      <c r="GV461">
        <f t="shared" si="396"/>
        <v>0</v>
      </c>
      <c r="GW461">
        <v>1</v>
      </c>
      <c r="GX461">
        <f t="shared" si="397"/>
        <v>0</v>
      </c>
      <c r="HA461">
        <v>0</v>
      </c>
      <c r="HB461">
        <v>0</v>
      </c>
      <c r="HC461">
        <f t="shared" si="398"/>
        <v>0</v>
      </c>
      <c r="HE461" t="s">
        <v>3</v>
      </c>
      <c r="HF461" t="s">
        <v>3</v>
      </c>
      <c r="HM461" t="s">
        <v>3</v>
      </c>
      <c r="HN461" t="s">
        <v>3</v>
      </c>
      <c r="HO461" t="s">
        <v>3</v>
      </c>
      <c r="HP461" t="s">
        <v>3</v>
      </c>
      <c r="HQ461" t="s">
        <v>3</v>
      </c>
      <c r="IK461">
        <v>0</v>
      </c>
    </row>
    <row r="462" spans="1:245" x14ac:dyDescent="0.2">
      <c r="A462">
        <v>17</v>
      </c>
      <c r="B462">
        <v>1</v>
      </c>
      <c r="D462">
        <f>ROW(EtalonRes!A341)</f>
        <v>341</v>
      </c>
      <c r="E462" t="s">
        <v>3</v>
      </c>
      <c r="F462" t="s">
        <v>373</v>
      </c>
      <c r="G462" t="s">
        <v>374</v>
      </c>
      <c r="H462" t="s">
        <v>371</v>
      </c>
      <c r="I462">
        <f>ROUND(ROUND(253.08*3/100,9),9)</f>
        <v>7.5923999999999996</v>
      </c>
      <c r="J462">
        <v>0</v>
      </c>
      <c r="K462">
        <f>ROUND(ROUND(253.08*3/100,9),9)</f>
        <v>7.5923999999999996</v>
      </c>
      <c r="O462">
        <f t="shared" si="366"/>
        <v>13672.24</v>
      </c>
      <c r="P462">
        <f t="shared" si="367"/>
        <v>123.98</v>
      </c>
      <c r="Q462">
        <f t="shared" si="368"/>
        <v>5164.43</v>
      </c>
      <c r="R462">
        <f t="shared" si="369"/>
        <v>3262.15</v>
      </c>
      <c r="S462">
        <f t="shared" si="370"/>
        <v>8383.83</v>
      </c>
      <c r="T462">
        <f t="shared" si="371"/>
        <v>0</v>
      </c>
      <c r="U462">
        <f t="shared" si="372"/>
        <v>15.944039999999999</v>
      </c>
      <c r="V462">
        <f t="shared" si="373"/>
        <v>0</v>
      </c>
      <c r="W462">
        <f t="shared" si="374"/>
        <v>0</v>
      </c>
      <c r="X462">
        <f t="shared" si="375"/>
        <v>5868.68</v>
      </c>
      <c r="Y462">
        <f t="shared" si="376"/>
        <v>838.38</v>
      </c>
      <c r="AA462">
        <v>-1</v>
      </c>
      <c r="AB462">
        <f t="shared" si="377"/>
        <v>1800.78</v>
      </c>
      <c r="AC462">
        <f>ROUND((ES462),6)</f>
        <v>16.329999999999998</v>
      </c>
      <c r="AD462">
        <f>ROUND((((ET462)-(EU462))+AE462),6)</f>
        <v>680.21</v>
      </c>
      <c r="AE462">
        <f>ROUND((EU462),6)</f>
        <v>429.66</v>
      </c>
      <c r="AF462">
        <f>ROUND((EV462),6)</f>
        <v>1104.24</v>
      </c>
      <c r="AG462">
        <f t="shared" si="378"/>
        <v>0</v>
      </c>
      <c r="AH462">
        <f>(EW462)</f>
        <v>2.1</v>
      </c>
      <c r="AI462">
        <f>(EX462)</f>
        <v>0</v>
      </c>
      <c r="AJ462">
        <f t="shared" si="379"/>
        <v>0</v>
      </c>
      <c r="AK462">
        <v>1800.78</v>
      </c>
      <c r="AL462">
        <v>16.329999999999998</v>
      </c>
      <c r="AM462">
        <v>680.21</v>
      </c>
      <c r="AN462">
        <v>429.66</v>
      </c>
      <c r="AO462">
        <v>1104.24</v>
      </c>
      <c r="AP462">
        <v>0</v>
      </c>
      <c r="AQ462">
        <v>2.1</v>
      </c>
      <c r="AR462">
        <v>0</v>
      </c>
      <c r="AS462">
        <v>0</v>
      </c>
      <c r="AT462">
        <v>70</v>
      </c>
      <c r="AU462">
        <v>10</v>
      </c>
      <c r="AV462">
        <v>1</v>
      </c>
      <c r="AW462">
        <v>1</v>
      </c>
      <c r="AZ462">
        <v>1</v>
      </c>
      <c r="BA462">
        <v>1</v>
      </c>
      <c r="BB462">
        <v>1</v>
      </c>
      <c r="BC462">
        <v>1</v>
      </c>
      <c r="BD462" t="s">
        <v>3</v>
      </c>
      <c r="BE462" t="s">
        <v>3</v>
      </c>
      <c r="BF462" t="s">
        <v>3</v>
      </c>
      <c r="BG462" t="s">
        <v>3</v>
      </c>
      <c r="BH462">
        <v>0</v>
      </c>
      <c r="BI462">
        <v>4</v>
      </c>
      <c r="BJ462" t="s">
        <v>375</v>
      </c>
      <c r="BM462">
        <v>0</v>
      </c>
      <c r="BN462">
        <v>0</v>
      </c>
      <c r="BO462" t="s">
        <v>3</v>
      </c>
      <c r="BP462">
        <v>0</v>
      </c>
      <c r="BQ462">
        <v>1</v>
      </c>
      <c r="BR462">
        <v>0</v>
      </c>
      <c r="BS462">
        <v>1</v>
      </c>
      <c r="BT462">
        <v>1</v>
      </c>
      <c r="BU462">
        <v>1</v>
      </c>
      <c r="BV462">
        <v>1</v>
      </c>
      <c r="BW462">
        <v>1</v>
      </c>
      <c r="BX462">
        <v>1</v>
      </c>
      <c r="BY462" t="s">
        <v>3</v>
      </c>
      <c r="BZ462">
        <v>70</v>
      </c>
      <c r="CA462">
        <v>10</v>
      </c>
      <c r="CB462" t="s">
        <v>3</v>
      </c>
      <c r="CE462">
        <v>0</v>
      </c>
      <c r="CF462">
        <v>0</v>
      </c>
      <c r="CG462">
        <v>0</v>
      </c>
      <c r="CM462">
        <v>0</v>
      </c>
      <c r="CN462" t="s">
        <v>3</v>
      </c>
      <c r="CO462">
        <v>0</v>
      </c>
      <c r="CP462">
        <f t="shared" si="380"/>
        <v>13672.24</v>
      </c>
      <c r="CQ462">
        <f t="shared" si="381"/>
        <v>16.329999999999998</v>
      </c>
      <c r="CR462">
        <f>((((ET462)*BB462-(EU462)*BS462)+AE462*BS462)*AV462)</f>
        <v>680.21</v>
      </c>
      <c r="CS462">
        <f t="shared" si="382"/>
        <v>429.66</v>
      </c>
      <c r="CT462">
        <f t="shared" si="383"/>
        <v>1104.24</v>
      </c>
      <c r="CU462">
        <f t="shared" si="384"/>
        <v>0</v>
      </c>
      <c r="CV462">
        <f t="shared" si="385"/>
        <v>2.1</v>
      </c>
      <c r="CW462">
        <f t="shared" si="386"/>
        <v>0</v>
      </c>
      <c r="CX462">
        <f t="shared" si="387"/>
        <v>0</v>
      </c>
      <c r="CY462">
        <f t="shared" si="388"/>
        <v>5868.6809999999996</v>
      </c>
      <c r="CZ462">
        <f t="shared" si="389"/>
        <v>838.38300000000004</v>
      </c>
      <c r="DC462" t="s">
        <v>3</v>
      </c>
      <c r="DD462" t="s">
        <v>3</v>
      </c>
      <c r="DE462" t="s">
        <v>3</v>
      </c>
      <c r="DF462" t="s">
        <v>3</v>
      </c>
      <c r="DG462" t="s">
        <v>3</v>
      </c>
      <c r="DH462" t="s">
        <v>3</v>
      </c>
      <c r="DI462" t="s">
        <v>3</v>
      </c>
      <c r="DJ462" t="s">
        <v>3</v>
      </c>
      <c r="DK462" t="s">
        <v>3</v>
      </c>
      <c r="DL462" t="s">
        <v>3</v>
      </c>
      <c r="DM462" t="s">
        <v>3</v>
      </c>
      <c r="DN462">
        <v>0</v>
      </c>
      <c r="DO462">
        <v>0</v>
      </c>
      <c r="DP462">
        <v>1</v>
      </c>
      <c r="DQ462">
        <v>1</v>
      </c>
      <c r="DU462">
        <v>1005</v>
      </c>
      <c r="DV462" t="s">
        <v>371</v>
      </c>
      <c r="DW462" t="s">
        <v>371</v>
      </c>
      <c r="DX462">
        <v>100</v>
      </c>
      <c r="DZ462" t="s">
        <v>3</v>
      </c>
      <c r="EA462" t="s">
        <v>3</v>
      </c>
      <c r="EB462" t="s">
        <v>3</v>
      </c>
      <c r="EC462" t="s">
        <v>3</v>
      </c>
      <c r="EE462">
        <v>1441815344</v>
      </c>
      <c r="EF462">
        <v>1</v>
      </c>
      <c r="EG462" t="s">
        <v>23</v>
      </c>
      <c r="EH462">
        <v>0</v>
      </c>
      <c r="EI462" t="s">
        <v>3</v>
      </c>
      <c r="EJ462">
        <v>4</v>
      </c>
      <c r="EK462">
        <v>0</v>
      </c>
      <c r="EL462" t="s">
        <v>24</v>
      </c>
      <c r="EM462" t="s">
        <v>25</v>
      </c>
      <c r="EO462" t="s">
        <v>3</v>
      </c>
      <c r="EQ462">
        <v>1311744</v>
      </c>
      <c r="ER462">
        <v>1800.78</v>
      </c>
      <c r="ES462">
        <v>16.329999999999998</v>
      </c>
      <c r="ET462">
        <v>680.21</v>
      </c>
      <c r="EU462">
        <v>429.66</v>
      </c>
      <c r="EV462">
        <v>1104.24</v>
      </c>
      <c r="EW462">
        <v>2.1</v>
      </c>
      <c r="EX462">
        <v>0</v>
      </c>
      <c r="EY462">
        <v>0</v>
      </c>
      <c r="FQ462">
        <v>0</v>
      </c>
      <c r="FR462">
        <f t="shared" si="390"/>
        <v>0</v>
      </c>
      <c r="FS462">
        <v>0</v>
      </c>
      <c r="FX462">
        <v>70</v>
      </c>
      <c r="FY462">
        <v>10</v>
      </c>
      <c r="GA462" t="s">
        <v>3</v>
      </c>
      <c r="GD462">
        <v>0</v>
      </c>
      <c r="GF462">
        <v>-1860406526</v>
      </c>
      <c r="GG462">
        <v>2</v>
      </c>
      <c r="GH462">
        <v>1</v>
      </c>
      <c r="GI462">
        <v>-2</v>
      </c>
      <c r="GJ462">
        <v>0</v>
      </c>
      <c r="GK462">
        <f>ROUND(R462*(R12)/100,2)</f>
        <v>3523.12</v>
      </c>
      <c r="GL462">
        <f t="shared" si="391"/>
        <v>0</v>
      </c>
      <c r="GM462">
        <f t="shared" si="392"/>
        <v>23902.42</v>
      </c>
      <c r="GN462">
        <f t="shared" si="393"/>
        <v>0</v>
      </c>
      <c r="GO462">
        <f t="shared" si="394"/>
        <v>0</v>
      </c>
      <c r="GP462">
        <f t="shared" si="395"/>
        <v>23902.42</v>
      </c>
      <c r="GR462">
        <v>0</v>
      </c>
      <c r="GS462">
        <v>3</v>
      </c>
      <c r="GT462">
        <v>0</v>
      </c>
      <c r="GU462" t="s">
        <v>3</v>
      </c>
      <c r="GV462">
        <f t="shared" si="396"/>
        <v>0</v>
      </c>
      <c r="GW462">
        <v>1</v>
      </c>
      <c r="GX462">
        <f t="shared" si="397"/>
        <v>0</v>
      </c>
      <c r="HA462">
        <v>0</v>
      </c>
      <c r="HB462">
        <v>0</v>
      </c>
      <c r="HC462">
        <f t="shared" si="398"/>
        <v>0</v>
      </c>
      <c r="HE462" t="s">
        <v>3</v>
      </c>
      <c r="HF462" t="s">
        <v>3</v>
      </c>
      <c r="HM462" t="s">
        <v>3</v>
      </c>
      <c r="HN462" t="s">
        <v>3</v>
      </c>
      <c r="HO462" t="s">
        <v>3</v>
      </c>
      <c r="HP462" t="s">
        <v>3</v>
      </c>
      <c r="HQ462" t="s">
        <v>3</v>
      </c>
      <c r="IK462">
        <v>0</v>
      </c>
    </row>
    <row r="463" spans="1:245" x14ac:dyDescent="0.2">
      <c r="A463">
        <v>19</v>
      </c>
      <c r="B463">
        <v>1</v>
      </c>
      <c r="F463" t="s">
        <v>3</v>
      </c>
      <c r="G463" t="s">
        <v>376</v>
      </c>
      <c r="H463" t="s">
        <v>3</v>
      </c>
      <c r="AA463">
        <v>1</v>
      </c>
      <c r="IK463">
        <v>0</v>
      </c>
    </row>
    <row r="464" spans="1:245" x14ac:dyDescent="0.2">
      <c r="A464">
        <v>17</v>
      </c>
      <c r="B464">
        <v>1</v>
      </c>
      <c r="D464">
        <f>ROW(EtalonRes!A355)</f>
        <v>355</v>
      </c>
      <c r="E464" t="s">
        <v>3</v>
      </c>
      <c r="F464" t="s">
        <v>320</v>
      </c>
      <c r="G464" t="s">
        <v>321</v>
      </c>
      <c r="H464" t="s">
        <v>322</v>
      </c>
      <c r="I464">
        <v>3</v>
      </c>
      <c r="J464">
        <v>0</v>
      </c>
      <c r="K464">
        <v>3</v>
      </c>
      <c r="O464">
        <f t="shared" ref="O464:O482" si="401">ROUND(CP464,2)</f>
        <v>117929.62</v>
      </c>
      <c r="P464">
        <f t="shared" ref="P464:P482" si="402">ROUND(CQ464*I464,2)</f>
        <v>6448.18</v>
      </c>
      <c r="Q464">
        <f t="shared" ref="Q464:Q482" si="403">ROUND(CR464*I464,2)</f>
        <v>0</v>
      </c>
      <c r="R464">
        <f t="shared" ref="R464:R482" si="404">ROUND(CS464*I464,2)</f>
        <v>0</v>
      </c>
      <c r="S464">
        <f t="shared" ref="S464:S482" si="405">ROUND(CT464*I464,2)</f>
        <v>111481.44</v>
      </c>
      <c r="T464">
        <f t="shared" ref="T464:T482" si="406">ROUND(CU464*I464,2)</f>
        <v>0</v>
      </c>
      <c r="U464">
        <f t="shared" ref="U464:U482" si="407">CV464*I464</f>
        <v>168</v>
      </c>
      <c r="V464">
        <f t="shared" ref="V464:V482" si="408">CW464*I464</f>
        <v>0</v>
      </c>
      <c r="W464">
        <f t="shared" ref="W464:W482" si="409">ROUND(CX464*I464,2)</f>
        <v>0</v>
      </c>
      <c r="X464">
        <f t="shared" ref="X464:X482" si="410">ROUND(CY464,2)</f>
        <v>78037.009999999995</v>
      </c>
      <c r="Y464">
        <f t="shared" ref="Y464:Y482" si="411">ROUND(CZ464,2)</f>
        <v>11148.14</v>
      </c>
      <c r="AA464">
        <v>-1</v>
      </c>
      <c r="AB464">
        <f t="shared" ref="AB464:AB482" si="412">ROUND((AC464+AD464+AF464),6)</f>
        <v>39309.873333000003</v>
      </c>
      <c r="AC464">
        <f>ROUND((((ES464/12)*8)),6)</f>
        <v>2149.393333</v>
      </c>
      <c r="AD464">
        <f>ROUND((((((ET464/12)*8))-(((EU464/12)*8)))+AE464),6)</f>
        <v>0</v>
      </c>
      <c r="AE464">
        <f>ROUND((((EU464/12)*8)),6)</f>
        <v>0</v>
      </c>
      <c r="AF464">
        <f>ROUND((((EV464/12)*8)),6)</f>
        <v>37160.480000000003</v>
      </c>
      <c r="AG464">
        <f t="shared" ref="AG464:AG482" si="413">ROUND((AP464),6)</f>
        <v>0</v>
      </c>
      <c r="AH464">
        <f>(((EW464/12)*8))</f>
        <v>56</v>
      </c>
      <c r="AI464">
        <f>(((EX464/12)*8))</f>
        <v>0</v>
      </c>
      <c r="AJ464">
        <f t="shared" ref="AJ464:AJ482" si="414">(AS464)</f>
        <v>0</v>
      </c>
      <c r="AK464">
        <v>58964.81</v>
      </c>
      <c r="AL464">
        <v>3224.09</v>
      </c>
      <c r="AM464">
        <v>0</v>
      </c>
      <c r="AN464">
        <v>0</v>
      </c>
      <c r="AO464">
        <v>55740.72</v>
      </c>
      <c r="AP464">
        <v>0</v>
      </c>
      <c r="AQ464">
        <v>84</v>
      </c>
      <c r="AR464">
        <v>0</v>
      </c>
      <c r="AS464">
        <v>0</v>
      </c>
      <c r="AT464">
        <v>70</v>
      </c>
      <c r="AU464">
        <v>10</v>
      </c>
      <c r="AV464">
        <v>1</v>
      </c>
      <c r="AW464">
        <v>1</v>
      </c>
      <c r="AZ464">
        <v>1</v>
      </c>
      <c r="BA464">
        <v>1</v>
      </c>
      <c r="BB464">
        <v>1</v>
      </c>
      <c r="BC464">
        <v>1</v>
      </c>
      <c r="BD464" t="s">
        <v>3</v>
      </c>
      <c r="BE464" t="s">
        <v>3</v>
      </c>
      <c r="BF464" t="s">
        <v>3</v>
      </c>
      <c r="BG464" t="s">
        <v>3</v>
      </c>
      <c r="BH464">
        <v>0</v>
      </c>
      <c r="BI464">
        <v>4</v>
      </c>
      <c r="BJ464" t="s">
        <v>323</v>
      </c>
      <c r="BM464">
        <v>0</v>
      </c>
      <c r="BN464">
        <v>0</v>
      </c>
      <c r="BO464" t="s">
        <v>3</v>
      </c>
      <c r="BP464">
        <v>0</v>
      </c>
      <c r="BQ464">
        <v>1</v>
      </c>
      <c r="BR464">
        <v>0</v>
      </c>
      <c r="BS464">
        <v>1</v>
      </c>
      <c r="BT464">
        <v>1</v>
      </c>
      <c r="BU464">
        <v>1</v>
      </c>
      <c r="BV464">
        <v>1</v>
      </c>
      <c r="BW464">
        <v>1</v>
      </c>
      <c r="BX464">
        <v>1</v>
      </c>
      <c r="BY464" t="s">
        <v>3</v>
      </c>
      <c r="BZ464">
        <v>70</v>
      </c>
      <c r="CA464">
        <v>10</v>
      </c>
      <c r="CB464" t="s">
        <v>3</v>
      </c>
      <c r="CE464">
        <v>0</v>
      </c>
      <c r="CF464">
        <v>0</v>
      </c>
      <c r="CG464">
        <v>0</v>
      </c>
      <c r="CM464">
        <v>0</v>
      </c>
      <c r="CN464" t="s">
        <v>3</v>
      </c>
      <c r="CO464">
        <v>0</v>
      </c>
      <c r="CP464">
        <f t="shared" ref="CP464:CP482" si="415">(P464+Q464+S464)</f>
        <v>117929.62</v>
      </c>
      <c r="CQ464">
        <f t="shared" ref="CQ464:CQ482" si="416">(AC464*BC464*AW464)</f>
        <v>2149.393333</v>
      </c>
      <c r="CR464">
        <f>((((((ET464/12)*8))*BB464-(((EU464/12)*8))*BS464)+AE464*BS464)*AV464)</f>
        <v>0</v>
      </c>
      <c r="CS464">
        <f t="shared" ref="CS464:CS482" si="417">(AE464*BS464*AV464)</f>
        <v>0</v>
      </c>
      <c r="CT464">
        <f t="shared" ref="CT464:CT482" si="418">(AF464*BA464*AV464)</f>
        <v>37160.480000000003</v>
      </c>
      <c r="CU464">
        <f t="shared" ref="CU464:CU482" si="419">AG464</f>
        <v>0</v>
      </c>
      <c r="CV464">
        <f t="shared" ref="CV464:CV482" si="420">(AH464*AV464)</f>
        <v>56</v>
      </c>
      <c r="CW464">
        <f t="shared" ref="CW464:CW482" si="421">AI464</f>
        <v>0</v>
      </c>
      <c r="CX464">
        <f t="shared" ref="CX464:CX482" si="422">AJ464</f>
        <v>0</v>
      </c>
      <c r="CY464">
        <f t="shared" ref="CY464:CY482" si="423">((S464*BZ464)/100)</f>
        <v>78037.008000000002</v>
      </c>
      <c r="CZ464">
        <f t="shared" ref="CZ464:CZ482" si="424">((S464*CA464)/100)</f>
        <v>11148.143999999998</v>
      </c>
      <c r="DC464" t="s">
        <v>3</v>
      </c>
      <c r="DD464" t="s">
        <v>324</v>
      </c>
      <c r="DE464" t="s">
        <v>324</v>
      </c>
      <c r="DF464" t="s">
        <v>324</v>
      </c>
      <c r="DG464" t="s">
        <v>324</v>
      </c>
      <c r="DH464" t="s">
        <v>3</v>
      </c>
      <c r="DI464" t="s">
        <v>324</v>
      </c>
      <c r="DJ464" t="s">
        <v>324</v>
      </c>
      <c r="DK464" t="s">
        <v>3</v>
      </c>
      <c r="DL464" t="s">
        <v>3</v>
      </c>
      <c r="DM464" t="s">
        <v>3</v>
      </c>
      <c r="DN464">
        <v>0</v>
      </c>
      <c r="DO464">
        <v>0</v>
      </c>
      <c r="DP464">
        <v>1</v>
      </c>
      <c r="DQ464">
        <v>1</v>
      </c>
      <c r="DU464">
        <v>1013</v>
      </c>
      <c r="DV464" t="s">
        <v>322</v>
      </c>
      <c r="DW464" t="s">
        <v>322</v>
      </c>
      <c r="DX464">
        <v>1</v>
      </c>
      <c r="DZ464" t="s">
        <v>3</v>
      </c>
      <c r="EA464" t="s">
        <v>3</v>
      </c>
      <c r="EB464" t="s">
        <v>3</v>
      </c>
      <c r="EC464" t="s">
        <v>3</v>
      </c>
      <c r="EE464">
        <v>1441815344</v>
      </c>
      <c r="EF464">
        <v>1</v>
      </c>
      <c r="EG464" t="s">
        <v>23</v>
      </c>
      <c r="EH464">
        <v>0</v>
      </c>
      <c r="EI464" t="s">
        <v>3</v>
      </c>
      <c r="EJ464">
        <v>4</v>
      </c>
      <c r="EK464">
        <v>0</v>
      </c>
      <c r="EL464" t="s">
        <v>24</v>
      </c>
      <c r="EM464" t="s">
        <v>25</v>
      </c>
      <c r="EO464" t="s">
        <v>3</v>
      </c>
      <c r="EQ464">
        <v>1024</v>
      </c>
      <c r="ER464">
        <v>58964.81</v>
      </c>
      <c r="ES464">
        <v>3224.09</v>
      </c>
      <c r="ET464">
        <v>0</v>
      </c>
      <c r="EU464">
        <v>0</v>
      </c>
      <c r="EV464">
        <v>55740.72</v>
      </c>
      <c r="EW464">
        <v>84</v>
      </c>
      <c r="EX464">
        <v>0</v>
      </c>
      <c r="EY464">
        <v>0</v>
      </c>
      <c r="FQ464">
        <v>0</v>
      </c>
      <c r="FR464">
        <f t="shared" ref="FR464:FR482" si="425">ROUND(IF(BI464=3,GM464,0),2)</f>
        <v>0</v>
      </c>
      <c r="FS464">
        <v>0</v>
      </c>
      <c r="FX464">
        <v>70</v>
      </c>
      <c r="FY464">
        <v>10</v>
      </c>
      <c r="GA464" t="s">
        <v>3</v>
      </c>
      <c r="GD464">
        <v>0</v>
      </c>
      <c r="GF464">
        <v>-1359812122</v>
      </c>
      <c r="GG464">
        <v>2</v>
      </c>
      <c r="GH464">
        <v>1</v>
      </c>
      <c r="GI464">
        <v>-2</v>
      </c>
      <c r="GJ464">
        <v>0</v>
      </c>
      <c r="GK464">
        <f>ROUND(R464*(R12)/100,2)</f>
        <v>0</v>
      </c>
      <c r="GL464">
        <f t="shared" ref="GL464:GL482" si="426">ROUND(IF(AND(BH464=3,BI464=3,FS464&lt;&gt;0),P464,0),2)</f>
        <v>0</v>
      </c>
      <c r="GM464">
        <f t="shared" ref="GM464:GM482" si="427">ROUND(O464+X464+Y464+GK464,2)+GX464</f>
        <v>207114.77</v>
      </c>
      <c r="GN464">
        <f t="shared" ref="GN464:GN482" si="428">IF(OR(BI464=0,BI464=1),GM464-GX464,0)</f>
        <v>0</v>
      </c>
      <c r="GO464">
        <f t="shared" ref="GO464:GO482" si="429">IF(BI464=2,GM464-GX464,0)</f>
        <v>0</v>
      </c>
      <c r="GP464">
        <f t="shared" ref="GP464:GP482" si="430">IF(BI464=4,GM464-GX464,0)</f>
        <v>207114.77</v>
      </c>
      <c r="GR464">
        <v>0</v>
      </c>
      <c r="GS464">
        <v>3</v>
      </c>
      <c r="GT464">
        <v>0</v>
      </c>
      <c r="GU464" t="s">
        <v>3</v>
      </c>
      <c r="GV464">
        <f t="shared" ref="GV464:GV482" si="431">ROUND((GT464),6)</f>
        <v>0</v>
      </c>
      <c r="GW464">
        <v>1</v>
      </c>
      <c r="GX464">
        <f t="shared" ref="GX464:GX482" si="432">ROUND(HC464*I464,2)</f>
        <v>0</v>
      </c>
      <c r="HA464">
        <v>0</v>
      </c>
      <c r="HB464">
        <v>0</v>
      </c>
      <c r="HC464">
        <f t="shared" ref="HC464:HC482" si="433">GV464*GW464</f>
        <v>0</v>
      </c>
      <c r="HE464" t="s">
        <v>3</v>
      </c>
      <c r="HF464" t="s">
        <v>3</v>
      </c>
      <c r="HM464" t="s">
        <v>3</v>
      </c>
      <c r="HN464" t="s">
        <v>3</v>
      </c>
      <c r="HO464" t="s">
        <v>3</v>
      </c>
      <c r="HP464" t="s">
        <v>3</v>
      </c>
      <c r="HQ464" t="s">
        <v>3</v>
      </c>
      <c r="IK464">
        <v>0</v>
      </c>
    </row>
    <row r="465" spans="1:245" x14ac:dyDescent="0.2">
      <c r="A465">
        <v>17</v>
      </c>
      <c r="B465">
        <v>1</v>
      </c>
      <c r="D465">
        <f>ROW(EtalonRes!A359)</f>
        <v>359</v>
      </c>
      <c r="E465" t="s">
        <v>3</v>
      </c>
      <c r="F465" t="s">
        <v>325</v>
      </c>
      <c r="G465" t="s">
        <v>326</v>
      </c>
      <c r="H465" t="s">
        <v>322</v>
      </c>
      <c r="I465">
        <v>3</v>
      </c>
      <c r="J465">
        <v>0</v>
      </c>
      <c r="K465">
        <v>3</v>
      </c>
      <c r="O465">
        <f t="shared" si="401"/>
        <v>14241.21</v>
      </c>
      <c r="P465">
        <f t="shared" si="402"/>
        <v>40.47</v>
      </c>
      <c r="Q465">
        <f t="shared" si="403"/>
        <v>26.79</v>
      </c>
      <c r="R465">
        <f t="shared" si="404"/>
        <v>0.36</v>
      </c>
      <c r="S465">
        <f t="shared" si="405"/>
        <v>14173.95</v>
      </c>
      <c r="T465">
        <f t="shared" si="406"/>
        <v>0</v>
      </c>
      <c r="U465">
        <f t="shared" si="407"/>
        <v>21.36</v>
      </c>
      <c r="V465">
        <f t="shared" si="408"/>
        <v>0</v>
      </c>
      <c r="W465">
        <f t="shared" si="409"/>
        <v>0</v>
      </c>
      <c r="X465">
        <f t="shared" si="410"/>
        <v>9921.77</v>
      </c>
      <c r="Y465">
        <f t="shared" si="411"/>
        <v>1417.4</v>
      </c>
      <c r="AA465">
        <v>-1</v>
      </c>
      <c r="AB465">
        <f t="shared" si="412"/>
        <v>4747.07</v>
      </c>
      <c r="AC465">
        <f>ROUND((ES465),6)</f>
        <v>13.49</v>
      </c>
      <c r="AD465">
        <f>ROUND((((ET465)-(EU465))+AE465),6)</f>
        <v>8.93</v>
      </c>
      <c r="AE465">
        <f>ROUND((EU465),6)</f>
        <v>0.12</v>
      </c>
      <c r="AF465">
        <f>ROUND((EV465),6)</f>
        <v>4724.6499999999996</v>
      </c>
      <c r="AG465">
        <f t="shared" si="413"/>
        <v>0</v>
      </c>
      <c r="AH465">
        <f>(EW465)</f>
        <v>7.12</v>
      </c>
      <c r="AI465">
        <f>(EX465)</f>
        <v>0</v>
      </c>
      <c r="AJ465">
        <f t="shared" si="414"/>
        <v>0</v>
      </c>
      <c r="AK465">
        <v>4747.07</v>
      </c>
      <c r="AL465">
        <v>13.49</v>
      </c>
      <c r="AM465">
        <v>8.93</v>
      </c>
      <c r="AN465">
        <v>0.12</v>
      </c>
      <c r="AO465">
        <v>4724.6499999999996</v>
      </c>
      <c r="AP465">
        <v>0</v>
      </c>
      <c r="AQ465">
        <v>7.12</v>
      </c>
      <c r="AR465">
        <v>0</v>
      </c>
      <c r="AS465">
        <v>0</v>
      </c>
      <c r="AT465">
        <v>70</v>
      </c>
      <c r="AU465">
        <v>10</v>
      </c>
      <c r="AV465">
        <v>1</v>
      </c>
      <c r="AW465">
        <v>1</v>
      </c>
      <c r="AZ465">
        <v>1</v>
      </c>
      <c r="BA465">
        <v>1</v>
      </c>
      <c r="BB465">
        <v>1</v>
      </c>
      <c r="BC465">
        <v>1</v>
      </c>
      <c r="BD465" t="s">
        <v>3</v>
      </c>
      <c r="BE465" t="s">
        <v>3</v>
      </c>
      <c r="BF465" t="s">
        <v>3</v>
      </c>
      <c r="BG465" t="s">
        <v>3</v>
      </c>
      <c r="BH465">
        <v>0</v>
      </c>
      <c r="BI465">
        <v>4</v>
      </c>
      <c r="BJ465" t="s">
        <v>327</v>
      </c>
      <c r="BM465">
        <v>0</v>
      </c>
      <c r="BN465">
        <v>0</v>
      </c>
      <c r="BO465" t="s">
        <v>3</v>
      </c>
      <c r="BP465">
        <v>0</v>
      </c>
      <c r="BQ465">
        <v>1</v>
      </c>
      <c r="BR465">
        <v>0</v>
      </c>
      <c r="BS465">
        <v>1</v>
      </c>
      <c r="BT465">
        <v>1</v>
      </c>
      <c r="BU465">
        <v>1</v>
      </c>
      <c r="BV465">
        <v>1</v>
      </c>
      <c r="BW465">
        <v>1</v>
      </c>
      <c r="BX465">
        <v>1</v>
      </c>
      <c r="BY465" t="s">
        <v>3</v>
      </c>
      <c r="BZ465">
        <v>70</v>
      </c>
      <c r="CA465">
        <v>10</v>
      </c>
      <c r="CB465" t="s">
        <v>3</v>
      </c>
      <c r="CE465">
        <v>0</v>
      </c>
      <c r="CF465">
        <v>0</v>
      </c>
      <c r="CG465">
        <v>0</v>
      </c>
      <c r="CM465">
        <v>0</v>
      </c>
      <c r="CN465" t="s">
        <v>3</v>
      </c>
      <c r="CO465">
        <v>0</v>
      </c>
      <c r="CP465">
        <f t="shared" si="415"/>
        <v>14241.210000000001</v>
      </c>
      <c r="CQ465">
        <f t="shared" si="416"/>
        <v>13.49</v>
      </c>
      <c r="CR465">
        <f>((((ET465)*BB465-(EU465)*BS465)+AE465*BS465)*AV465)</f>
        <v>8.93</v>
      </c>
      <c r="CS465">
        <f t="shared" si="417"/>
        <v>0.12</v>
      </c>
      <c r="CT465">
        <f t="shared" si="418"/>
        <v>4724.6499999999996</v>
      </c>
      <c r="CU465">
        <f t="shared" si="419"/>
        <v>0</v>
      </c>
      <c r="CV465">
        <f t="shared" si="420"/>
        <v>7.12</v>
      </c>
      <c r="CW465">
        <f t="shared" si="421"/>
        <v>0</v>
      </c>
      <c r="CX465">
        <f t="shared" si="422"/>
        <v>0</v>
      </c>
      <c r="CY465">
        <f t="shared" si="423"/>
        <v>9921.7649999999994</v>
      </c>
      <c r="CZ465">
        <f t="shared" si="424"/>
        <v>1417.395</v>
      </c>
      <c r="DC465" t="s">
        <v>3</v>
      </c>
      <c r="DD465" t="s">
        <v>3</v>
      </c>
      <c r="DE465" t="s">
        <v>3</v>
      </c>
      <c r="DF465" t="s">
        <v>3</v>
      </c>
      <c r="DG465" t="s">
        <v>3</v>
      </c>
      <c r="DH465" t="s">
        <v>3</v>
      </c>
      <c r="DI465" t="s">
        <v>3</v>
      </c>
      <c r="DJ465" t="s">
        <v>3</v>
      </c>
      <c r="DK465" t="s">
        <v>3</v>
      </c>
      <c r="DL465" t="s">
        <v>3</v>
      </c>
      <c r="DM465" t="s">
        <v>3</v>
      </c>
      <c r="DN465">
        <v>0</v>
      </c>
      <c r="DO465">
        <v>0</v>
      </c>
      <c r="DP465">
        <v>1</v>
      </c>
      <c r="DQ465">
        <v>1</v>
      </c>
      <c r="DU465">
        <v>1013</v>
      </c>
      <c r="DV465" t="s">
        <v>322</v>
      </c>
      <c r="DW465" t="s">
        <v>322</v>
      </c>
      <c r="DX465">
        <v>1</v>
      </c>
      <c r="DZ465" t="s">
        <v>3</v>
      </c>
      <c r="EA465" t="s">
        <v>3</v>
      </c>
      <c r="EB465" t="s">
        <v>3</v>
      </c>
      <c r="EC465" t="s">
        <v>3</v>
      </c>
      <c r="EE465">
        <v>1441815344</v>
      </c>
      <c r="EF465">
        <v>1</v>
      </c>
      <c r="EG465" t="s">
        <v>23</v>
      </c>
      <c r="EH465">
        <v>0</v>
      </c>
      <c r="EI465" t="s">
        <v>3</v>
      </c>
      <c r="EJ465">
        <v>4</v>
      </c>
      <c r="EK465">
        <v>0</v>
      </c>
      <c r="EL465" t="s">
        <v>24</v>
      </c>
      <c r="EM465" t="s">
        <v>25</v>
      </c>
      <c r="EO465" t="s">
        <v>3</v>
      </c>
      <c r="EQ465">
        <v>1311744</v>
      </c>
      <c r="ER465">
        <v>4747.07</v>
      </c>
      <c r="ES465">
        <v>13.49</v>
      </c>
      <c r="ET465">
        <v>8.93</v>
      </c>
      <c r="EU465">
        <v>0.12</v>
      </c>
      <c r="EV465">
        <v>4724.6499999999996</v>
      </c>
      <c r="EW465">
        <v>7.12</v>
      </c>
      <c r="EX465">
        <v>0</v>
      </c>
      <c r="EY465">
        <v>0</v>
      </c>
      <c r="FQ465">
        <v>0</v>
      </c>
      <c r="FR465">
        <f t="shared" si="425"/>
        <v>0</v>
      </c>
      <c r="FS465">
        <v>0</v>
      </c>
      <c r="FX465">
        <v>70</v>
      </c>
      <c r="FY465">
        <v>10</v>
      </c>
      <c r="GA465" t="s">
        <v>3</v>
      </c>
      <c r="GD465">
        <v>0</v>
      </c>
      <c r="GF465">
        <v>867836691</v>
      </c>
      <c r="GG465">
        <v>2</v>
      </c>
      <c r="GH465">
        <v>1</v>
      </c>
      <c r="GI465">
        <v>-2</v>
      </c>
      <c r="GJ465">
        <v>0</v>
      </c>
      <c r="GK465">
        <f>ROUND(R465*(R12)/100,2)</f>
        <v>0.39</v>
      </c>
      <c r="GL465">
        <f t="shared" si="426"/>
        <v>0</v>
      </c>
      <c r="GM465">
        <f t="shared" si="427"/>
        <v>25580.77</v>
      </c>
      <c r="GN465">
        <f t="shared" si="428"/>
        <v>0</v>
      </c>
      <c r="GO465">
        <f t="shared" si="429"/>
        <v>0</v>
      </c>
      <c r="GP465">
        <f t="shared" si="430"/>
        <v>25580.77</v>
      </c>
      <c r="GR465">
        <v>0</v>
      </c>
      <c r="GS465">
        <v>3</v>
      </c>
      <c r="GT465">
        <v>0</v>
      </c>
      <c r="GU465" t="s">
        <v>3</v>
      </c>
      <c r="GV465">
        <f t="shared" si="431"/>
        <v>0</v>
      </c>
      <c r="GW465">
        <v>1</v>
      </c>
      <c r="GX465">
        <f t="shared" si="432"/>
        <v>0</v>
      </c>
      <c r="HA465">
        <v>0</v>
      </c>
      <c r="HB465">
        <v>0</v>
      </c>
      <c r="HC465">
        <f t="shared" si="433"/>
        <v>0</v>
      </c>
      <c r="HE465" t="s">
        <v>3</v>
      </c>
      <c r="HF465" t="s">
        <v>3</v>
      </c>
      <c r="HM465" t="s">
        <v>3</v>
      </c>
      <c r="HN465" t="s">
        <v>3</v>
      </c>
      <c r="HO465" t="s">
        <v>3</v>
      </c>
      <c r="HP465" t="s">
        <v>3</v>
      </c>
      <c r="HQ465" t="s">
        <v>3</v>
      </c>
      <c r="IK465">
        <v>0</v>
      </c>
    </row>
    <row r="466" spans="1:245" x14ac:dyDescent="0.2">
      <c r="A466">
        <v>17</v>
      </c>
      <c r="B466">
        <v>1</v>
      </c>
      <c r="D466">
        <f>ROW(EtalonRes!A362)</f>
        <v>362</v>
      </c>
      <c r="E466" t="s">
        <v>377</v>
      </c>
      <c r="F466" t="s">
        <v>329</v>
      </c>
      <c r="G466" t="s">
        <v>330</v>
      </c>
      <c r="H466" t="s">
        <v>322</v>
      </c>
      <c r="I466">
        <v>3</v>
      </c>
      <c r="J466">
        <v>0</v>
      </c>
      <c r="K466">
        <v>3</v>
      </c>
      <c r="O466">
        <f t="shared" si="401"/>
        <v>12573</v>
      </c>
      <c r="P466">
        <f t="shared" si="402"/>
        <v>60.48</v>
      </c>
      <c r="Q466">
        <f t="shared" si="403"/>
        <v>10.74</v>
      </c>
      <c r="R466">
        <f t="shared" si="404"/>
        <v>0.12</v>
      </c>
      <c r="S466">
        <f t="shared" si="405"/>
        <v>12501.78</v>
      </c>
      <c r="T466">
        <f t="shared" si="406"/>
        <v>0</v>
      </c>
      <c r="U466">
        <f t="shared" si="407"/>
        <v>18.84</v>
      </c>
      <c r="V466">
        <f t="shared" si="408"/>
        <v>0</v>
      </c>
      <c r="W466">
        <f t="shared" si="409"/>
        <v>0</v>
      </c>
      <c r="X466">
        <f t="shared" si="410"/>
        <v>8751.25</v>
      </c>
      <c r="Y466">
        <f t="shared" si="411"/>
        <v>1250.18</v>
      </c>
      <c r="AA466">
        <v>1472224561</v>
      </c>
      <c r="AB466">
        <f t="shared" si="412"/>
        <v>4191</v>
      </c>
      <c r="AC466">
        <f>ROUND(((ES466*2)),6)</f>
        <v>20.16</v>
      </c>
      <c r="AD466">
        <f>ROUND(((((ET466*2))-((EU466*2)))+AE466),6)</f>
        <v>3.58</v>
      </c>
      <c r="AE466">
        <f>ROUND(((EU466*2)),6)</f>
        <v>0.04</v>
      </c>
      <c r="AF466">
        <f>ROUND(((EV466*2)),6)</f>
        <v>4167.26</v>
      </c>
      <c r="AG466">
        <f t="shared" si="413"/>
        <v>0</v>
      </c>
      <c r="AH466">
        <f>((EW466*2))</f>
        <v>6.28</v>
      </c>
      <c r="AI466">
        <f>((EX466*2))</f>
        <v>0</v>
      </c>
      <c r="AJ466">
        <f t="shared" si="414"/>
        <v>0</v>
      </c>
      <c r="AK466">
        <v>2095.5</v>
      </c>
      <c r="AL466">
        <v>10.08</v>
      </c>
      <c r="AM466">
        <v>1.79</v>
      </c>
      <c r="AN466">
        <v>0.02</v>
      </c>
      <c r="AO466">
        <v>2083.63</v>
      </c>
      <c r="AP466">
        <v>0</v>
      </c>
      <c r="AQ466">
        <v>3.14</v>
      </c>
      <c r="AR466">
        <v>0</v>
      </c>
      <c r="AS466">
        <v>0</v>
      </c>
      <c r="AT466">
        <v>70</v>
      </c>
      <c r="AU466">
        <v>10</v>
      </c>
      <c r="AV466">
        <v>1</v>
      </c>
      <c r="AW466">
        <v>1</v>
      </c>
      <c r="AZ466">
        <v>1</v>
      </c>
      <c r="BA466">
        <v>1</v>
      </c>
      <c r="BB466">
        <v>1</v>
      </c>
      <c r="BC466">
        <v>1</v>
      </c>
      <c r="BD466" t="s">
        <v>3</v>
      </c>
      <c r="BE466" t="s">
        <v>3</v>
      </c>
      <c r="BF466" t="s">
        <v>3</v>
      </c>
      <c r="BG466" t="s">
        <v>3</v>
      </c>
      <c r="BH466">
        <v>0</v>
      </c>
      <c r="BI466">
        <v>4</v>
      </c>
      <c r="BJ466" t="s">
        <v>331</v>
      </c>
      <c r="BM466">
        <v>0</v>
      </c>
      <c r="BN466">
        <v>0</v>
      </c>
      <c r="BO466" t="s">
        <v>3</v>
      </c>
      <c r="BP466">
        <v>0</v>
      </c>
      <c r="BQ466">
        <v>1</v>
      </c>
      <c r="BR466">
        <v>0</v>
      </c>
      <c r="BS466">
        <v>1</v>
      </c>
      <c r="BT466">
        <v>1</v>
      </c>
      <c r="BU466">
        <v>1</v>
      </c>
      <c r="BV466">
        <v>1</v>
      </c>
      <c r="BW466">
        <v>1</v>
      </c>
      <c r="BX466">
        <v>1</v>
      </c>
      <c r="BY466" t="s">
        <v>3</v>
      </c>
      <c r="BZ466">
        <v>70</v>
      </c>
      <c r="CA466">
        <v>10</v>
      </c>
      <c r="CB466" t="s">
        <v>3</v>
      </c>
      <c r="CE466">
        <v>0</v>
      </c>
      <c r="CF466">
        <v>0</v>
      </c>
      <c r="CG466">
        <v>0</v>
      </c>
      <c r="CM466">
        <v>0</v>
      </c>
      <c r="CN466" t="s">
        <v>3</v>
      </c>
      <c r="CO466">
        <v>0</v>
      </c>
      <c r="CP466">
        <f t="shared" si="415"/>
        <v>12573</v>
      </c>
      <c r="CQ466">
        <f t="shared" si="416"/>
        <v>20.16</v>
      </c>
      <c r="CR466">
        <f>(((((ET466*2))*BB466-((EU466*2))*BS466)+AE466*BS466)*AV466)</f>
        <v>3.58</v>
      </c>
      <c r="CS466">
        <f t="shared" si="417"/>
        <v>0.04</v>
      </c>
      <c r="CT466">
        <f t="shared" si="418"/>
        <v>4167.26</v>
      </c>
      <c r="CU466">
        <f t="shared" si="419"/>
        <v>0</v>
      </c>
      <c r="CV466">
        <f t="shared" si="420"/>
        <v>6.28</v>
      </c>
      <c r="CW466">
        <f t="shared" si="421"/>
        <v>0</v>
      </c>
      <c r="CX466">
        <f t="shared" si="422"/>
        <v>0</v>
      </c>
      <c r="CY466">
        <f t="shared" si="423"/>
        <v>8751.246000000001</v>
      </c>
      <c r="CZ466">
        <f t="shared" si="424"/>
        <v>1250.1780000000001</v>
      </c>
      <c r="DC466" t="s">
        <v>3</v>
      </c>
      <c r="DD466" t="s">
        <v>164</v>
      </c>
      <c r="DE466" t="s">
        <v>164</v>
      </c>
      <c r="DF466" t="s">
        <v>164</v>
      </c>
      <c r="DG466" t="s">
        <v>164</v>
      </c>
      <c r="DH466" t="s">
        <v>3</v>
      </c>
      <c r="DI466" t="s">
        <v>164</v>
      </c>
      <c r="DJ466" t="s">
        <v>164</v>
      </c>
      <c r="DK466" t="s">
        <v>3</v>
      </c>
      <c r="DL466" t="s">
        <v>3</v>
      </c>
      <c r="DM466" t="s">
        <v>3</v>
      </c>
      <c r="DN466">
        <v>0</v>
      </c>
      <c r="DO466">
        <v>0</v>
      </c>
      <c r="DP466">
        <v>1</v>
      </c>
      <c r="DQ466">
        <v>1</v>
      </c>
      <c r="DU466">
        <v>1013</v>
      </c>
      <c r="DV466" t="s">
        <v>322</v>
      </c>
      <c r="DW466" t="s">
        <v>322</v>
      </c>
      <c r="DX466">
        <v>1</v>
      </c>
      <c r="DZ466" t="s">
        <v>3</v>
      </c>
      <c r="EA466" t="s">
        <v>3</v>
      </c>
      <c r="EB466" t="s">
        <v>3</v>
      </c>
      <c r="EC466" t="s">
        <v>3</v>
      </c>
      <c r="EE466">
        <v>1441815344</v>
      </c>
      <c r="EF466">
        <v>1</v>
      </c>
      <c r="EG466" t="s">
        <v>23</v>
      </c>
      <c r="EH466">
        <v>0</v>
      </c>
      <c r="EI466" t="s">
        <v>3</v>
      </c>
      <c r="EJ466">
        <v>4</v>
      </c>
      <c r="EK466">
        <v>0</v>
      </c>
      <c r="EL466" t="s">
        <v>24</v>
      </c>
      <c r="EM466" t="s">
        <v>25</v>
      </c>
      <c r="EO466" t="s">
        <v>3</v>
      </c>
      <c r="EQ466">
        <v>0</v>
      </c>
      <c r="ER466">
        <v>2095.5</v>
      </c>
      <c r="ES466">
        <v>10.08</v>
      </c>
      <c r="ET466">
        <v>1.79</v>
      </c>
      <c r="EU466">
        <v>0.02</v>
      </c>
      <c r="EV466">
        <v>2083.63</v>
      </c>
      <c r="EW466">
        <v>3.14</v>
      </c>
      <c r="EX466">
        <v>0</v>
      </c>
      <c r="EY466">
        <v>0</v>
      </c>
      <c r="FQ466">
        <v>0</v>
      </c>
      <c r="FR466">
        <f t="shared" si="425"/>
        <v>0</v>
      </c>
      <c r="FS466">
        <v>0</v>
      </c>
      <c r="FX466">
        <v>70</v>
      </c>
      <c r="FY466">
        <v>10</v>
      </c>
      <c r="GA466" t="s">
        <v>3</v>
      </c>
      <c r="GD466">
        <v>0</v>
      </c>
      <c r="GF466">
        <v>984652662</v>
      </c>
      <c r="GG466">
        <v>2</v>
      </c>
      <c r="GH466">
        <v>1</v>
      </c>
      <c r="GI466">
        <v>-2</v>
      </c>
      <c r="GJ466">
        <v>0</v>
      </c>
      <c r="GK466">
        <f>ROUND(R466*(R12)/100,2)</f>
        <v>0.13</v>
      </c>
      <c r="GL466">
        <f t="shared" si="426"/>
        <v>0</v>
      </c>
      <c r="GM466">
        <f t="shared" si="427"/>
        <v>22574.560000000001</v>
      </c>
      <c r="GN466">
        <f t="shared" si="428"/>
        <v>0</v>
      </c>
      <c r="GO466">
        <f t="shared" si="429"/>
        <v>0</v>
      </c>
      <c r="GP466">
        <f t="shared" si="430"/>
        <v>22574.560000000001</v>
      </c>
      <c r="GR466">
        <v>0</v>
      </c>
      <c r="GS466">
        <v>3</v>
      </c>
      <c r="GT466">
        <v>0</v>
      </c>
      <c r="GU466" t="s">
        <v>3</v>
      </c>
      <c r="GV466">
        <f t="shared" si="431"/>
        <v>0</v>
      </c>
      <c r="GW466">
        <v>1</v>
      </c>
      <c r="GX466">
        <f t="shared" si="432"/>
        <v>0</v>
      </c>
      <c r="HA466">
        <v>0</v>
      </c>
      <c r="HB466">
        <v>0</v>
      </c>
      <c r="HC466">
        <f t="shared" si="433"/>
        <v>0</v>
      </c>
      <c r="HE466" t="s">
        <v>3</v>
      </c>
      <c r="HF466" t="s">
        <v>3</v>
      </c>
      <c r="HM466" t="s">
        <v>3</v>
      </c>
      <c r="HN466" t="s">
        <v>3</v>
      </c>
      <c r="HO466" t="s">
        <v>3</v>
      </c>
      <c r="HP466" t="s">
        <v>3</v>
      </c>
      <c r="HQ466" t="s">
        <v>3</v>
      </c>
      <c r="IK466">
        <v>0</v>
      </c>
    </row>
    <row r="467" spans="1:245" x14ac:dyDescent="0.2">
      <c r="A467">
        <v>17</v>
      </c>
      <c r="B467">
        <v>1</v>
      </c>
      <c r="D467">
        <f>ROW(EtalonRes!A365)</f>
        <v>365</v>
      </c>
      <c r="E467" t="s">
        <v>3</v>
      </c>
      <c r="F467" t="s">
        <v>332</v>
      </c>
      <c r="G467" t="s">
        <v>333</v>
      </c>
      <c r="H467" t="s">
        <v>322</v>
      </c>
      <c r="I467">
        <v>3</v>
      </c>
      <c r="J467">
        <v>0</v>
      </c>
      <c r="K467">
        <v>3</v>
      </c>
      <c r="O467">
        <f t="shared" si="401"/>
        <v>6225.54</v>
      </c>
      <c r="P467">
        <f t="shared" si="402"/>
        <v>3.78</v>
      </c>
      <c r="Q467">
        <f t="shared" si="403"/>
        <v>10.74</v>
      </c>
      <c r="R467">
        <f t="shared" si="404"/>
        <v>0.12</v>
      </c>
      <c r="S467">
        <f t="shared" si="405"/>
        <v>6211.02</v>
      </c>
      <c r="T467">
        <f t="shared" si="406"/>
        <v>0</v>
      </c>
      <c r="U467">
        <f t="shared" si="407"/>
        <v>9.36</v>
      </c>
      <c r="V467">
        <f t="shared" si="408"/>
        <v>0</v>
      </c>
      <c r="W467">
        <f t="shared" si="409"/>
        <v>0</v>
      </c>
      <c r="X467">
        <f t="shared" si="410"/>
        <v>4347.71</v>
      </c>
      <c r="Y467">
        <f t="shared" si="411"/>
        <v>621.1</v>
      </c>
      <c r="AA467">
        <v>-1</v>
      </c>
      <c r="AB467">
        <f t="shared" si="412"/>
        <v>2075.1799999999998</v>
      </c>
      <c r="AC467">
        <f>ROUND(((ES467*2)),6)</f>
        <v>1.26</v>
      </c>
      <c r="AD467">
        <f>ROUND(((((ET467*2))-((EU467*2)))+AE467),6)</f>
        <v>3.58</v>
      </c>
      <c r="AE467">
        <f>ROUND(((EU467*2)),6)</f>
        <v>0.04</v>
      </c>
      <c r="AF467">
        <f>ROUND(((EV467*2)),6)</f>
        <v>2070.34</v>
      </c>
      <c r="AG467">
        <f t="shared" si="413"/>
        <v>0</v>
      </c>
      <c r="AH467">
        <f>((EW467*2))</f>
        <v>3.12</v>
      </c>
      <c r="AI467">
        <f>((EX467*2))</f>
        <v>0</v>
      </c>
      <c r="AJ467">
        <f t="shared" si="414"/>
        <v>0</v>
      </c>
      <c r="AK467">
        <v>1037.5899999999999</v>
      </c>
      <c r="AL467">
        <v>0.63</v>
      </c>
      <c r="AM467">
        <v>1.79</v>
      </c>
      <c r="AN467">
        <v>0.02</v>
      </c>
      <c r="AO467">
        <v>1035.17</v>
      </c>
      <c r="AP467">
        <v>0</v>
      </c>
      <c r="AQ467">
        <v>1.56</v>
      </c>
      <c r="AR467">
        <v>0</v>
      </c>
      <c r="AS467">
        <v>0</v>
      </c>
      <c r="AT467">
        <v>70</v>
      </c>
      <c r="AU467">
        <v>10</v>
      </c>
      <c r="AV467">
        <v>1</v>
      </c>
      <c r="AW467">
        <v>1</v>
      </c>
      <c r="AZ467">
        <v>1</v>
      </c>
      <c r="BA467">
        <v>1</v>
      </c>
      <c r="BB467">
        <v>1</v>
      </c>
      <c r="BC467">
        <v>1</v>
      </c>
      <c r="BD467" t="s">
        <v>3</v>
      </c>
      <c r="BE467" t="s">
        <v>3</v>
      </c>
      <c r="BF467" t="s">
        <v>3</v>
      </c>
      <c r="BG467" t="s">
        <v>3</v>
      </c>
      <c r="BH467">
        <v>0</v>
      </c>
      <c r="BI467">
        <v>4</v>
      </c>
      <c r="BJ467" t="s">
        <v>334</v>
      </c>
      <c r="BM467">
        <v>0</v>
      </c>
      <c r="BN467">
        <v>0</v>
      </c>
      <c r="BO467" t="s">
        <v>3</v>
      </c>
      <c r="BP467">
        <v>0</v>
      </c>
      <c r="BQ467">
        <v>1</v>
      </c>
      <c r="BR467">
        <v>0</v>
      </c>
      <c r="BS467">
        <v>1</v>
      </c>
      <c r="BT467">
        <v>1</v>
      </c>
      <c r="BU467">
        <v>1</v>
      </c>
      <c r="BV467">
        <v>1</v>
      </c>
      <c r="BW467">
        <v>1</v>
      </c>
      <c r="BX467">
        <v>1</v>
      </c>
      <c r="BY467" t="s">
        <v>3</v>
      </c>
      <c r="BZ467">
        <v>70</v>
      </c>
      <c r="CA467">
        <v>10</v>
      </c>
      <c r="CB467" t="s">
        <v>3</v>
      </c>
      <c r="CE467">
        <v>0</v>
      </c>
      <c r="CF467">
        <v>0</v>
      </c>
      <c r="CG467">
        <v>0</v>
      </c>
      <c r="CM467">
        <v>0</v>
      </c>
      <c r="CN467" t="s">
        <v>3</v>
      </c>
      <c r="CO467">
        <v>0</v>
      </c>
      <c r="CP467">
        <f t="shared" si="415"/>
        <v>6225.5400000000009</v>
      </c>
      <c r="CQ467">
        <f t="shared" si="416"/>
        <v>1.26</v>
      </c>
      <c r="CR467">
        <f>(((((ET467*2))*BB467-((EU467*2))*BS467)+AE467*BS467)*AV467)</f>
        <v>3.58</v>
      </c>
      <c r="CS467">
        <f t="shared" si="417"/>
        <v>0.04</v>
      </c>
      <c r="CT467">
        <f t="shared" si="418"/>
        <v>2070.34</v>
      </c>
      <c r="CU467">
        <f t="shared" si="419"/>
        <v>0</v>
      </c>
      <c r="CV467">
        <f t="shared" si="420"/>
        <v>3.12</v>
      </c>
      <c r="CW467">
        <f t="shared" si="421"/>
        <v>0</v>
      </c>
      <c r="CX467">
        <f t="shared" si="422"/>
        <v>0</v>
      </c>
      <c r="CY467">
        <f t="shared" si="423"/>
        <v>4347.7139999999999</v>
      </c>
      <c r="CZ467">
        <f t="shared" si="424"/>
        <v>621.10200000000009</v>
      </c>
      <c r="DC467" t="s">
        <v>3</v>
      </c>
      <c r="DD467" t="s">
        <v>164</v>
      </c>
      <c r="DE467" t="s">
        <v>164</v>
      </c>
      <c r="DF467" t="s">
        <v>164</v>
      </c>
      <c r="DG467" t="s">
        <v>164</v>
      </c>
      <c r="DH467" t="s">
        <v>3</v>
      </c>
      <c r="DI467" t="s">
        <v>164</v>
      </c>
      <c r="DJ467" t="s">
        <v>164</v>
      </c>
      <c r="DK467" t="s">
        <v>3</v>
      </c>
      <c r="DL467" t="s">
        <v>3</v>
      </c>
      <c r="DM467" t="s">
        <v>3</v>
      </c>
      <c r="DN467">
        <v>0</v>
      </c>
      <c r="DO467">
        <v>0</v>
      </c>
      <c r="DP467">
        <v>1</v>
      </c>
      <c r="DQ467">
        <v>1</v>
      </c>
      <c r="DU467">
        <v>1013</v>
      </c>
      <c r="DV467" t="s">
        <v>322</v>
      </c>
      <c r="DW467" t="s">
        <v>322</v>
      </c>
      <c r="DX467">
        <v>1</v>
      </c>
      <c r="DZ467" t="s">
        <v>3</v>
      </c>
      <c r="EA467" t="s">
        <v>3</v>
      </c>
      <c r="EB467" t="s">
        <v>3</v>
      </c>
      <c r="EC467" t="s">
        <v>3</v>
      </c>
      <c r="EE467">
        <v>1441815344</v>
      </c>
      <c r="EF467">
        <v>1</v>
      </c>
      <c r="EG467" t="s">
        <v>23</v>
      </c>
      <c r="EH467">
        <v>0</v>
      </c>
      <c r="EI467" t="s">
        <v>3</v>
      </c>
      <c r="EJ467">
        <v>4</v>
      </c>
      <c r="EK467">
        <v>0</v>
      </c>
      <c r="EL467" t="s">
        <v>24</v>
      </c>
      <c r="EM467" t="s">
        <v>25</v>
      </c>
      <c r="EO467" t="s">
        <v>3</v>
      </c>
      <c r="EQ467">
        <v>1024</v>
      </c>
      <c r="ER467">
        <v>1037.5899999999999</v>
      </c>
      <c r="ES467">
        <v>0.63</v>
      </c>
      <c r="ET467">
        <v>1.79</v>
      </c>
      <c r="EU467">
        <v>0.02</v>
      </c>
      <c r="EV467">
        <v>1035.17</v>
      </c>
      <c r="EW467">
        <v>1.56</v>
      </c>
      <c r="EX467">
        <v>0</v>
      </c>
      <c r="EY467">
        <v>0</v>
      </c>
      <c r="FQ467">
        <v>0</v>
      </c>
      <c r="FR467">
        <f t="shared" si="425"/>
        <v>0</v>
      </c>
      <c r="FS467">
        <v>0</v>
      </c>
      <c r="FX467">
        <v>70</v>
      </c>
      <c r="FY467">
        <v>10</v>
      </c>
      <c r="GA467" t="s">
        <v>3</v>
      </c>
      <c r="GD467">
        <v>0</v>
      </c>
      <c r="GF467">
        <v>1684339458</v>
      </c>
      <c r="GG467">
        <v>2</v>
      </c>
      <c r="GH467">
        <v>1</v>
      </c>
      <c r="GI467">
        <v>-2</v>
      </c>
      <c r="GJ467">
        <v>0</v>
      </c>
      <c r="GK467">
        <f>ROUND(R467*(R12)/100,2)</f>
        <v>0.13</v>
      </c>
      <c r="GL467">
        <f t="shared" si="426"/>
        <v>0</v>
      </c>
      <c r="GM467">
        <f t="shared" si="427"/>
        <v>11194.48</v>
      </c>
      <c r="GN467">
        <f t="shared" si="428"/>
        <v>0</v>
      </c>
      <c r="GO467">
        <f t="shared" si="429"/>
        <v>0</v>
      </c>
      <c r="GP467">
        <f t="shared" si="430"/>
        <v>11194.48</v>
      </c>
      <c r="GR467">
        <v>0</v>
      </c>
      <c r="GS467">
        <v>3</v>
      </c>
      <c r="GT467">
        <v>0</v>
      </c>
      <c r="GU467" t="s">
        <v>3</v>
      </c>
      <c r="GV467">
        <f t="shared" si="431"/>
        <v>0</v>
      </c>
      <c r="GW467">
        <v>1</v>
      </c>
      <c r="GX467">
        <f t="shared" si="432"/>
        <v>0</v>
      </c>
      <c r="HA467">
        <v>0</v>
      </c>
      <c r="HB467">
        <v>0</v>
      </c>
      <c r="HC467">
        <f t="shared" si="433"/>
        <v>0</v>
      </c>
      <c r="HE467" t="s">
        <v>3</v>
      </c>
      <c r="HF467" t="s">
        <v>3</v>
      </c>
      <c r="HM467" t="s">
        <v>3</v>
      </c>
      <c r="HN467" t="s">
        <v>3</v>
      </c>
      <c r="HO467" t="s">
        <v>3</v>
      </c>
      <c r="HP467" t="s">
        <v>3</v>
      </c>
      <c r="HQ467" t="s">
        <v>3</v>
      </c>
      <c r="IK467">
        <v>0</v>
      </c>
    </row>
    <row r="468" spans="1:245" x14ac:dyDescent="0.2">
      <c r="A468">
        <v>17</v>
      </c>
      <c r="B468">
        <v>1</v>
      </c>
      <c r="D468">
        <f>ROW(EtalonRes!A369)</f>
        <v>369</v>
      </c>
      <c r="E468" t="s">
        <v>3</v>
      </c>
      <c r="F468" t="s">
        <v>348</v>
      </c>
      <c r="G468" t="s">
        <v>349</v>
      </c>
      <c r="H468" t="s">
        <v>32</v>
      </c>
      <c r="I468">
        <f>ROUND(ROUND(1+1,9),9)</f>
        <v>2</v>
      </c>
      <c r="J468">
        <v>0</v>
      </c>
      <c r="K468">
        <f>ROUND(ROUND(1+1,9),9)</f>
        <v>2</v>
      </c>
      <c r="O468">
        <f t="shared" si="401"/>
        <v>18821.48</v>
      </c>
      <c r="P468">
        <f t="shared" si="402"/>
        <v>653.9</v>
      </c>
      <c r="Q468">
        <f t="shared" si="403"/>
        <v>6429.98</v>
      </c>
      <c r="R468">
        <f t="shared" si="404"/>
        <v>4049.76</v>
      </c>
      <c r="S468">
        <f t="shared" si="405"/>
        <v>11737.6</v>
      </c>
      <c r="T468">
        <f t="shared" si="406"/>
        <v>0</v>
      </c>
      <c r="U468">
        <f t="shared" si="407"/>
        <v>19.2</v>
      </c>
      <c r="V468">
        <f t="shared" si="408"/>
        <v>0</v>
      </c>
      <c r="W468">
        <f t="shared" si="409"/>
        <v>0</v>
      </c>
      <c r="X468">
        <f t="shared" si="410"/>
        <v>8216.32</v>
      </c>
      <c r="Y468">
        <f t="shared" si="411"/>
        <v>1173.76</v>
      </c>
      <c r="AA468">
        <v>-1</v>
      </c>
      <c r="AB468">
        <f t="shared" si="412"/>
        <v>9410.74</v>
      </c>
      <c r="AC468">
        <f>ROUND((ES468),6)</f>
        <v>326.95</v>
      </c>
      <c r="AD468">
        <f>ROUND((((ET468)-(EU468))+AE468),6)</f>
        <v>3214.99</v>
      </c>
      <c r="AE468">
        <f>ROUND((EU468),6)</f>
        <v>2024.88</v>
      </c>
      <c r="AF468">
        <f>ROUND((EV468),6)</f>
        <v>5868.8</v>
      </c>
      <c r="AG468">
        <f t="shared" si="413"/>
        <v>0</v>
      </c>
      <c r="AH468">
        <f>(EW468)</f>
        <v>9.6</v>
      </c>
      <c r="AI468">
        <f>(EX468)</f>
        <v>0</v>
      </c>
      <c r="AJ468">
        <f t="shared" si="414"/>
        <v>0</v>
      </c>
      <c r="AK468">
        <v>9410.74</v>
      </c>
      <c r="AL468">
        <v>326.95</v>
      </c>
      <c r="AM468">
        <v>3214.99</v>
      </c>
      <c r="AN468">
        <v>2024.88</v>
      </c>
      <c r="AO468">
        <v>5868.8</v>
      </c>
      <c r="AP468">
        <v>0</v>
      </c>
      <c r="AQ468">
        <v>9.6</v>
      </c>
      <c r="AR468">
        <v>0</v>
      </c>
      <c r="AS468">
        <v>0</v>
      </c>
      <c r="AT468">
        <v>70</v>
      </c>
      <c r="AU468">
        <v>10</v>
      </c>
      <c r="AV468">
        <v>1</v>
      </c>
      <c r="AW468">
        <v>1</v>
      </c>
      <c r="AZ468">
        <v>1</v>
      </c>
      <c r="BA468">
        <v>1</v>
      </c>
      <c r="BB468">
        <v>1</v>
      </c>
      <c r="BC468">
        <v>1</v>
      </c>
      <c r="BD468" t="s">
        <v>3</v>
      </c>
      <c r="BE468" t="s">
        <v>3</v>
      </c>
      <c r="BF468" t="s">
        <v>3</v>
      </c>
      <c r="BG468" t="s">
        <v>3</v>
      </c>
      <c r="BH468">
        <v>0</v>
      </c>
      <c r="BI468">
        <v>4</v>
      </c>
      <c r="BJ468" t="s">
        <v>350</v>
      </c>
      <c r="BM468">
        <v>0</v>
      </c>
      <c r="BN468">
        <v>0</v>
      </c>
      <c r="BO468" t="s">
        <v>3</v>
      </c>
      <c r="BP468">
        <v>0</v>
      </c>
      <c r="BQ468">
        <v>1</v>
      </c>
      <c r="BR468">
        <v>0</v>
      </c>
      <c r="BS468">
        <v>1</v>
      </c>
      <c r="BT468">
        <v>1</v>
      </c>
      <c r="BU468">
        <v>1</v>
      </c>
      <c r="BV468">
        <v>1</v>
      </c>
      <c r="BW468">
        <v>1</v>
      </c>
      <c r="BX468">
        <v>1</v>
      </c>
      <c r="BY468" t="s">
        <v>3</v>
      </c>
      <c r="BZ468">
        <v>70</v>
      </c>
      <c r="CA468">
        <v>10</v>
      </c>
      <c r="CB468" t="s">
        <v>3</v>
      </c>
      <c r="CE468">
        <v>0</v>
      </c>
      <c r="CF468">
        <v>0</v>
      </c>
      <c r="CG468">
        <v>0</v>
      </c>
      <c r="CM468">
        <v>0</v>
      </c>
      <c r="CN468" t="s">
        <v>3</v>
      </c>
      <c r="CO468">
        <v>0</v>
      </c>
      <c r="CP468">
        <f t="shared" si="415"/>
        <v>18821.48</v>
      </c>
      <c r="CQ468">
        <f t="shared" si="416"/>
        <v>326.95</v>
      </c>
      <c r="CR468">
        <f>((((ET468)*BB468-(EU468)*BS468)+AE468*BS468)*AV468)</f>
        <v>3214.99</v>
      </c>
      <c r="CS468">
        <f t="shared" si="417"/>
        <v>2024.88</v>
      </c>
      <c r="CT468">
        <f t="shared" si="418"/>
        <v>5868.8</v>
      </c>
      <c r="CU468">
        <f t="shared" si="419"/>
        <v>0</v>
      </c>
      <c r="CV468">
        <f t="shared" si="420"/>
        <v>9.6</v>
      </c>
      <c r="CW468">
        <f t="shared" si="421"/>
        <v>0</v>
      </c>
      <c r="CX468">
        <f t="shared" si="422"/>
        <v>0</v>
      </c>
      <c r="CY468">
        <f t="shared" si="423"/>
        <v>8216.32</v>
      </c>
      <c r="CZ468">
        <f t="shared" si="424"/>
        <v>1173.76</v>
      </c>
      <c r="DC468" t="s">
        <v>3</v>
      </c>
      <c r="DD468" t="s">
        <v>3</v>
      </c>
      <c r="DE468" t="s">
        <v>3</v>
      </c>
      <c r="DF468" t="s">
        <v>3</v>
      </c>
      <c r="DG468" t="s">
        <v>3</v>
      </c>
      <c r="DH468" t="s">
        <v>3</v>
      </c>
      <c r="DI468" t="s">
        <v>3</v>
      </c>
      <c r="DJ468" t="s">
        <v>3</v>
      </c>
      <c r="DK468" t="s">
        <v>3</v>
      </c>
      <c r="DL468" t="s">
        <v>3</v>
      </c>
      <c r="DM468" t="s">
        <v>3</v>
      </c>
      <c r="DN468">
        <v>0</v>
      </c>
      <c r="DO468">
        <v>0</v>
      </c>
      <c r="DP468">
        <v>1</v>
      </c>
      <c r="DQ468">
        <v>1</v>
      </c>
      <c r="DU468">
        <v>16987630</v>
      </c>
      <c r="DV468" t="s">
        <v>32</v>
      </c>
      <c r="DW468" t="s">
        <v>32</v>
      </c>
      <c r="DX468">
        <v>1</v>
      </c>
      <c r="DZ468" t="s">
        <v>3</v>
      </c>
      <c r="EA468" t="s">
        <v>3</v>
      </c>
      <c r="EB468" t="s">
        <v>3</v>
      </c>
      <c r="EC468" t="s">
        <v>3</v>
      </c>
      <c r="EE468">
        <v>1441815344</v>
      </c>
      <c r="EF468">
        <v>1</v>
      </c>
      <c r="EG468" t="s">
        <v>23</v>
      </c>
      <c r="EH468">
        <v>0</v>
      </c>
      <c r="EI468" t="s">
        <v>3</v>
      </c>
      <c r="EJ468">
        <v>4</v>
      </c>
      <c r="EK468">
        <v>0</v>
      </c>
      <c r="EL468" t="s">
        <v>24</v>
      </c>
      <c r="EM468" t="s">
        <v>25</v>
      </c>
      <c r="EO468" t="s">
        <v>3</v>
      </c>
      <c r="EQ468">
        <v>1311744</v>
      </c>
      <c r="ER468">
        <v>9410.74</v>
      </c>
      <c r="ES468">
        <v>326.95</v>
      </c>
      <c r="ET468">
        <v>3214.99</v>
      </c>
      <c r="EU468">
        <v>2024.88</v>
      </c>
      <c r="EV468">
        <v>5868.8</v>
      </c>
      <c r="EW468">
        <v>9.6</v>
      </c>
      <c r="EX468">
        <v>0</v>
      </c>
      <c r="EY468">
        <v>0</v>
      </c>
      <c r="FQ468">
        <v>0</v>
      </c>
      <c r="FR468">
        <f t="shared" si="425"/>
        <v>0</v>
      </c>
      <c r="FS468">
        <v>0</v>
      </c>
      <c r="FX468">
        <v>70</v>
      </c>
      <c r="FY468">
        <v>10</v>
      </c>
      <c r="GA468" t="s">
        <v>3</v>
      </c>
      <c r="GD468">
        <v>0</v>
      </c>
      <c r="GF468">
        <v>-939616904</v>
      </c>
      <c r="GG468">
        <v>2</v>
      </c>
      <c r="GH468">
        <v>1</v>
      </c>
      <c r="GI468">
        <v>-2</v>
      </c>
      <c r="GJ468">
        <v>0</v>
      </c>
      <c r="GK468">
        <f>ROUND(R468*(R12)/100,2)</f>
        <v>4373.74</v>
      </c>
      <c r="GL468">
        <f t="shared" si="426"/>
        <v>0</v>
      </c>
      <c r="GM468">
        <f t="shared" si="427"/>
        <v>32585.3</v>
      </c>
      <c r="GN468">
        <f t="shared" si="428"/>
        <v>0</v>
      </c>
      <c r="GO468">
        <f t="shared" si="429"/>
        <v>0</v>
      </c>
      <c r="GP468">
        <f t="shared" si="430"/>
        <v>32585.3</v>
      </c>
      <c r="GR468">
        <v>0</v>
      </c>
      <c r="GS468">
        <v>3</v>
      </c>
      <c r="GT468">
        <v>0</v>
      </c>
      <c r="GU468" t="s">
        <v>3</v>
      </c>
      <c r="GV468">
        <f t="shared" si="431"/>
        <v>0</v>
      </c>
      <c r="GW468">
        <v>1</v>
      </c>
      <c r="GX468">
        <f t="shared" si="432"/>
        <v>0</v>
      </c>
      <c r="HA468">
        <v>0</v>
      </c>
      <c r="HB468">
        <v>0</v>
      </c>
      <c r="HC468">
        <f t="shared" si="433"/>
        <v>0</v>
      </c>
      <c r="HE468" t="s">
        <v>3</v>
      </c>
      <c r="HF468" t="s">
        <v>3</v>
      </c>
      <c r="HM468" t="s">
        <v>3</v>
      </c>
      <c r="HN468" t="s">
        <v>3</v>
      </c>
      <c r="HO468" t="s">
        <v>3</v>
      </c>
      <c r="HP468" t="s">
        <v>3</v>
      </c>
      <c r="HQ468" t="s">
        <v>3</v>
      </c>
      <c r="IK468">
        <v>0</v>
      </c>
    </row>
    <row r="469" spans="1:245" x14ac:dyDescent="0.2">
      <c r="A469">
        <v>17</v>
      </c>
      <c r="B469">
        <v>1</v>
      </c>
      <c r="D469">
        <f>ROW(EtalonRes!A372)</f>
        <v>372</v>
      </c>
      <c r="E469" t="s">
        <v>3</v>
      </c>
      <c r="F469" t="s">
        <v>351</v>
      </c>
      <c r="G469" t="s">
        <v>352</v>
      </c>
      <c r="H469" t="s">
        <v>32</v>
      </c>
      <c r="I469">
        <f>ROUND(ROUND((1+1+1+1),9),9)</f>
        <v>4</v>
      </c>
      <c r="J469">
        <v>0</v>
      </c>
      <c r="K469">
        <f>ROUND(ROUND((1+1+1+1),9),9)</f>
        <v>4</v>
      </c>
      <c r="O469">
        <f t="shared" si="401"/>
        <v>25286.639999999999</v>
      </c>
      <c r="P469">
        <f t="shared" si="402"/>
        <v>79.52</v>
      </c>
      <c r="Q469">
        <f t="shared" si="403"/>
        <v>0</v>
      </c>
      <c r="R469">
        <f t="shared" si="404"/>
        <v>0</v>
      </c>
      <c r="S469">
        <f t="shared" si="405"/>
        <v>25207.119999999999</v>
      </c>
      <c r="T469">
        <f t="shared" si="406"/>
        <v>0</v>
      </c>
      <c r="U469">
        <f t="shared" si="407"/>
        <v>35.520000000000003</v>
      </c>
      <c r="V469">
        <f t="shared" si="408"/>
        <v>0</v>
      </c>
      <c r="W469">
        <f t="shared" si="409"/>
        <v>0</v>
      </c>
      <c r="X469">
        <f t="shared" si="410"/>
        <v>17644.98</v>
      </c>
      <c r="Y469">
        <f t="shared" si="411"/>
        <v>2520.71</v>
      </c>
      <c r="AA469">
        <v>-1</v>
      </c>
      <c r="AB469">
        <f t="shared" si="412"/>
        <v>6321.66</v>
      </c>
      <c r="AC469">
        <f>ROUND(((ES469*2)),6)</f>
        <v>19.88</v>
      </c>
      <c r="AD469">
        <f>ROUND(((((ET469*2))-((EU469*2)))+AE469),6)</f>
        <v>0</v>
      </c>
      <c r="AE469">
        <f>ROUND(((EU469*2)),6)</f>
        <v>0</v>
      </c>
      <c r="AF469">
        <f>ROUND(((EV469*2)),6)</f>
        <v>6301.78</v>
      </c>
      <c r="AG469">
        <f t="shared" si="413"/>
        <v>0</v>
      </c>
      <c r="AH469">
        <f>((EW469*2))</f>
        <v>8.8800000000000008</v>
      </c>
      <c r="AI469">
        <f>((EX469*2))</f>
        <v>0</v>
      </c>
      <c r="AJ469">
        <f t="shared" si="414"/>
        <v>0</v>
      </c>
      <c r="AK469">
        <v>3160.83</v>
      </c>
      <c r="AL469">
        <v>9.94</v>
      </c>
      <c r="AM469">
        <v>0</v>
      </c>
      <c r="AN469">
        <v>0</v>
      </c>
      <c r="AO469">
        <v>3150.89</v>
      </c>
      <c r="AP469">
        <v>0</v>
      </c>
      <c r="AQ469">
        <v>4.4400000000000004</v>
      </c>
      <c r="AR469">
        <v>0</v>
      </c>
      <c r="AS469">
        <v>0</v>
      </c>
      <c r="AT469">
        <v>70</v>
      </c>
      <c r="AU469">
        <v>10</v>
      </c>
      <c r="AV469">
        <v>1</v>
      </c>
      <c r="AW469">
        <v>1</v>
      </c>
      <c r="AZ469">
        <v>1</v>
      </c>
      <c r="BA469">
        <v>1</v>
      </c>
      <c r="BB469">
        <v>1</v>
      </c>
      <c r="BC469">
        <v>1</v>
      </c>
      <c r="BD469" t="s">
        <v>3</v>
      </c>
      <c r="BE469" t="s">
        <v>3</v>
      </c>
      <c r="BF469" t="s">
        <v>3</v>
      </c>
      <c r="BG469" t="s">
        <v>3</v>
      </c>
      <c r="BH469">
        <v>0</v>
      </c>
      <c r="BI469">
        <v>4</v>
      </c>
      <c r="BJ469" t="s">
        <v>353</v>
      </c>
      <c r="BM469">
        <v>0</v>
      </c>
      <c r="BN469">
        <v>0</v>
      </c>
      <c r="BO469" t="s">
        <v>3</v>
      </c>
      <c r="BP469">
        <v>0</v>
      </c>
      <c r="BQ469">
        <v>1</v>
      </c>
      <c r="BR469">
        <v>0</v>
      </c>
      <c r="BS469">
        <v>1</v>
      </c>
      <c r="BT469">
        <v>1</v>
      </c>
      <c r="BU469">
        <v>1</v>
      </c>
      <c r="BV469">
        <v>1</v>
      </c>
      <c r="BW469">
        <v>1</v>
      </c>
      <c r="BX469">
        <v>1</v>
      </c>
      <c r="BY469" t="s">
        <v>3</v>
      </c>
      <c r="BZ469">
        <v>70</v>
      </c>
      <c r="CA469">
        <v>10</v>
      </c>
      <c r="CB469" t="s">
        <v>3</v>
      </c>
      <c r="CE469">
        <v>0</v>
      </c>
      <c r="CF469">
        <v>0</v>
      </c>
      <c r="CG469">
        <v>0</v>
      </c>
      <c r="CM469">
        <v>0</v>
      </c>
      <c r="CN469" t="s">
        <v>3</v>
      </c>
      <c r="CO469">
        <v>0</v>
      </c>
      <c r="CP469">
        <f t="shared" si="415"/>
        <v>25286.639999999999</v>
      </c>
      <c r="CQ469">
        <f t="shared" si="416"/>
        <v>19.88</v>
      </c>
      <c r="CR469">
        <f>(((((ET469*2))*BB469-((EU469*2))*BS469)+AE469*BS469)*AV469)</f>
        <v>0</v>
      </c>
      <c r="CS469">
        <f t="shared" si="417"/>
        <v>0</v>
      </c>
      <c r="CT469">
        <f t="shared" si="418"/>
        <v>6301.78</v>
      </c>
      <c r="CU469">
        <f t="shared" si="419"/>
        <v>0</v>
      </c>
      <c r="CV469">
        <f t="shared" si="420"/>
        <v>8.8800000000000008</v>
      </c>
      <c r="CW469">
        <f t="shared" si="421"/>
        <v>0</v>
      </c>
      <c r="CX469">
        <f t="shared" si="422"/>
        <v>0</v>
      </c>
      <c r="CY469">
        <f t="shared" si="423"/>
        <v>17644.984</v>
      </c>
      <c r="CZ469">
        <f t="shared" si="424"/>
        <v>2520.712</v>
      </c>
      <c r="DC469" t="s">
        <v>3</v>
      </c>
      <c r="DD469" t="s">
        <v>164</v>
      </c>
      <c r="DE469" t="s">
        <v>164</v>
      </c>
      <c r="DF469" t="s">
        <v>164</v>
      </c>
      <c r="DG469" t="s">
        <v>164</v>
      </c>
      <c r="DH469" t="s">
        <v>3</v>
      </c>
      <c r="DI469" t="s">
        <v>164</v>
      </c>
      <c r="DJ469" t="s">
        <v>164</v>
      </c>
      <c r="DK469" t="s">
        <v>3</v>
      </c>
      <c r="DL469" t="s">
        <v>3</v>
      </c>
      <c r="DM469" t="s">
        <v>3</v>
      </c>
      <c r="DN469">
        <v>0</v>
      </c>
      <c r="DO469">
        <v>0</v>
      </c>
      <c r="DP469">
        <v>1</v>
      </c>
      <c r="DQ469">
        <v>1</v>
      </c>
      <c r="DU469">
        <v>16987630</v>
      </c>
      <c r="DV469" t="s">
        <v>32</v>
      </c>
      <c r="DW469" t="s">
        <v>32</v>
      </c>
      <c r="DX469">
        <v>1</v>
      </c>
      <c r="DZ469" t="s">
        <v>3</v>
      </c>
      <c r="EA469" t="s">
        <v>3</v>
      </c>
      <c r="EB469" t="s">
        <v>3</v>
      </c>
      <c r="EC469" t="s">
        <v>3</v>
      </c>
      <c r="EE469">
        <v>1441815344</v>
      </c>
      <c r="EF469">
        <v>1</v>
      </c>
      <c r="EG469" t="s">
        <v>23</v>
      </c>
      <c r="EH469">
        <v>0</v>
      </c>
      <c r="EI469" t="s">
        <v>3</v>
      </c>
      <c r="EJ469">
        <v>4</v>
      </c>
      <c r="EK469">
        <v>0</v>
      </c>
      <c r="EL469" t="s">
        <v>24</v>
      </c>
      <c r="EM469" t="s">
        <v>25</v>
      </c>
      <c r="EO469" t="s">
        <v>3</v>
      </c>
      <c r="EQ469">
        <v>1311744</v>
      </c>
      <c r="ER469">
        <v>3160.83</v>
      </c>
      <c r="ES469">
        <v>9.94</v>
      </c>
      <c r="ET469">
        <v>0</v>
      </c>
      <c r="EU469">
        <v>0</v>
      </c>
      <c r="EV469">
        <v>3150.89</v>
      </c>
      <c r="EW469">
        <v>4.4400000000000004</v>
      </c>
      <c r="EX469">
        <v>0</v>
      </c>
      <c r="EY469">
        <v>0</v>
      </c>
      <c r="FQ469">
        <v>0</v>
      </c>
      <c r="FR469">
        <f t="shared" si="425"/>
        <v>0</v>
      </c>
      <c r="FS469">
        <v>0</v>
      </c>
      <c r="FX469">
        <v>70</v>
      </c>
      <c r="FY469">
        <v>10</v>
      </c>
      <c r="GA469" t="s">
        <v>3</v>
      </c>
      <c r="GD469">
        <v>0</v>
      </c>
      <c r="GF469">
        <v>66224296</v>
      </c>
      <c r="GG469">
        <v>2</v>
      </c>
      <c r="GH469">
        <v>1</v>
      </c>
      <c r="GI469">
        <v>-2</v>
      </c>
      <c r="GJ469">
        <v>0</v>
      </c>
      <c r="GK469">
        <f>ROUND(R469*(R12)/100,2)</f>
        <v>0</v>
      </c>
      <c r="GL469">
        <f t="shared" si="426"/>
        <v>0</v>
      </c>
      <c r="GM469">
        <f t="shared" si="427"/>
        <v>45452.33</v>
      </c>
      <c r="GN469">
        <f t="shared" si="428"/>
        <v>0</v>
      </c>
      <c r="GO469">
        <f t="shared" si="429"/>
        <v>0</v>
      </c>
      <c r="GP469">
        <f t="shared" si="430"/>
        <v>45452.33</v>
      </c>
      <c r="GR469">
        <v>0</v>
      </c>
      <c r="GS469">
        <v>3</v>
      </c>
      <c r="GT469">
        <v>0</v>
      </c>
      <c r="GU469" t="s">
        <v>3</v>
      </c>
      <c r="GV469">
        <f t="shared" si="431"/>
        <v>0</v>
      </c>
      <c r="GW469">
        <v>1</v>
      </c>
      <c r="GX469">
        <f t="shared" si="432"/>
        <v>0</v>
      </c>
      <c r="HA469">
        <v>0</v>
      </c>
      <c r="HB469">
        <v>0</v>
      </c>
      <c r="HC469">
        <f t="shared" si="433"/>
        <v>0</v>
      </c>
      <c r="HE469" t="s">
        <v>3</v>
      </c>
      <c r="HF469" t="s">
        <v>3</v>
      </c>
      <c r="HM469" t="s">
        <v>3</v>
      </c>
      <c r="HN469" t="s">
        <v>3</v>
      </c>
      <c r="HO469" t="s">
        <v>3</v>
      </c>
      <c r="HP469" t="s">
        <v>3</v>
      </c>
      <c r="HQ469" t="s">
        <v>3</v>
      </c>
      <c r="IK469">
        <v>0</v>
      </c>
    </row>
    <row r="470" spans="1:245" x14ac:dyDescent="0.2">
      <c r="A470">
        <v>17</v>
      </c>
      <c r="B470">
        <v>1</v>
      </c>
      <c r="D470">
        <f>ROW(EtalonRes!A375)</f>
        <v>375</v>
      </c>
      <c r="E470" t="s">
        <v>3</v>
      </c>
      <c r="F470" t="s">
        <v>378</v>
      </c>
      <c r="G470" t="s">
        <v>379</v>
      </c>
      <c r="H470" t="s">
        <v>32</v>
      </c>
      <c r="I470">
        <v>2</v>
      </c>
      <c r="J470">
        <v>0</v>
      </c>
      <c r="K470">
        <v>2</v>
      </c>
      <c r="O470">
        <f t="shared" si="401"/>
        <v>7918.95</v>
      </c>
      <c r="P470">
        <f t="shared" si="402"/>
        <v>10.08</v>
      </c>
      <c r="Q470">
        <f t="shared" si="403"/>
        <v>3196.72</v>
      </c>
      <c r="R470">
        <f t="shared" si="404"/>
        <v>2026.95</v>
      </c>
      <c r="S470">
        <f t="shared" si="405"/>
        <v>4712.1499999999996</v>
      </c>
      <c r="T470">
        <f t="shared" si="406"/>
        <v>0</v>
      </c>
      <c r="U470">
        <f t="shared" si="407"/>
        <v>6.6400000000000006</v>
      </c>
      <c r="V470">
        <f t="shared" si="408"/>
        <v>0</v>
      </c>
      <c r="W470">
        <f t="shared" si="409"/>
        <v>0</v>
      </c>
      <c r="X470">
        <f t="shared" si="410"/>
        <v>3298.51</v>
      </c>
      <c r="Y470">
        <f t="shared" si="411"/>
        <v>471.22</v>
      </c>
      <c r="AA470">
        <v>-1</v>
      </c>
      <c r="AB470">
        <f t="shared" si="412"/>
        <v>3959.4733329999999</v>
      </c>
      <c r="AC470">
        <f>ROUND((((ES470/12)*8)),6)</f>
        <v>5.04</v>
      </c>
      <c r="AD470">
        <f>ROUND((((((ET470/12)*8))-(((EU470/12)*8)))+AE470),6)</f>
        <v>1598.36</v>
      </c>
      <c r="AE470">
        <f>ROUND((((EU470/12)*8)),6)</f>
        <v>1013.473333</v>
      </c>
      <c r="AF470">
        <f>ROUND((((EV470/12)*8)),6)</f>
        <v>2356.0733329999998</v>
      </c>
      <c r="AG470">
        <f t="shared" si="413"/>
        <v>0</v>
      </c>
      <c r="AH470">
        <f>(((EW470/12)*8))</f>
        <v>3.3200000000000003</v>
      </c>
      <c r="AI470">
        <f>(((EX470/12)*8))</f>
        <v>0</v>
      </c>
      <c r="AJ470">
        <f t="shared" si="414"/>
        <v>0</v>
      </c>
      <c r="AK470">
        <v>5939.21</v>
      </c>
      <c r="AL470">
        <v>7.56</v>
      </c>
      <c r="AM470">
        <v>2397.54</v>
      </c>
      <c r="AN470">
        <v>1520.21</v>
      </c>
      <c r="AO470">
        <v>3534.11</v>
      </c>
      <c r="AP470">
        <v>0</v>
      </c>
      <c r="AQ470">
        <v>4.9800000000000004</v>
      </c>
      <c r="AR470">
        <v>0</v>
      </c>
      <c r="AS470">
        <v>0</v>
      </c>
      <c r="AT470">
        <v>70</v>
      </c>
      <c r="AU470">
        <v>10</v>
      </c>
      <c r="AV470">
        <v>1</v>
      </c>
      <c r="AW470">
        <v>1</v>
      </c>
      <c r="AZ470">
        <v>1</v>
      </c>
      <c r="BA470">
        <v>1</v>
      </c>
      <c r="BB470">
        <v>1</v>
      </c>
      <c r="BC470">
        <v>1</v>
      </c>
      <c r="BD470" t="s">
        <v>3</v>
      </c>
      <c r="BE470" t="s">
        <v>3</v>
      </c>
      <c r="BF470" t="s">
        <v>3</v>
      </c>
      <c r="BG470" t="s">
        <v>3</v>
      </c>
      <c r="BH470">
        <v>0</v>
      </c>
      <c r="BI470">
        <v>4</v>
      </c>
      <c r="BJ470" t="s">
        <v>380</v>
      </c>
      <c r="BM470">
        <v>0</v>
      </c>
      <c r="BN470">
        <v>0</v>
      </c>
      <c r="BO470" t="s">
        <v>3</v>
      </c>
      <c r="BP470">
        <v>0</v>
      </c>
      <c r="BQ470">
        <v>1</v>
      </c>
      <c r="BR470">
        <v>0</v>
      </c>
      <c r="BS470">
        <v>1</v>
      </c>
      <c r="BT470">
        <v>1</v>
      </c>
      <c r="BU470">
        <v>1</v>
      </c>
      <c r="BV470">
        <v>1</v>
      </c>
      <c r="BW470">
        <v>1</v>
      </c>
      <c r="BX470">
        <v>1</v>
      </c>
      <c r="BY470" t="s">
        <v>3</v>
      </c>
      <c r="BZ470">
        <v>70</v>
      </c>
      <c r="CA470">
        <v>10</v>
      </c>
      <c r="CB470" t="s">
        <v>3</v>
      </c>
      <c r="CE470">
        <v>0</v>
      </c>
      <c r="CF470">
        <v>0</v>
      </c>
      <c r="CG470">
        <v>0</v>
      </c>
      <c r="CM470">
        <v>0</v>
      </c>
      <c r="CN470" t="s">
        <v>3</v>
      </c>
      <c r="CO470">
        <v>0</v>
      </c>
      <c r="CP470">
        <f t="shared" si="415"/>
        <v>7918.9499999999989</v>
      </c>
      <c r="CQ470">
        <f t="shared" si="416"/>
        <v>5.04</v>
      </c>
      <c r="CR470">
        <f>((((((ET470/12)*8))*BB470-(((EU470/12)*8))*BS470)+AE470*BS470)*AV470)</f>
        <v>1598.3599996666667</v>
      </c>
      <c r="CS470">
        <f t="shared" si="417"/>
        <v>1013.473333</v>
      </c>
      <c r="CT470">
        <f t="shared" si="418"/>
        <v>2356.0733329999998</v>
      </c>
      <c r="CU470">
        <f t="shared" si="419"/>
        <v>0</v>
      </c>
      <c r="CV470">
        <f t="shared" si="420"/>
        <v>3.3200000000000003</v>
      </c>
      <c r="CW470">
        <f t="shared" si="421"/>
        <v>0</v>
      </c>
      <c r="CX470">
        <f t="shared" si="422"/>
        <v>0</v>
      </c>
      <c r="CY470">
        <f t="shared" si="423"/>
        <v>3298.5050000000001</v>
      </c>
      <c r="CZ470">
        <f t="shared" si="424"/>
        <v>471.21499999999997</v>
      </c>
      <c r="DC470" t="s">
        <v>3</v>
      </c>
      <c r="DD470" t="s">
        <v>324</v>
      </c>
      <c r="DE470" t="s">
        <v>324</v>
      </c>
      <c r="DF470" t="s">
        <v>324</v>
      </c>
      <c r="DG470" t="s">
        <v>324</v>
      </c>
      <c r="DH470" t="s">
        <v>3</v>
      </c>
      <c r="DI470" t="s">
        <v>324</v>
      </c>
      <c r="DJ470" t="s">
        <v>324</v>
      </c>
      <c r="DK470" t="s">
        <v>3</v>
      </c>
      <c r="DL470" t="s">
        <v>3</v>
      </c>
      <c r="DM470" t="s">
        <v>3</v>
      </c>
      <c r="DN470">
        <v>0</v>
      </c>
      <c r="DO470">
        <v>0</v>
      </c>
      <c r="DP470">
        <v>1</v>
      </c>
      <c r="DQ470">
        <v>1</v>
      </c>
      <c r="DU470">
        <v>16987630</v>
      </c>
      <c r="DV470" t="s">
        <v>32</v>
      </c>
      <c r="DW470" t="s">
        <v>32</v>
      </c>
      <c r="DX470">
        <v>1</v>
      </c>
      <c r="DZ470" t="s">
        <v>3</v>
      </c>
      <c r="EA470" t="s">
        <v>3</v>
      </c>
      <c r="EB470" t="s">
        <v>3</v>
      </c>
      <c r="EC470" t="s">
        <v>3</v>
      </c>
      <c r="EE470">
        <v>1441815344</v>
      </c>
      <c r="EF470">
        <v>1</v>
      </c>
      <c r="EG470" t="s">
        <v>23</v>
      </c>
      <c r="EH470">
        <v>0</v>
      </c>
      <c r="EI470" t="s">
        <v>3</v>
      </c>
      <c r="EJ470">
        <v>4</v>
      </c>
      <c r="EK470">
        <v>0</v>
      </c>
      <c r="EL470" t="s">
        <v>24</v>
      </c>
      <c r="EM470" t="s">
        <v>25</v>
      </c>
      <c r="EO470" t="s">
        <v>3</v>
      </c>
      <c r="EQ470">
        <v>1024</v>
      </c>
      <c r="ER470">
        <v>5939.21</v>
      </c>
      <c r="ES470">
        <v>7.56</v>
      </c>
      <c r="ET470">
        <v>2397.54</v>
      </c>
      <c r="EU470">
        <v>1520.21</v>
      </c>
      <c r="EV470">
        <v>3534.11</v>
      </c>
      <c r="EW470">
        <v>4.9800000000000004</v>
      </c>
      <c r="EX470">
        <v>0</v>
      </c>
      <c r="EY470">
        <v>0</v>
      </c>
      <c r="FQ470">
        <v>0</v>
      </c>
      <c r="FR470">
        <f t="shared" si="425"/>
        <v>0</v>
      </c>
      <c r="FS470">
        <v>0</v>
      </c>
      <c r="FX470">
        <v>70</v>
      </c>
      <c r="FY470">
        <v>10</v>
      </c>
      <c r="GA470" t="s">
        <v>3</v>
      </c>
      <c r="GD470">
        <v>0</v>
      </c>
      <c r="GF470">
        <v>1085294412</v>
      </c>
      <c r="GG470">
        <v>2</v>
      </c>
      <c r="GH470">
        <v>1</v>
      </c>
      <c r="GI470">
        <v>-2</v>
      </c>
      <c r="GJ470">
        <v>0</v>
      </c>
      <c r="GK470">
        <f>ROUND(R470*(R12)/100,2)</f>
        <v>2189.11</v>
      </c>
      <c r="GL470">
        <f t="shared" si="426"/>
        <v>0</v>
      </c>
      <c r="GM470">
        <f t="shared" si="427"/>
        <v>13877.79</v>
      </c>
      <c r="GN470">
        <f t="shared" si="428"/>
        <v>0</v>
      </c>
      <c r="GO470">
        <f t="shared" si="429"/>
        <v>0</v>
      </c>
      <c r="GP470">
        <f t="shared" si="430"/>
        <v>13877.79</v>
      </c>
      <c r="GR470">
        <v>0</v>
      </c>
      <c r="GS470">
        <v>3</v>
      </c>
      <c r="GT470">
        <v>0</v>
      </c>
      <c r="GU470" t="s">
        <v>3</v>
      </c>
      <c r="GV470">
        <f t="shared" si="431"/>
        <v>0</v>
      </c>
      <c r="GW470">
        <v>1</v>
      </c>
      <c r="GX470">
        <f t="shared" si="432"/>
        <v>0</v>
      </c>
      <c r="HA470">
        <v>0</v>
      </c>
      <c r="HB470">
        <v>0</v>
      </c>
      <c r="HC470">
        <f t="shared" si="433"/>
        <v>0</v>
      </c>
      <c r="HE470" t="s">
        <v>3</v>
      </c>
      <c r="HF470" t="s">
        <v>3</v>
      </c>
      <c r="HM470" t="s">
        <v>3</v>
      </c>
      <c r="HN470" t="s">
        <v>3</v>
      </c>
      <c r="HO470" t="s">
        <v>3</v>
      </c>
      <c r="HP470" t="s">
        <v>3</v>
      </c>
      <c r="HQ470" t="s">
        <v>3</v>
      </c>
      <c r="IK470">
        <v>0</v>
      </c>
    </row>
    <row r="471" spans="1:245" x14ac:dyDescent="0.2">
      <c r="A471">
        <v>17</v>
      </c>
      <c r="B471">
        <v>1</v>
      </c>
      <c r="D471">
        <f>ROW(EtalonRes!A378)</f>
        <v>378</v>
      </c>
      <c r="E471" t="s">
        <v>3</v>
      </c>
      <c r="F471" t="s">
        <v>159</v>
      </c>
      <c r="G471" t="s">
        <v>160</v>
      </c>
      <c r="H471" t="s">
        <v>32</v>
      </c>
      <c r="I471">
        <v>2</v>
      </c>
      <c r="J471">
        <v>0</v>
      </c>
      <c r="K471">
        <v>2</v>
      </c>
      <c r="O471">
        <f t="shared" si="401"/>
        <v>3924.72</v>
      </c>
      <c r="P471">
        <f t="shared" si="402"/>
        <v>5.04</v>
      </c>
      <c r="Q471">
        <f t="shared" si="403"/>
        <v>1563.6</v>
      </c>
      <c r="R471">
        <f t="shared" si="404"/>
        <v>991.44</v>
      </c>
      <c r="S471">
        <f t="shared" si="405"/>
        <v>2356.08</v>
      </c>
      <c r="T471">
        <f t="shared" si="406"/>
        <v>0</v>
      </c>
      <c r="U471">
        <f t="shared" si="407"/>
        <v>3.36</v>
      </c>
      <c r="V471">
        <f t="shared" si="408"/>
        <v>0</v>
      </c>
      <c r="W471">
        <f t="shared" si="409"/>
        <v>0</v>
      </c>
      <c r="X471">
        <f t="shared" si="410"/>
        <v>1649.26</v>
      </c>
      <c r="Y471">
        <f t="shared" si="411"/>
        <v>235.61</v>
      </c>
      <c r="AA471">
        <v>-1</v>
      </c>
      <c r="AB471">
        <f t="shared" si="412"/>
        <v>1962.36</v>
      </c>
      <c r="AC471">
        <f>ROUND(((ES471*4)),6)</f>
        <v>2.52</v>
      </c>
      <c r="AD471">
        <f>ROUND(((((ET471*4))-((EU471*4)))+AE471),6)</f>
        <v>781.8</v>
      </c>
      <c r="AE471">
        <f>ROUND(((EU471*4)),6)</f>
        <v>495.72</v>
      </c>
      <c r="AF471">
        <f>ROUND(((EV471*4)),6)</f>
        <v>1178.04</v>
      </c>
      <c r="AG471">
        <f t="shared" si="413"/>
        <v>0</v>
      </c>
      <c r="AH471">
        <f>((EW471*4))</f>
        <v>1.68</v>
      </c>
      <c r="AI471">
        <f>((EX471*4))</f>
        <v>0</v>
      </c>
      <c r="AJ471">
        <f t="shared" si="414"/>
        <v>0</v>
      </c>
      <c r="AK471">
        <v>490.59</v>
      </c>
      <c r="AL471">
        <v>0.63</v>
      </c>
      <c r="AM471">
        <v>195.45</v>
      </c>
      <c r="AN471">
        <v>123.93</v>
      </c>
      <c r="AO471">
        <v>294.51</v>
      </c>
      <c r="AP471">
        <v>0</v>
      </c>
      <c r="AQ471">
        <v>0.42</v>
      </c>
      <c r="AR471">
        <v>0</v>
      </c>
      <c r="AS471">
        <v>0</v>
      </c>
      <c r="AT471">
        <v>70</v>
      </c>
      <c r="AU471">
        <v>10</v>
      </c>
      <c r="AV471">
        <v>1</v>
      </c>
      <c r="AW471">
        <v>1</v>
      </c>
      <c r="AZ471">
        <v>1</v>
      </c>
      <c r="BA471">
        <v>1</v>
      </c>
      <c r="BB471">
        <v>1</v>
      </c>
      <c r="BC471">
        <v>1</v>
      </c>
      <c r="BD471" t="s">
        <v>3</v>
      </c>
      <c r="BE471" t="s">
        <v>3</v>
      </c>
      <c r="BF471" t="s">
        <v>3</v>
      </c>
      <c r="BG471" t="s">
        <v>3</v>
      </c>
      <c r="BH471">
        <v>0</v>
      </c>
      <c r="BI471">
        <v>4</v>
      </c>
      <c r="BJ471" t="s">
        <v>161</v>
      </c>
      <c r="BM471">
        <v>0</v>
      </c>
      <c r="BN471">
        <v>0</v>
      </c>
      <c r="BO471" t="s">
        <v>3</v>
      </c>
      <c r="BP471">
        <v>0</v>
      </c>
      <c r="BQ471">
        <v>1</v>
      </c>
      <c r="BR471">
        <v>0</v>
      </c>
      <c r="BS471">
        <v>1</v>
      </c>
      <c r="BT471">
        <v>1</v>
      </c>
      <c r="BU471">
        <v>1</v>
      </c>
      <c r="BV471">
        <v>1</v>
      </c>
      <c r="BW471">
        <v>1</v>
      </c>
      <c r="BX471">
        <v>1</v>
      </c>
      <c r="BY471" t="s">
        <v>3</v>
      </c>
      <c r="BZ471">
        <v>70</v>
      </c>
      <c r="CA471">
        <v>10</v>
      </c>
      <c r="CB471" t="s">
        <v>3</v>
      </c>
      <c r="CE471">
        <v>0</v>
      </c>
      <c r="CF471">
        <v>0</v>
      </c>
      <c r="CG471">
        <v>0</v>
      </c>
      <c r="CM471">
        <v>0</v>
      </c>
      <c r="CN471" t="s">
        <v>3</v>
      </c>
      <c r="CO471">
        <v>0</v>
      </c>
      <c r="CP471">
        <f t="shared" si="415"/>
        <v>3924.72</v>
      </c>
      <c r="CQ471">
        <f t="shared" si="416"/>
        <v>2.52</v>
      </c>
      <c r="CR471">
        <f>(((((ET471*4))*BB471-((EU471*4))*BS471)+AE471*BS471)*AV471)</f>
        <v>781.8</v>
      </c>
      <c r="CS471">
        <f t="shared" si="417"/>
        <v>495.72</v>
      </c>
      <c r="CT471">
        <f t="shared" si="418"/>
        <v>1178.04</v>
      </c>
      <c r="CU471">
        <f t="shared" si="419"/>
        <v>0</v>
      </c>
      <c r="CV471">
        <f t="shared" si="420"/>
        <v>1.68</v>
      </c>
      <c r="CW471">
        <f t="shared" si="421"/>
        <v>0</v>
      </c>
      <c r="CX471">
        <f t="shared" si="422"/>
        <v>0</v>
      </c>
      <c r="CY471">
        <f t="shared" si="423"/>
        <v>1649.2560000000001</v>
      </c>
      <c r="CZ471">
        <f t="shared" si="424"/>
        <v>235.608</v>
      </c>
      <c r="DC471" t="s">
        <v>3</v>
      </c>
      <c r="DD471" t="s">
        <v>22</v>
      </c>
      <c r="DE471" t="s">
        <v>22</v>
      </c>
      <c r="DF471" t="s">
        <v>22</v>
      </c>
      <c r="DG471" t="s">
        <v>22</v>
      </c>
      <c r="DH471" t="s">
        <v>3</v>
      </c>
      <c r="DI471" t="s">
        <v>22</v>
      </c>
      <c r="DJ471" t="s">
        <v>22</v>
      </c>
      <c r="DK471" t="s">
        <v>3</v>
      </c>
      <c r="DL471" t="s">
        <v>3</v>
      </c>
      <c r="DM471" t="s">
        <v>3</v>
      </c>
      <c r="DN471">
        <v>0</v>
      </c>
      <c r="DO471">
        <v>0</v>
      </c>
      <c r="DP471">
        <v>1</v>
      </c>
      <c r="DQ471">
        <v>1</v>
      </c>
      <c r="DU471">
        <v>16987630</v>
      </c>
      <c r="DV471" t="s">
        <v>32</v>
      </c>
      <c r="DW471" t="s">
        <v>32</v>
      </c>
      <c r="DX471">
        <v>1</v>
      </c>
      <c r="DZ471" t="s">
        <v>3</v>
      </c>
      <c r="EA471" t="s">
        <v>3</v>
      </c>
      <c r="EB471" t="s">
        <v>3</v>
      </c>
      <c r="EC471" t="s">
        <v>3</v>
      </c>
      <c r="EE471">
        <v>1441815344</v>
      </c>
      <c r="EF471">
        <v>1</v>
      </c>
      <c r="EG471" t="s">
        <v>23</v>
      </c>
      <c r="EH471">
        <v>0</v>
      </c>
      <c r="EI471" t="s">
        <v>3</v>
      </c>
      <c r="EJ471">
        <v>4</v>
      </c>
      <c r="EK471">
        <v>0</v>
      </c>
      <c r="EL471" t="s">
        <v>24</v>
      </c>
      <c r="EM471" t="s">
        <v>25</v>
      </c>
      <c r="EO471" t="s">
        <v>3</v>
      </c>
      <c r="EQ471">
        <v>1024</v>
      </c>
      <c r="ER471">
        <v>490.59</v>
      </c>
      <c r="ES471">
        <v>0.63</v>
      </c>
      <c r="ET471">
        <v>195.45</v>
      </c>
      <c r="EU471">
        <v>123.93</v>
      </c>
      <c r="EV471">
        <v>294.51</v>
      </c>
      <c r="EW471">
        <v>0.42</v>
      </c>
      <c r="EX471">
        <v>0</v>
      </c>
      <c r="EY471">
        <v>0</v>
      </c>
      <c r="FQ471">
        <v>0</v>
      </c>
      <c r="FR471">
        <f t="shared" si="425"/>
        <v>0</v>
      </c>
      <c r="FS471">
        <v>0</v>
      </c>
      <c r="FX471">
        <v>70</v>
      </c>
      <c r="FY471">
        <v>10</v>
      </c>
      <c r="GA471" t="s">
        <v>3</v>
      </c>
      <c r="GD471">
        <v>0</v>
      </c>
      <c r="GF471">
        <v>-364815351</v>
      </c>
      <c r="GG471">
        <v>2</v>
      </c>
      <c r="GH471">
        <v>1</v>
      </c>
      <c r="GI471">
        <v>-2</v>
      </c>
      <c r="GJ471">
        <v>0</v>
      </c>
      <c r="GK471">
        <f>ROUND(R471*(R12)/100,2)</f>
        <v>1070.76</v>
      </c>
      <c r="GL471">
        <f t="shared" si="426"/>
        <v>0</v>
      </c>
      <c r="GM471">
        <f t="shared" si="427"/>
        <v>6880.35</v>
      </c>
      <c r="GN471">
        <f t="shared" si="428"/>
        <v>0</v>
      </c>
      <c r="GO471">
        <f t="shared" si="429"/>
        <v>0</v>
      </c>
      <c r="GP471">
        <f t="shared" si="430"/>
        <v>6880.35</v>
      </c>
      <c r="GR471">
        <v>0</v>
      </c>
      <c r="GS471">
        <v>3</v>
      </c>
      <c r="GT471">
        <v>0</v>
      </c>
      <c r="GU471" t="s">
        <v>3</v>
      </c>
      <c r="GV471">
        <f t="shared" si="431"/>
        <v>0</v>
      </c>
      <c r="GW471">
        <v>1</v>
      </c>
      <c r="GX471">
        <f t="shared" si="432"/>
        <v>0</v>
      </c>
      <c r="HA471">
        <v>0</v>
      </c>
      <c r="HB471">
        <v>0</v>
      </c>
      <c r="HC471">
        <f t="shared" si="433"/>
        <v>0</v>
      </c>
      <c r="HE471" t="s">
        <v>3</v>
      </c>
      <c r="HF471" t="s">
        <v>3</v>
      </c>
      <c r="HM471" t="s">
        <v>3</v>
      </c>
      <c r="HN471" t="s">
        <v>3</v>
      </c>
      <c r="HO471" t="s">
        <v>3</v>
      </c>
      <c r="HP471" t="s">
        <v>3</v>
      </c>
      <c r="HQ471" t="s">
        <v>3</v>
      </c>
      <c r="IK471">
        <v>0</v>
      </c>
    </row>
    <row r="472" spans="1:245" x14ac:dyDescent="0.2">
      <c r="A472">
        <v>17</v>
      </c>
      <c r="B472">
        <v>1</v>
      </c>
      <c r="D472">
        <f>ROW(EtalonRes!A388)</f>
        <v>388</v>
      </c>
      <c r="E472" t="s">
        <v>3</v>
      </c>
      <c r="F472" t="s">
        <v>335</v>
      </c>
      <c r="G472" t="s">
        <v>336</v>
      </c>
      <c r="H472" t="s">
        <v>322</v>
      </c>
      <c r="I472">
        <v>6</v>
      </c>
      <c r="J472">
        <v>0</v>
      </c>
      <c r="K472">
        <v>6</v>
      </c>
      <c r="O472">
        <f t="shared" si="401"/>
        <v>91785.36</v>
      </c>
      <c r="P472">
        <f t="shared" si="402"/>
        <v>2619.8000000000002</v>
      </c>
      <c r="Q472">
        <f t="shared" si="403"/>
        <v>0</v>
      </c>
      <c r="R472">
        <f t="shared" si="404"/>
        <v>0</v>
      </c>
      <c r="S472">
        <f t="shared" si="405"/>
        <v>89165.56</v>
      </c>
      <c r="T472">
        <f t="shared" si="406"/>
        <v>0</v>
      </c>
      <c r="U472">
        <f t="shared" si="407"/>
        <v>144.4</v>
      </c>
      <c r="V472">
        <f t="shared" si="408"/>
        <v>0</v>
      </c>
      <c r="W472">
        <f t="shared" si="409"/>
        <v>0</v>
      </c>
      <c r="X472">
        <f t="shared" si="410"/>
        <v>62415.89</v>
      </c>
      <c r="Y472">
        <f t="shared" si="411"/>
        <v>8916.56</v>
      </c>
      <c r="AA472">
        <v>-1</v>
      </c>
      <c r="AB472">
        <f t="shared" si="412"/>
        <v>15297.56</v>
      </c>
      <c r="AC472">
        <f>ROUND((((ES472/12)*8)),6)</f>
        <v>436.63333299999999</v>
      </c>
      <c r="AD472">
        <f>ROUND((((((ET472/12)*8))-(((EU472/12)*8)))+AE472),6)</f>
        <v>0</v>
      </c>
      <c r="AE472">
        <f>ROUND((((EU472/12)*8)),6)</f>
        <v>0</v>
      </c>
      <c r="AF472">
        <f>ROUND((((EV472/12)*8)),6)</f>
        <v>14860.926667</v>
      </c>
      <c r="AG472">
        <f t="shared" si="413"/>
        <v>0</v>
      </c>
      <c r="AH472">
        <f>(((EW472/12)*8))</f>
        <v>24.066666666666666</v>
      </c>
      <c r="AI472">
        <f>(((EX472/12)*8))</f>
        <v>0</v>
      </c>
      <c r="AJ472">
        <f t="shared" si="414"/>
        <v>0</v>
      </c>
      <c r="AK472">
        <v>22946.34</v>
      </c>
      <c r="AL472">
        <v>654.95000000000005</v>
      </c>
      <c r="AM472">
        <v>0</v>
      </c>
      <c r="AN472">
        <v>0</v>
      </c>
      <c r="AO472">
        <v>22291.39</v>
      </c>
      <c r="AP472">
        <v>0</v>
      </c>
      <c r="AQ472">
        <v>36.1</v>
      </c>
      <c r="AR472">
        <v>0</v>
      </c>
      <c r="AS472">
        <v>0</v>
      </c>
      <c r="AT472">
        <v>70</v>
      </c>
      <c r="AU472">
        <v>10</v>
      </c>
      <c r="AV472">
        <v>1</v>
      </c>
      <c r="AW472">
        <v>1</v>
      </c>
      <c r="AZ472">
        <v>1</v>
      </c>
      <c r="BA472">
        <v>1</v>
      </c>
      <c r="BB472">
        <v>1</v>
      </c>
      <c r="BC472">
        <v>1</v>
      </c>
      <c r="BD472" t="s">
        <v>3</v>
      </c>
      <c r="BE472" t="s">
        <v>3</v>
      </c>
      <c r="BF472" t="s">
        <v>3</v>
      </c>
      <c r="BG472" t="s">
        <v>3</v>
      </c>
      <c r="BH472">
        <v>0</v>
      </c>
      <c r="BI472">
        <v>4</v>
      </c>
      <c r="BJ472" t="s">
        <v>337</v>
      </c>
      <c r="BM472">
        <v>0</v>
      </c>
      <c r="BN472">
        <v>0</v>
      </c>
      <c r="BO472" t="s">
        <v>3</v>
      </c>
      <c r="BP472">
        <v>0</v>
      </c>
      <c r="BQ472">
        <v>1</v>
      </c>
      <c r="BR472">
        <v>0</v>
      </c>
      <c r="BS472">
        <v>1</v>
      </c>
      <c r="BT472">
        <v>1</v>
      </c>
      <c r="BU472">
        <v>1</v>
      </c>
      <c r="BV472">
        <v>1</v>
      </c>
      <c r="BW472">
        <v>1</v>
      </c>
      <c r="BX472">
        <v>1</v>
      </c>
      <c r="BY472" t="s">
        <v>3</v>
      </c>
      <c r="BZ472">
        <v>70</v>
      </c>
      <c r="CA472">
        <v>10</v>
      </c>
      <c r="CB472" t="s">
        <v>3</v>
      </c>
      <c r="CE472">
        <v>0</v>
      </c>
      <c r="CF472">
        <v>0</v>
      </c>
      <c r="CG472">
        <v>0</v>
      </c>
      <c r="CM472">
        <v>0</v>
      </c>
      <c r="CN472" t="s">
        <v>3</v>
      </c>
      <c r="CO472">
        <v>0</v>
      </c>
      <c r="CP472">
        <f t="shared" si="415"/>
        <v>91785.36</v>
      </c>
      <c r="CQ472">
        <f t="shared" si="416"/>
        <v>436.63333299999999</v>
      </c>
      <c r="CR472">
        <f>((((((ET472/12)*8))*BB472-(((EU472/12)*8))*BS472)+AE472*BS472)*AV472)</f>
        <v>0</v>
      </c>
      <c r="CS472">
        <f t="shared" si="417"/>
        <v>0</v>
      </c>
      <c r="CT472">
        <f t="shared" si="418"/>
        <v>14860.926667</v>
      </c>
      <c r="CU472">
        <f t="shared" si="419"/>
        <v>0</v>
      </c>
      <c r="CV472">
        <f t="shared" si="420"/>
        <v>24.066666666666666</v>
      </c>
      <c r="CW472">
        <f t="shared" si="421"/>
        <v>0</v>
      </c>
      <c r="CX472">
        <f t="shared" si="422"/>
        <v>0</v>
      </c>
      <c r="CY472">
        <f t="shared" si="423"/>
        <v>62415.892</v>
      </c>
      <c r="CZ472">
        <f t="shared" si="424"/>
        <v>8916.5560000000005</v>
      </c>
      <c r="DC472" t="s">
        <v>3</v>
      </c>
      <c r="DD472" t="s">
        <v>324</v>
      </c>
      <c r="DE472" t="s">
        <v>324</v>
      </c>
      <c r="DF472" t="s">
        <v>324</v>
      </c>
      <c r="DG472" t="s">
        <v>324</v>
      </c>
      <c r="DH472" t="s">
        <v>3</v>
      </c>
      <c r="DI472" t="s">
        <v>324</v>
      </c>
      <c r="DJ472" t="s">
        <v>324</v>
      </c>
      <c r="DK472" t="s">
        <v>3</v>
      </c>
      <c r="DL472" t="s">
        <v>3</v>
      </c>
      <c r="DM472" t="s">
        <v>3</v>
      </c>
      <c r="DN472">
        <v>0</v>
      </c>
      <c r="DO472">
        <v>0</v>
      </c>
      <c r="DP472">
        <v>1</v>
      </c>
      <c r="DQ472">
        <v>1</v>
      </c>
      <c r="DU472">
        <v>1013</v>
      </c>
      <c r="DV472" t="s">
        <v>322</v>
      </c>
      <c r="DW472" t="s">
        <v>322</v>
      </c>
      <c r="DX472">
        <v>1</v>
      </c>
      <c r="DZ472" t="s">
        <v>3</v>
      </c>
      <c r="EA472" t="s">
        <v>3</v>
      </c>
      <c r="EB472" t="s">
        <v>3</v>
      </c>
      <c r="EC472" t="s">
        <v>3</v>
      </c>
      <c r="EE472">
        <v>1441815344</v>
      </c>
      <c r="EF472">
        <v>1</v>
      </c>
      <c r="EG472" t="s">
        <v>23</v>
      </c>
      <c r="EH472">
        <v>0</v>
      </c>
      <c r="EI472" t="s">
        <v>3</v>
      </c>
      <c r="EJ472">
        <v>4</v>
      </c>
      <c r="EK472">
        <v>0</v>
      </c>
      <c r="EL472" t="s">
        <v>24</v>
      </c>
      <c r="EM472" t="s">
        <v>25</v>
      </c>
      <c r="EO472" t="s">
        <v>3</v>
      </c>
      <c r="EQ472">
        <v>1024</v>
      </c>
      <c r="ER472">
        <v>22946.34</v>
      </c>
      <c r="ES472">
        <v>654.95000000000005</v>
      </c>
      <c r="ET472">
        <v>0</v>
      </c>
      <c r="EU472">
        <v>0</v>
      </c>
      <c r="EV472">
        <v>22291.39</v>
      </c>
      <c r="EW472">
        <v>36.1</v>
      </c>
      <c r="EX472">
        <v>0</v>
      </c>
      <c r="EY472">
        <v>0</v>
      </c>
      <c r="FQ472">
        <v>0</v>
      </c>
      <c r="FR472">
        <f t="shared" si="425"/>
        <v>0</v>
      </c>
      <c r="FS472">
        <v>0</v>
      </c>
      <c r="FX472">
        <v>70</v>
      </c>
      <c r="FY472">
        <v>10</v>
      </c>
      <c r="GA472" t="s">
        <v>3</v>
      </c>
      <c r="GD472">
        <v>0</v>
      </c>
      <c r="GF472">
        <v>86364489</v>
      </c>
      <c r="GG472">
        <v>2</v>
      </c>
      <c r="GH472">
        <v>1</v>
      </c>
      <c r="GI472">
        <v>-2</v>
      </c>
      <c r="GJ472">
        <v>0</v>
      </c>
      <c r="GK472">
        <f>ROUND(R472*(R12)/100,2)</f>
        <v>0</v>
      </c>
      <c r="GL472">
        <f t="shared" si="426"/>
        <v>0</v>
      </c>
      <c r="GM472">
        <f t="shared" si="427"/>
        <v>163117.81</v>
      </c>
      <c r="GN472">
        <f t="shared" si="428"/>
        <v>0</v>
      </c>
      <c r="GO472">
        <f t="shared" si="429"/>
        <v>0</v>
      </c>
      <c r="GP472">
        <f t="shared" si="430"/>
        <v>163117.81</v>
      </c>
      <c r="GR472">
        <v>0</v>
      </c>
      <c r="GS472">
        <v>3</v>
      </c>
      <c r="GT472">
        <v>0</v>
      </c>
      <c r="GU472" t="s">
        <v>3</v>
      </c>
      <c r="GV472">
        <f t="shared" si="431"/>
        <v>0</v>
      </c>
      <c r="GW472">
        <v>1</v>
      </c>
      <c r="GX472">
        <f t="shared" si="432"/>
        <v>0</v>
      </c>
      <c r="HA472">
        <v>0</v>
      </c>
      <c r="HB472">
        <v>0</v>
      </c>
      <c r="HC472">
        <f t="shared" si="433"/>
        <v>0</v>
      </c>
      <c r="HE472" t="s">
        <v>3</v>
      </c>
      <c r="HF472" t="s">
        <v>3</v>
      </c>
      <c r="HM472" t="s">
        <v>3</v>
      </c>
      <c r="HN472" t="s">
        <v>3</v>
      </c>
      <c r="HO472" t="s">
        <v>3</v>
      </c>
      <c r="HP472" t="s">
        <v>3</v>
      </c>
      <c r="HQ472" t="s">
        <v>3</v>
      </c>
      <c r="IK472">
        <v>0</v>
      </c>
    </row>
    <row r="473" spans="1:245" x14ac:dyDescent="0.2">
      <c r="A473">
        <v>17</v>
      </c>
      <c r="B473">
        <v>1</v>
      </c>
      <c r="D473">
        <f>ROW(EtalonRes!A391)</f>
        <v>391</v>
      </c>
      <c r="E473" t="s">
        <v>3</v>
      </c>
      <c r="F473" t="s">
        <v>338</v>
      </c>
      <c r="G473" t="s">
        <v>339</v>
      </c>
      <c r="H473" t="s">
        <v>322</v>
      </c>
      <c r="I473">
        <v>6</v>
      </c>
      <c r="J473">
        <v>0</v>
      </c>
      <c r="K473">
        <v>6</v>
      </c>
      <c r="O473">
        <f t="shared" si="401"/>
        <v>21914.7</v>
      </c>
      <c r="P473">
        <f t="shared" si="402"/>
        <v>16.739999999999998</v>
      </c>
      <c r="Q473">
        <f t="shared" si="403"/>
        <v>0</v>
      </c>
      <c r="R473">
        <f t="shared" si="404"/>
        <v>0</v>
      </c>
      <c r="S473">
        <f t="shared" si="405"/>
        <v>21897.96</v>
      </c>
      <c r="T473">
        <f t="shared" si="406"/>
        <v>0</v>
      </c>
      <c r="U473">
        <f t="shared" si="407"/>
        <v>33</v>
      </c>
      <c r="V473">
        <f t="shared" si="408"/>
        <v>0</v>
      </c>
      <c r="W473">
        <f t="shared" si="409"/>
        <v>0</v>
      </c>
      <c r="X473">
        <f t="shared" si="410"/>
        <v>15328.57</v>
      </c>
      <c r="Y473">
        <f t="shared" si="411"/>
        <v>2189.8000000000002</v>
      </c>
      <c r="AA473">
        <v>-1</v>
      </c>
      <c r="AB473">
        <f t="shared" si="412"/>
        <v>3652.45</v>
      </c>
      <c r="AC473">
        <f>ROUND((ES473),6)</f>
        <v>2.79</v>
      </c>
      <c r="AD473">
        <f>ROUND((((ET473)-(EU473))+AE473),6)</f>
        <v>0</v>
      </c>
      <c r="AE473">
        <f>ROUND((EU473),6)</f>
        <v>0</v>
      </c>
      <c r="AF473">
        <f>ROUND((EV473),6)</f>
        <v>3649.66</v>
      </c>
      <c r="AG473">
        <f t="shared" si="413"/>
        <v>0</v>
      </c>
      <c r="AH473">
        <f>(EW473)</f>
        <v>5.5</v>
      </c>
      <c r="AI473">
        <f>(EX473)</f>
        <v>0</v>
      </c>
      <c r="AJ473">
        <f t="shared" si="414"/>
        <v>0</v>
      </c>
      <c r="AK473">
        <v>3652.45</v>
      </c>
      <c r="AL473">
        <v>2.79</v>
      </c>
      <c r="AM473">
        <v>0</v>
      </c>
      <c r="AN473">
        <v>0</v>
      </c>
      <c r="AO473">
        <v>3649.66</v>
      </c>
      <c r="AP473">
        <v>0</v>
      </c>
      <c r="AQ473">
        <v>5.5</v>
      </c>
      <c r="AR473">
        <v>0</v>
      </c>
      <c r="AS473">
        <v>0</v>
      </c>
      <c r="AT473">
        <v>70</v>
      </c>
      <c r="AU473">
        <v>10</v>
      </c>
      <c r="AV473">
        <v>1</v>
      </c>
      <c r="AW473">
        <v>1</v>
      </c>
      <c r="AZ473">
        <v>1</v>
      </c>
      <c r="BA473">
        <v>1</v>
      </c>
      <c r="BB473">
        <v>1</v>
      </c>
      <c r="BC473">
        <v>1</v>
      </c>
      <c r="BD473" t="s">
        <v>3</v>
      </c>
      <c r="BE473" t="s">
        <v>3</v>
      </c>
      <c r="BF473" t="s">
        <v>3</v>
      </c>
      <c r="BG473" t="s">
        <v>3</v>
      </c>
      <c r="BH473">
        <v>0</v>
      </c>
      <c r="BI473">
        <v>4</v>
      </c>
      <c r="BJ473" t="s">
        <v>340</v>
      </c>
      <c r="BM473">
        <v>0</v>
      </c>
      <c r="BN473">
        <v>0</v>
      </c>
      <c r="BO473" t="s">
        <v>3</v>
      </c>
      <c r="BP473">
        <v>0</v>
      </c>
      <c r="BQ473">
        <v>1</v>
      </c>
      <c r="BR473">
        <v>0</v>
      </c>
      <c r="BS473">
        <v>1</v>
      </c>
      <c r="BT473">
        <v>1</v>
      </c>
      <c r="BU473">
        <v>1</v>
      </c>
      <c r="BV473">
        <v>1</v>
      </c>
      <c r="BW473">
        <v>1</v>
      </c>
      <c r="BX473">
        <v>1</v>
      </c>
      <c r="BY473" t="s">
        <v>3</v>
      </c>
      <c r="BZ473">
        <v>70</v>
      </c>
      <c r="CA473">
        <v>10</v>
      </c>
      <c r="CB473" t="s">
        <v>3</v>
      </c>
      <c r="CE473">
        <v>0</v>
      </c>
      <c r="CF473">
        <v>0</v>
      </c>
      <c r="CG473">
        <v>0</v>
      </c>
      <c r="CM473">
        <v>0</v>
      </c>
      <c r="CN473" t="s">
        <v>3</v>
      </c>
      <c r="CO473">
        <v>0</v>
      </c>
      <c r="CP473">
        <f t="shared" si="415"/>
        <v>21914.7</v>
      </c>
      <c r="CQ473">
        <f t="shared" si="416"/>
        <v>2.79</v>
      </c>
      <c r="CR473">
        <f>((((ET473)*BB473-(EU473)*BS473)+AE473*BS473)*AV473)</f>
        <v>0</v>
      </c>
      <c r="CS473">
        <f t="shared" si="417"/>
        <v>0</v>
      </c>
      <c r="CT473">
        <f t="shared" si="418"/>
        <v>3649.66</v>
      </c>
      <c r="CU473">
        <f t="shared" si="419"/>
        <v>0</v>
      </c>
      <c r="CV473">
        <f t="shared" si="420"/>
        <v>5.5</v>
      </c>
      <c r="CW473">
        <f t="shared" si="421"/>
        <v>0</v>
      </c>
      <c r="CX473">
        <f t="shared" si="422"/>
        <v>0</v>
      </c>
      <c r="CY473">
        <f t="shared" si="423"/>
        <v>15328.572</v>
      </c>
      <c r="CZ473">
        <f t="shared" si="424"/>
        <v>2189.7959999999998</v>
      </c>
      <c r="DC473" t="s">
        <v>3</v>
      </c>
      <c r="DD473" t="s">
        <v>3</v>
      </c>
      <c r="DE473" t="s">
        <v>3</v>
      </c>
      <c r="DF473" t="s">
        <v>3</v>
      </c>
      <c r="DG473" t="s">
        <v>3</v>
      </c>
      <c r="DH473" t="s">
        <v>3</v>
      </c>
      <c r="DI473" t="s">
        <v>3</v>
      </c>
      <c r="DJ473" t="s">
        <v>3</v>
      </c>
      <c r="DK473" t="s">
        <v>3</v>
      </c>
      <c r="DL473" t="s">
        <v>3</v>
      </c>
      <c r="DM473" t="s">
        <v>3</v>
      </c>
      <c r="DN473">
        <v>0</v>
      </c>
      <c r="DO473">
        <v>0</v>
      </c>
      <c r="DP473">
        <v>1</v>
      </c>
      <c r="DQ473">
        <v>1</v>
      </c>
      <c r="DU473">
        <v>1013</v>
      </c>
      <c r="DV473" t="s">
        <v>322</v>
      </c>
      <c r="DW473" t="s">
        <v>322</v>
      </c>
      <c r="DX473">
        <v>1</v>
      </c>
      <c r="DZ473" t="s">
        <v>3</v>
      </c>
      <c r="EA473" t="s">
        <v>3</v>
      </c>
      <c r="EB473" t="s">
        <v>3</v>
      </c>
      <c r="EC473" t="s">
        <v>3</v>
      </c>
      <c r="EE473">
        <v>1441815344</v>
      </c>
      <c r="EF473">
        <v>1</v>
      </c>
      <c r="EG473" t="s">
        <v>23</v>
      </c>
      <c r="EH473">
        <v>0</v>
      </c>
      <c r="EI473" t="s">
        <v>3</v>
      </c>
      <c r="EJ473">
        <v>4</v>
      </c>
      <c r="EK473">
        <v>0</v>
      </c>
      <c r="EL473" t="s">
        <v>24</v>
      </c>
      <c r="EM473" t="s">
        <v>25</v>
      </c>
      <c r="EO473" t="s">
        <v>3</v>
      </c>
      <c r="EQ473">
        <v>1311744</v>
      </c>
      <c r="ER473">
        <v>3652.45</v>
      </c>
      <c r="ES473">
        <v>2.79</v>
      </c>
      <c r="ET473">
        <v>0</v>
      </c>
      <c r="EU473">
        <v>0</v>
      </c>
      <c r="EV473">
        <v>3649.66</v>
      </c>
      <c r="EW473">
        <v>5.5</v>
      </c>
      <c r="EX473">
        <v>0</v>
      </c>
      <c r="EY473">
        <v>0</v>
      </c>
      <c r="FQ473">
        <v>0</v>
      </c>
      <c r="FR473">
        <f t="shared" si="425"/>
        <v>0</v>
      </c>
      <c r="FS473">
        <v>0</v>
      </c>
      <c r="FX473">
        <v>70</v>
      </c>
      <c r="FY473">
        <v>10</v>
      </c>
      <c r="GA473" t="s">
        <v>3</v>
      </c>
      <c r="GD473">
        <v>0</v>
      </c>
      <c r="GF473">
        <v>1979362590</v>
      </c>
      <c r="GG473">
        <v>2</v>
      </c>
      <c r="GH473">
        <v>1</v>
      </c>
      <c r="GI473">
        <v>-2</v>
      </c>
      <c r="GJ473">
        <v>0</v>
      </c>
      <c r="GK473">
        <f>ROUND(R473*(R12)/100,2)</f>
        <v>0</v>
      </c>
      <c r="GL473">
        <f t="shared" si="426"/>
        <v>0</v>
      </c>
      <c r="GM473">
        <f t="shared" si="427"/>
        <v>39433.07</v>
      </c>
      <c r="GN473">
        <f t="shared" si="428"/>
        <v>0</v>
      </c>
      <c r="GO473">
        <f t="shared" si="429"/>
        <v>0</v>
      </c>
      <c r="GP473">
        <f t="shared" si="430"/>
        <v>39433.07</v>
      </c>
      <c r="GR473">
        <v>0</v>
      </c>
      <c r="GS473">
        <v>3</v>
      </c>
      <c r="GT473">
        <v>0</v>
      </c>
      <c r="GU473" t="s">
        <v>3</v>
      </c>
      <c r="GV473">
        <f t="shared" si="431"/>
        <v>0</v>
      </c>
      <c r="GW473">
        <v>1</v>
      </c>
      <c r="GX473">
        <f t="shared" si="432"/>
        <v>0</v>
      </c>
      <c r="HA473">
        <v>0</v>
      </c>
      <c r="HB473">
        <v>0</v>
      </c>
      <c r="HC473">
        <f t="shared" si="433"/>
        <v>0</v>
      </c>
      <c r="HE473" t="s">
        <v>3</v>
      </c>
      <c r="HF473" t="s">
        <v>3</v>
      </c>
      <c r="HM473" t="s">
        <v>3</v>
      </c>
      <c r="HN473" t="s">
        <v>3</v>
      </c>
      <c r="HO473" t="s">
        <v>3</v>
      </c>
      <c r="HP473" t="s">
        <v>3</v>
      </c>
      <c r="HQ473" t="s">
        <v>3</v>
      </c>
      <c r="IK473">
        <v>0</v>
      </c>
    </row>
    <row r="474" spans="1:245" x14ac:dyDescent="0.2">
      <c r="A474">
        <v>17</v>
      </c>
      <c r="B474">
        <v>1</v>
      </c>
      <c r="D474">
        <f>ROW(EtalonRes!A393)</f>
        <v>393</v>
      </c>
      <c r="E474" t="s">
        <v>381</v>
      </c>
      <c r="F474" t="s">
        <v>342</v>
      </c>
      <c r="G474" t="s">
        <v>343</v>
      </c>
      <c r="H474" t="s">
        <v>322</v>
      </c>
      <c r="I474">
        <v>6</v>
      </c>
      <c r="J474">
        <v>0</v>
      </c>
      <c r="K474">
        <v>6</v>
      </c>
      <c r="O474">
        <f t="shared" si="401"/>
        <v>18952.080000000002</v>
      </c>
      <c r="P474">
        <f t="shared" si="402"/>
        <v>0.36</v>
      </c>
      <c r="Q474">
        <f t="shared" si="403"/>
        <v>0</v>
      </c>
      <c r="R474">
        <f t="shared" si="404"/>
        <v>0</v>
      </c>
      <c r="S474">
        <f t="shared" si="405"/>
        <v>18951.72</v>
      </c>
      <c r="T474">
        <f t="shared" si="406"/>
        <v>0</v>
      </c>
      <c r="U474">
        <f t="shared" si="407"/>
        <v>28.56</v>
      </c>
      <c r="V474">
        <f t="shared" si="408"/>
        <v>0</v>
      </c>
      <c r="W474">
        <f t="shared" si="409"/>
        <v>0</v>
      </c>
      <c r="X474">
        <f t="shared" si="410"/>
        <v>13266.2</v>
      </c>
      <c r="Y474">
        <f t="shared" si="411"/>
        <v>1895.17</v>
      </c>
      <c r="AA474">
        <v>1472224561</v>
      </c>
      <c r="AB474">
        <f t="shared" si="412"/>
        <v>3158.68</v>
      </c>
      <c r="AC474">
        <f>ROUND(((ES474*2)),6)</f>
        <v>0.06</v>
      </c>
      <c r="AD474">
        <f>ROUND(((((ET474*2))-((EU474*2)))+AE474),6)</f>
        <v>0</v>
      </c>
      <c r="AE474">
        <f>ROUND(((EU474*2)),6)</f>
        <v>0</v>
      </c>
      <c r="AF474">
        <f>ROUND(((EV474*2)),6)</f>
        <v>3158.62</v>
      </c>
      <c r="AG474">
        <f t="shared" si="413"/>
        <v>0</v>
      </c>
      <c r="AH474">
        <f>((EW474*2))</f>
        <v>4.76</v>
      </c>
      <c r="AI474">
        <f>((EX474*2))</f>
        <v>0</v>
      </c>
      <c r="AJ474">
        <f t="shared" si="414"/>
        <v>0</v>
      </c>
      <c r="AK474">
        <v>1579.34</v>
      </c>
      <c r="AL474">
        <v>0.03</v>
      </c>
      <c r="AM474">
        <v>0</v>
      </c>
      <c r="AN474">
        <v>0</v>
      </c>
      <c r="AO474">
        <v>1579.31</v>
      </c>
      <c r="AP474">
        <v>0</v>
      </c>
      <c r="AQ474">
        <v>2.38</v>
      </c>
      <c r="AR474">
        <v>0</v>
      </c>
      <c r="AS474">
        <v>0</v>
      </c>
      <c r="AT474">
        <v>70</v>
      </c>
      <c r="AU474">
        <v>10</v>
      </c>
      <c r="AV474">
        <v>1</v>
      </c>
      <c r="AW474">
        <v>1</v>
      </c>
      <c r="AZ474">
        <v>1</v>
      </c>
      <c r="BA474">
        <v>1</v>
      </c>
      <c r="BB474">
        <v>1</v>
      </c>
      <c r="BC474">
        <v>1</v>
      </c>
      <c r="BD474" t="s">
        <v>3</v>
      </c>
      <c r="BE474" t="s">
        <v>3</v>
      </c>
      <c r="BF474" t="s">
        <v>3</v>
      </c>
      <c r="BG474" t="s">
        <v>3</v>
      </c>
      <c r="BH474">
        <v>0</v>
      </c>
      <c r="BI474">
        <v>4</v>
      </c>
      <c r="BJ474" t="s">
        <v>344</v>
      </c>
      <c r="BM474">
        <v>0</v>
      </c>
      <c r="BN474">
        <v>0</v>
      </c>
      <c r="BO474" t="s">
        <v>3</v>
      </c>
      <c r="BP474">
        <v>0</v>
      </c>
      <c r="BQ474">
        <v>1</v>
      </c>
      <c r="BR474">
        <v>0</v>
      </c>
      <c r="BS474">
        <v>1</v>
      </c>
      <c r="BT474">
        <v>1</v>
      </c>
      <c r="BU474">
        <v>1</v>
      </c>
      <c r="BV474">
        <v>1</v>
      </c>
      <c r="BW474">
        <v>1</v>
      </c>
      <c r="BX474">
        <v>1</v>
      </c>
      <c r="BY474" t="s">
        <v>3</v>
      </c>
      <c r="BZ474">
        <v>70</v>
      </c>
      <c r="CA474">
        <v>10</v>
      </c>
      <c r="CB474" t="s">
        <v>3</v>
      </c>
      <c r="CE474">
        <v>0</v>
      </c>
      <c r="CF474">
        <v>0</v>
      </c>
      <c r="CG474">
        <v>0</v>
      </c>
      <c r="CM474">
        <v>0</v>
      </c>
      <c r="CN474" t="s">
        <v>3</v>
      </c>
      <c r="CO474">
        <v>0</v>
      </c>
      <c r="CP474">
        <f t="shared" si="415"/>
        <v>18952.080000000002</v>
      </c>
      <c r="CQ474">
        <f t="shared" si="416"/>
        <v>0.06</v>
      </c>
      <c r="CR474">
        <f>(((((ET474*2))*BB474-((EU474*2))*BS474)+AE474*BS474)*AV474)</f>
        <v>0</v>
      </c>
      <c r="CS474">
        <f t="shared" si="417"/>
        <v>0</v>
      </c>
      <c r="CT474">
        <f t="shared" si="418"/>
        <v>3158.62</v>
      </c>
      <c r="CU474">
        <f t="shared" si="419"/>
        <v>0</v>
      </c>
      <c r="CV474">
        <f t="shared" si="420"/>
        <v>4.76</v>
      </c>
      <c r="CW474">
        <f t="shared" si="421"/>
        <v>0</v>
      </c>
      <c r="CX474">
        <f t="shared" si="422"/>
        <v>0</v>
      </c>
      <c r="CY474">
        <f t="shared" si="423"/>
        <v>13266.204000000002</v>
      </c>
      <c r="CZ474">
        <f t="shared" si="424"/>
        <v>1895.172</v>
      </c>
      <c r="DC474" t="s">
        <v>3</v>
      </c>
      <c r="DD474" t="s">
        <v>164</v>
      </c>
      <c r="DE474" t="s">
        <v>164</v>
      </c>
      <c r="DF474" t="s">
        <v>164</v>
      </c>
      <c r="DG474" t="s">
        <v>164</v>
      </c>
      <c r="DH474" t="s">
        <v>3</v>
      </c>
      <c r="DI474" t="s">
        <v>164</v>
      </c>
      <c r="DJ474" t="s">
        <v>164</v>
      </c>
      <c r="DK474" t="s">
        <v>3</v>
      </c>
      <c r="DL474" t="s">
        <v>3</v>
      </c>
      <c r="DM474" t="s">
        <v>3</v>
      </c>
      <c r="DN474">
        <v>0</v>
      </c>
      <c r="DO474">
        <v>0</v>
      </c>
      <c r="DP474">
        <v>1</v>
      </c>
      <c r="DQ474">
        <v>1</v>
      </c>
      <c r="DU474">
        <v>1013</v>
      </c>
      <c r="DV474" t="s">
        <v>322</v>
      </c>
      <c r="DW474" t="s">
        <v>322</v>
      </c>
      <c r="DX474">
        <v>1</v>
      </c>
      <c r="DZ474" t="s">
        <v>3</v>
      </c>
      <c r="EA474" t="s">
        <v>3</v>
      </c>
      <c r="EB474" t="s">
        <v>3</v>
      </c>
      <c r="EC474" t="s">
        <v>3</v>
      </c>
      <c r="EE474">
        <v>1441815344</v>
      </c>
      <c r="EF474">
        <v>1</v>
      </c>
      <c r="EG474" t="s">
        <v>23</v>
      </c>
      <c r="EH474">
        <v>0</v>
      </c>
      <c r="EI474" t="s">
        <v>3</v>
      </c>
      <c r="EJ474">
        <v>4</v>
      </c>
      <c r="EK474">
        <v>0</v>
      </c>
      <c r="EL474" t="s">
        <v>24</v>
      </c>
      <c r="EM474" t="s">
        <v>25</v>
      </c>
      <c r="EO474" t="s">
        <v>3</v>
      </c>
      <c r="EQ474">
        <v>0</v>
      </c>
      <c r="ER474">
        <v>1579.34</v>
      </c>
      <c r="ES474">
        <v>0.03</v>
      </c>
      <c r="ET474">
        <v>0</v>
      </c>
      <c r="EU474">
        <v>0</v>
      </c>
      <c r="EV474">
        <v>1579.31</v>
      </c>
      <c r="EW474">
        <v>2.38</v>
      </c>
      <c r="EX474">
        <v>0</v>
      </c>
      <c r="EY474">
        <v>0</v>
      </c>
      <c r="FQ474">
        <v>0</v>
      </c>
      <c r="FR474">
        <f t="shared" si="425"/>
        <v>0</v>
      </c>
      <c r="FS474">
        <v>0</v>
      </c>
      <c r="FX474">
        <v>70</v>
      </c>
      <c r="FY474">
        <v>10</v>
      </c>
      <c r="GA474" t="s">
        <v>3</v>
      </c>
      <c r="GD474">
        <v>0</v>
      </c>
      <c r="GF474">
        <v>-1593979091</v>
      </c>
      <c r="GG474">
        <v>2</v>
      </c>
      <c r="GH474">
        <v>1</v>
      </c>
      <c r="GI474">
        <v>-2</v>
      </c>
      <c r="GJ474">
        <v>0</v>
      </c>
      <c r="GK474">
        <f>ROUND(R474*(R12)/100,2)</f>
        <v>0</v>
      </c>
      <c r="GL474">
        <f t="shared" si="426"/>
        <v>0</v>
      </c>
      <c r="GM474">
        <f t="shared" si="427"/>
        <v>34113.449999999997</v>
      </c>
      <c r="GN474">
        <f t="shared" si="428"/>
        <v>0</v>
      </c>
      <c r="GO474">
        <f t="shared" si="429"/>
        <v>0</v>
      </c>
      <c r="GP474">
        <f t="shared" si="430"/>
        <v>34113.449999999997</v>
      </c>
      <c r="GR474">
        <v>0</v>
      </c>
      <c r="GS474">
        <v>3</v>
      </c>
      <c r="GT474">
        <v>0</v>
      </c>
      <c r="GU474" t="s">
        <v>3</v>
      </c>
      <c r="GV474">
        <f t="shared" si="431"/>
        <v>0</v>
      </c>
      <c r="GW474">
        <v>1</v>
      </c>
      <c r="GX474">
        <f t="shared" si="432"/>
        <v>0</v>
      </c>
      <c r="HA474">
        <v>0</v>
      </c>
      <c r="HB474">
        <v>0</v>
      </c>
      <c r="HC474">
        <f t="shared" si="433"/>
        <v>0</v>
      </c>
      <c r="HE474" t="s">
        <v>3</v>
      </c>
      <c r="HF474" t="s">
        <v>3</v>
      </c>
      <c r="HM474" t="s">
        <v>3</v>
      </c>
      <c r="HN474" t="s">
        <v>3</v>
      </c>
      <c r="HO474" t="s">
        <v>3</v>
      </c>
      <c r="HP474" t="s">
        <v>3</v>
      </c>
      <c r="HQ474" t="s">
        <v>3</v>
      </c>
      <c r="IK474">
        <v>0</v>
      </c>
    </row>
    <row r="475" spans="1:245" x14ac:dyDescent="0.2">
      <c r="A475">
        <v>17</v>
      </c>
      <c r="B475">
        <v>1</v>
      </c>
      <c r="D475">
        <f>ROW(EtalonRes!A395)</f>
        <v>395</v>
      </c>
      <c r="E475" t="s">
        <v>3</v>
      </c>
      <c r="F475" t="s">
        <v>345</v>
      </c>
      <c r="G475" t="s">
        <v>346</v>
      </c>
      <c r="H475" t="s">
        <v>322</v>
      </c>
      <c r="I475">
        <v>6</v>
      </c>
      <c r="J475">
        <v>0</v>
      </c>
      <c r="K475">
        <v>6</v>
      </c>
      <c r="O475">
        <f t="shared" si="401"/>
        <v>8759.64</v>
      </c>
      <c r="P475">
        <f t="shared" si="402"/>
        <v>0.48</v>
      </c>
      <c r="Q475">
        <f t="shared" si="403"/>
        <v>0</v>
      </c>
      <c r="R475">
        <f t="shared" si="404"/>
        <v>0</v>
      </c>
      <c r="S475">
        <f t="shared" si="405"/>
        <v>8759.16</v>
      </c>
      <c r="T475">
        <f t="shared" si="406"/>
        <v>0</v>
      </c>
      <c r="U475">
        <f t="shared" si="407"/>
        <v>13.200000000000001</v>
      </c>
      <c r="V475">
        <f t="shared" si="408"/>
        <v>0</v>
      </c>
      <c r="W475">
        <f t="shared" si="409"/>
        <v>0</v>
      </c>
      <c r="X475">
        <f t="shared" si="410"/>
        <v>6131.41</v>
      </c>
      <c r="Y475">
        <f t="shared" si="411"/>
        <v>875.92</v>
      </c>
      <c r="AA475">
        <v>-1</v>
      </c>
      <c r="AB475">
        <f t="shared" si="412"/>
        <v>1459.94</v>
      </c>
      <c r="AC475">
        <f>ROUND(((ES475*2)),6)</f>
        <v>0.08</v>
      </c>
      <c r="AD475">
        <f>ROUND(((((ET475*2))-((EU475*2)))+AE475),6)</f>
        <v>0</v>
      </c>
      <c r="AE475">
        <f>ROUND(((EU475*2)),6)</f>
        <v>0</v>
      </c>
      <c r="AF475">
        <f>ROUND(((EV475*2)),6)</f>
        <v>1459.86</v>
      </c>
      <c r="AG475">
        <f t="shared" si="413"/>
        <v>0</v>
      </c>
      <c r="AH475">
        <f>((EW475*2))</f>
        <v>2.2000000000000002</v>
      </c>
      <c r="AI475">
        <f>((EX475*2))</f>
        <v>0</v>
      </c>
      <c r="AJ475">
        <f t="shared" si="414"/>
        <v>0</v>
      </c>
      <c r="AK475">
        <v>729.97</v>
      </c>
      <c r="AL475">
        <v>0.04</v>
      </c>
      <c r="AM475">
        <v>0</v>
      </c>
      <c r="AN475">
        <v>0</v>
      </c>
      <c r="AO475">
        <v>729.93</v>
      </c>
      <c r="AP475">
        <v>0</v>
      </c>
      <c r="AQ475">
        <v>1.1000000000000001</v>
      </c>
      <c r="AR475">
        <v>0</v>
      </c>
      <c r="AS475">
        <v>0</v>
      </c>
      <c r="AT475">
        <v>70</v>
      </c>
      <c r="AU475">
        <v>10</v>
      </c>
      <c r="AV475">
        <v>1</v>
      </c>
      <c r="AW475">
        <v>1</v>
      </c>
      <c r="AZ475">
        <v>1</v>
      </c>
      <c r="BA475">
        <v>1</v>
      </c>
      <c r="BB475">
        <v>1</v>
      </c>
      <c r="BC475">
        <v>1</v>
      </c>
      <c r="BD475" t="s">
        <v>3</v>
      </c>
      <c r="BE475" t="s">
        <v>3</v>
      </c>
      <c r="BF475" t="s">
        <v>3</v>
      </c>
      <c r="BG475" t="s">
        <v>3</v>
      </c>
      <c r="BH475">
        <v>0</v>
      </c>
      <c r="BI475">
        <v>4</v>
      </c>
      <c r="BJ475" t="s">
        <v>347</v>
      </c>
      <c r="BM475">
        <v>0</v>
      </c>
      <c r="BN475">
        <v>0</v>
      </c>
      <c r="BO475" t="s">
        <v>3</v>
      </c>
      <c r="BP475">
        <v>0</v>
      </c>
      <c r="BQ475">
        <v>1</v>
      </c>
      <c r="BR475">
        <v>0</v>
      </c>
      <c r="BS475">
        <v>1</v>
      </c>
      <c r="BT475">
        <v>1</v>
      </c>
      <c r="BU475">
        <v>1</v>
      </c>
      <c r="BV475">
        <v>1</v>
      </c>
      <c r="BW475">
        <v>1</v>
      </c>
      <c r="BX475">
        <v>1</v>
      </c>
      <c r="BY475" t="s">
        <v>3</v>
      </c>
      <c r="BZ475">
        <v>70</v>
      </c>
      <c r="CA475">
        <v>10</v>
      </c>
      <c r="CB475" t="s">
        <v>3</v>
      </c>
      <c r="CE475">
        <v>0</v>
      </c>
      <c r="CF475">
        <v>0</v>
      </c>
      <c r="CG475">
        <v>0</v>
      </c>
      <c r="CM475">
        <v>0</v>
      </c>
      <c r="CN475" t="s">
        <v>3</v>
      </c>
      <c r="CO475">
        <v>0</v>
      </c>
      <c r="CP475">
        <f t="shared" si="415"/>
        <v>8759.64</v>
      </c>
      <c r="CQ475">
        <f t="shared" si="416"/>
        <v>0.08</v>
      </c>
      <c r="CR475">
        <f>(((((ET475*2))*BB475-((EU475*2))*BS475)+AE475*BS475)*AV475)</f>
        <v>0</v>
      </c>
      <c r="CS475">
        <f t="shared" si="417"/>
        <v>0</v>
      </c>
      <c r="CT475">
        <f t="shared" si="418"/>
        <v>1459.86</v>
      </c>
      <c r="CU475">
        <f t="shared" si="419"/>
        <v>0</v>
      </c>
      <c r="CV475">
        <f t="shared" si="420"/>
        <v>2.2000000000000002</v>
      </c>
      <c r="CW475">
        <f t="shared" si="421"/>
        <v>0</v>
      </c>
      <c r="CX475">
        <f t="shared" si="422"/>
        <v>0</v>
      </c>
      <c r="CY475">
        <f t="shared" si="423"/>
        <v>6131.4119999999994</v>
      </c>
      <c r="CZ475">
        <f t="shared" si="424"/>
        <v>875.91600000000005</v>
      </c>
      <c r="DC475" t="s">
        <v>3</v>
      </c>
      <c r="DD475" t="s">
        <v>164</v>
      </c>
      <c r="DE475" t="s">
        <v>164</v>
      </c>
      <c r="DF475" t="s">
        <v>164</v>
      </c>
      <c r="DG475" t="s">
        <v>164</v>
      </c>
      <c r="DH475" t="s">
        <v>3</v>
      </c>
      <c r="DI475" t="s">
        <v>164</v>
      </c>
      <c r="DJ475" t="s">
        <v>164</v>
      </c>
      <c r="DK475" t="s">
        <v>3</v>
      </c>
      <c r="DL475" t="s">
        <v>3</v>
      </c>
      <c r="DM475" t="s">
        <v>3</v>
      </c>
      <c r="DN475">
        <v>0</v>
      </c>
      <c r="DO475">
        <v>0</v>
      </c>
      <c r="DP475">
        <v>1</v>
      </c>
      <c r="DQ475">
        <v>1</v>
      </c>
      <c r="DU475">
        <v>1013</v>
      </c>
      <c r="DV475" t="s">
        <v>322</v>
      </c>
      <c r="DW475" t="s">
        <v>322</v>
      </c>
      <c r="DX475">
        <v>1</v>
      </c>
      <c r="DZ475" t="s">
        <v>3</v>
      </c>
      <c r="EA475" t="s">
        <v>3</v>
      </c>
      <c r="EB475" t="s">
        <v>3</v>
      </c>
      <c r="EC475" t="s">
        <v>3</v>
      </c>
      <c r="EE475">
        <v>1441815344</v>
      </c>
      <c r="EF475">
        <v>1</v>
      </c>
      <c r="EG475" t="s">
        <v>23</v>
      </c>
      <c r="EH475">
        <v>0</v>
      </c>
      <c r="EI475" t="s">
        <v>3</v>
      </c>
      <c r="EJ475">
        <v>4</v>
      </c>
      <c r="EK475">
        <v>0</v>
      </c>
      <c r="EL475" t="s">
        <v>24</v>
      </c>
      <c r="EM475" t="s">
        <v>25</v>
      </c>
      <c r="EO475" t="s">
        <v>3</v>
      </c>
      <c r="EQ475">
        <v>1024</v>
      </c>
      <c r="ER475">
        <v>729.97</v>
      </c>
      <c r="ES475">
        <v>0.04</v>
      </c>
      <c r="ET475">
        <v>0</v>
      </c>
      <c r="EU475">
        <v>0</v>
      </c>
      <c r="EV475">
        <v>729.93</v>
      </c>
      <c r="EW475">
        <v>1.1000000000000001</v>
      </c>
      <c r="EX475">
        <v>0</v>
      </c>
      <c r="EY475">
        <v>0</v>
      </c>
      <c r="FQ475">
        <v>0</v>
      </c>
      <c r="FR475">
        <f t="shared" si="425"/>
        <v>0</v>
      </c>
      <c r="FS475">
        <v>0</v>
      </c>
      <c r="FX475">
        <v>70</v>
      </c>
      <c r="FY475">
        <v>10</v>
      </c>
      <c r="GA475" t="s">
        <v>3</v>
      </c>
      <c r="GD475">
        <v>0</v>
      </c>
      <c r="GF475">
        <v>-767716234</v>
      </c>
      <c r="GG475">
        <v>2</v>
      </c>
      <c r="GH475">
        <v>1</v>
      </c>
      <c r="GI475">
        <v>-2</v>
      </c>
      <c r="GJ475">
        <v>0</v>
      </c>
      <c r="GK475">
        <f>ROUND(R475*(R12)/100,2)</f>
        <v>0</v>
      </c>
      <c r="GL475">
        <f t="shared" si="426"/>
        <v>0</v>
      </c>
      <c r="GM475">
        <f t="shared" si="427"/>
        <v>15766.97</v>
      </c>
      <c r="GN475">
        <f t="shared" si="428"/>
        <v>0</v>
      </c>
      <c r="GO475">
        <f t="shared" si="429"/>
        <v>0</v>
      </c>
      <c r="GP475">
        <f t="shared" si="430"/>
        <v>15766.97</v>
      </c>
      <c r="GR475">
        <v>0</v>
      </c>
      <c r="GS475">
        <v>3</v>
      </c>
      <c r="GT475">
        <v>0</v>
      </c>
      <c r="GU475" t="s">
        <v>3</v>
      </c>
      <c r="GV475">
        <f t="shared" si="431"/>
        <v>0</v>
      </c>
      <c r="GW475">
        <v>1</v>
      </c>
      <c r="GX475">
        <f t="shared" si="432"/>
        <v>0</v>
      </c>
      <c r="HA475">
        <v>0</v>
      </c>
      <c r="HB475">
        <v>0</v>
      </c>
      <c r="HC475">
        <f t="shared" si="433"/>
        <v>0</v>
      </c>
      <c r="HE475" t="s">
        <v>3</v>
      </c>
      <c r="HF475" t="s">
        <v>3</v>
      </c>
      <c r="HM475" t="s">
        <v>3</v>
      </c>
      <c r="HN475" t="s">
        <v>3</v>
      </c>
      <c r="HO475" t="s">
        <v>3</v>
      </c>
      <c r="HP475" t="s">
        <v>3</v>
      </c>
      <c r="HQ475" t="s">
        <v>3</v>
      </c>
      <c r="IK475">
        <v>0</v>
      </c>
    </row>
    <row r="476" spans="1:245" x14ac:dyDescent="0.2">
      <c r="A476">
        <v>17</v>
      </c>
      <c r="B476">
        <v>1</v>
      </c>
      <c r="D476">
        <f>ROW(EtalonRes!A405)</f>
        <v>405</v>
      </c>
      <c r="E476" t="s">
        <v>3</v>
      </c>
      <c r="F476" t="s">
        <v>382</v>
      </c>
      <c r="G476" t="s">
        <v>383</v>
      </c>
      <c r="H476" t="s">
        <v>322</v>
      </c>
      <c r="I476">
        <v>2</v>
      </c>
      <c r="J476">
        <v>0</v>
      </c>
      <c r="K476">
        <v>2</v>
      </c>
      <c r="O476">
        <f t="shared" si="401"/>
        <v>35512.410000000003</v>
      </c>
      <c r="P476">
        <f t="shared" si="402"/>
        <v>932.97</v>
      </c>
      <c r="Q476">
        <f t="shared" si="403"/>
        <v>0</v>
      </c>
      <c r="R476">
        <f t="shared" si="404"/>
        <v>0</v>
      </c>
      <c r="S476">
        <f t="shared" si="405"/>
        <v>34579.440000000002</v>
      </c>
      <c r="T476">
        <f t="shared" si="406"/>
        <v>0</v>
      </c>
      <c r="U476">
        <f t="shared" si="407"/>
        <v>56</v>
      </c>
      <c r="V476">
        <f t="shared" si="408"/>
        <v>0</v>
      </c>
      <c r="W476">
        <f t="shared" si="409"/>
        <v>0</v>
      </c>
      <c r="X476">
        <f t="shared" si="410"/>
        <v>24205.61</v>
      </c>
      <c r="Y476">
        <f t="shared" si="411"/>
        <v>3457.94</v>
      </c>
      <c r="AA476">
        <v>-1</v>
      </c>
      <c r="AB476">
        <f t="shared" si="412"/>
        <v>17756.206666999999</v>
      </c>
      <c r="AC476">
        <f>ROUND((((ES476/12)*8)),6)</f>
        <v>466.48666700000001</v>
      </c>
      <c r="AD476">
        <f>ROUND((((((ET476/12)*8))-(((EU476/12)*8)))+AE476),6)</f>
        <v>0</v>
      </c>
      <c r="AE476">
        <f>ROUND((((EU476/12)*8)),6)</f>
        <v>0</v>
      </c>
      <c r="AF476">
        <f>ROUND((((EV476/12)*8)),6)</f>
        <v>17289.72</v>
      </c>
      <c r="AG476">
        <f t="shared" si="413"/>
        <v>0</v>
      </c>
      <c r="AH476">
        <f>(((EW476/12)*8))</f>
        <v>28</v>
      </c>
      <c r="AI476">
        <f>(((EX476/12)*8))</f>
        <v>0</v>
      </c>
      <c r="AJ476">
        <f t="shared" si="414"/>
        <v>0</v>
      </c>
      <c r="AK476">
        <v>26634.31</v>
      </c>
      <c r="AL476">
        <v>699.73</v>
      </c>
      <c r="AM476">
        <v>0</v>
      </c>
      <c r="AN476">
        <v>0</v>
      </c>
      <c r="AO476">
        <v>25934.58</v>
      </c>
      <c r="AP476">
        <v>0</v>
      </c>
      <c r="AQ476">
        <v>42</v>
      </c>
      <c r="AR476">
        <v>0</v>
      </c>
      <c r="AS476">
        <v>0</v>
      </c>
      <c r="AT476">
        <v>70</v>
      </c>
      <c r="AU476">
        <v>10</v>
      </c>
      <c r="AV476">
        <v>1</v>
      </c>
      <c r="AW476">
        <v>1</v>
      </c>
      <c r="AZ476">
        <v>1</v>
      </c>
      <c r="BA476">
        <v>1</v>
      </c>
      <c r="BB476">
        <v>1</v>
      </c>
      <c r="BC476">
        <v>1</v>
      </c>
      <c r="BD476" t="s">
        <v>3</v>
      </c>
      <c r="BE476" t="s">
        <v>3</v>
      </c>
      <c r="BF476" t="s">
        <v>3</v>
      </c>
      <c r="BG476" t="s">
        <v>3</v>
      </c>
      <c r="BH476">
        <v>0</v>
      </c>
      <c r="BI476">
        <v>4</v>
      </c>
      <c r="BJ476" t="s">
        <v>384</v>
      </c>
      <c r="BM476">
        <v>0</v>
      </c>
      <c r="BN476">
        <v>0</v>
      </c>
      <c r="BO476" t="s">
        <v>3</v>
      </c>
      <c r="BP476">
        <v>0</v>
      </c>
      <c r="BQ476">
        <v>1</v>
      </c>
      <c r="BR476">
        <v>0</v>
      </c>
      <c r="BS476">
        <v>1</v>
      </c>
      <c r="BT476">
        <v>1</v>
      </c>
      <c r="BU476">
        <v>1</v>
      </c>
      <c r="BV476">
        <v>1</v>
      </c>
      <c r="BW476">
        <v>1</v>
      </c>
      <c r="BX476">
        <v>1</v>
      </c>
      <c r="BY476" t="s">
        <v>3</v>
      </c>
      <c r="BZ476">
        <v>70</v>
      </c>
      <c r="CA476">
        <v>10</v>
      </c>
      <c r="CB476" t="s">
        <v>3</v>
      </c>
      <c r="CE476">
        <v>0</v>
      </c>
      <c r="CF476">
        <v>0</v>
      </c>
      <c r="CG476">
        <v>0</v>
      </c>
      <c r="CM476">
        <v>0</v>
      </c>
      <c r="CN476" t="s">
        <v>3</v>
      </c>
      <c r="CO476">
        <v>0</v>
      </c>
      <c r="CP476">
        <f t="shared" si="415"/>
        <v>35512.410000000003</v>
      </c>
      <c r="CQ476">
        <f t="shared" si="416"/>
        <v>466.48666700000001</v>
      </c>
      <c r="CR476">
        <f>((((((ET476/12)*8))*BB476-(((EU476/12)*8))*BS476)+AE476*BS476)*AV476)</f>
        <v>0</v>
      </c>
      <c r="CS476">
        <f t="shared" si="417"/>
        <v>0</v>
      </c>
      <c r="CT476">
        <f t="shared" si="418"/>
        <v>17289.72</v>
      </c>
      <c r="CU476">
        <f t="shared" si="419"/>
        <v>0</v>
      </c>
      <c r="CV476">
        <f t="shared" si="420"/>
        <v>28</v>
      </c>
      <c r="CW476">
        <f t="shared" si="421"/>
        <v>0</v>
      </c>
      <c r="CX476">
        <f t="shared" si="422"/>
        <v>0</v>
      </c>
      <c r="CY476">
        <f t="shared" si="423"/>
        <v>24205.608000000004</v>
      </c>
      <c r="CZ476">
        <f t="shared" si="424"/>
        <v>3457.9440000000004</v>
      </c>
      <c r="DC476" t="s">
        <v>3</v>
      </c>
      <c r="DD476" t="s">
        <v>324</v>
      </c>
      <c r="DE476" t="s">
        <v>324</v>
      </c>
      <c r="DF476" t="s">
        <v>324</v>
      </c>
      <c r="DG476" t="s">
        <v>324</v>
      </c>
      <c r="DH476" t="s">
        <v>3</v>
      </c>
      <c r="DI476" t="s">
        <v>324</v>
      </c>
      <c r="DJ476" t="s">
        <v>324</v>
      </c>
      <c r="DK476" t="s">
        <v>3</v>
      </c>
      <c r="DL476" t="s">
        <v>3</v>
      </c>
      <c r="DM476" t="s">
        <v>3</v>
      </c>
      <c r="DN476">
        <v>0</v>
      </c>
      <c r="DO476">
        <v>0</v>
      </c>
      <c r="DP476">
        <v>1</v>
      </c>
      <c r="DQ476">
        <v>1</v>
      </c>
      <c r="DU476">
        <v>1013</v>
      </c>
      <c r="DV476" t="s">
        <v>322</v>
      </c>
      <c r="DW476" t="s">
        <v>322</v>
      </c>
      <c r="DX476">
        <v>1</v>
      </c>
      <c r="DZ476" t="s">
        <v>3</v>
      </c>
      <c r="EA476" t="s">
        <v>3</v>
      </c>
      <c r="EB476" t="s">
        <v>3</v>
      </c>
      <c r="EC476" t="s">
        <v>3</v>
      </c>
      <c r="EE476">
        <v>1441815344</v>
      </c>
      <c r="EF476">
        <v>1</v>
      </c>
      <c r="EG476" t="s">
        <v>23</v>
      </c>
      <c r="EH476">
        <v>0</v>
      </c>
      <c r="EI476" t="s">
        <v>3</v>
      </c>
      <c r="EJ476">
        <v>4</v>
      </c>
      <c r="EK476">
        <v>0</v>
      </c>
      <c r="EL476" t="s">
        <v>24</v>
      </c>
      <c r="EM476" t="s">
        <v>25</v>
      </c>
      <c r="EO476" t="s">
        <v>3</v>
      </c>
      <c r="EQ476">
        <v>1024</v>
      </c>
      <c r="ER476">
        <v>26634.31</v>
      </c>
      <c r="ES476">
        <v>699.73</v>
      </c>
      <c r="ET476">
        <v>0</v>
      </c>
      <c r="EU476">
        <v>0</v>
      </c>
      <c r="EV476">
        <v>25934.58</v>
      </c>
      <c r="EW476">
        <v>42</v>
      </c>
      <c r="EX476">
        <v>0</v>
      </c>
      <c r="EY476">
        <v>0</v>
      </c>
      <c r="FQ476">
        <v>0</v>
      </c>
      <c r="FR476">
        <f t="shared" si="425"/>
        <v>0</v>
      </c>
      <c r="FS476">
        <v>0</v>
      </c>
      <c r="FX476">
        <v>70</v>
      </c>
      <c r="FY476">
        <v>10</v>
      </c>
      <c r="GA476" t="s">
        <v>3</v>
      </c>
      <c r="GD476">
        <v>0</v>
      </c>
      <c r="GF476">
        <v>1586643456</v>
      </c>
      <c r="GG476">
        <v>2</v>
      </c>
      <c r="GH476">
        <v>1</v>
      </c>
      <c r="GI476">
        <v>-2</v>
      </c>
      <c r="GJ476">
        <v>0</v>
      </c>
      <c r="GK476">
        <f>ROUND(R476*(R12)/100,2)</f>
        <v>0</v>
      </c>
      <c r="GL476">
        <f t="shared" si="426"/>
        <v>0</v>
      </c>
      <c r="GM476">
        <f t="shared" si="427"/>
        <v>63175.96</v>
      </c>
      <c r="GN476">
        <f t="shared" si="428"/>
        <v>0</v>
      </c>
      <c r="GO476">
        <f t="shared" si="429"/>
        <v>0</v>
      </c>
      <c r="GP476">
        <f t="shared" si="430"/>
        <v>63175.96</v>
      </c>
      <c r="GR476">
        <v>0</v>
      </c>
      <c r="GS476">
        <v>3</v>
      </c>
      <c r="GT476">
        <v>0</v>
      </c>
      <c r="GU476" t="s">
        <v>3</v>
      </c>
      <c r="GV476">
        <f t="shared" si="431"/>
        <v>0</v>
      </c>
      <c r="GW476">
        <v>1</v>
      </c>
      <c r="GX476">
        <f t="shared" si="432"/>
        <v>0</v>
      </c>
      <c r="HA476">
        <v>0</v>
      </c>
      <c r="HB476">
        <v>0</v>
      </c>
      <c r="HC476">
        <f t="shared" si="433"/>
        <v>0</v>
      </c>
      <c r="HE476" t="s">
        <v>3</v>
      </c>
      <c r="HF476" t="s">
        <v>3</v>
      </c>
      <c r="HM476" t="s">
        <v>3</v>
      </c>
      <c r="HN476" t="s">
        <v>3</v>
      </c>
      <c r="HO476" t="s">
        <v>3</v>
      </c>
      <c r="HP476" t="s">
        <v>3</v>
      </c>
      <c r="HQ476" t="s">
        <v>3</v>
      </c>
      <c r="IK476">
        <v>0</v>
      </c>
    </row>
    <row r="477" spans="1:245" x14ac:dyDescent="0.2">
      <c r="A477">
        <v>17</v>
      </c>
      <c r="B477">
        <v>1</v>
      </c>
      <c r="D477">
        <f>ROW(EtalonRes!A409)</f>
        <v>409</v>
      </c>
      <c r="E477" t="s">
        <v>3</v>
      </c>
      <c r="F477" t="s">
        <v>325</v>
      </c>
      <c r="G477" t="s">
        <v>326</v>
      </c>
      <c r="H477" t="s">
        <v>322</v>
      </c>
      <c r="I477">
        <v>2</v>
      </c>
      <c r="J477">
        <v>0</v>
      </c>
      <c r="K477">
        <v>2</v>
      </c>
      <c r="O477">
        <f t="shared" si="401"/>
        <v>9494.14</v>
      </c>
      <c r="P477">
        <f t="shared" si="402"/>
        <v>26.98</v>
      </c>
      <c r="Q477">
        <f t="shared" si="403"/>
        <v>17.86</v>
      </c>
      <c r="R477">
        <f t="shared" si="404"/>
        <v>0.24</v>
      </c>
      <c r="S477">
        <f t="shared" si="405"/>
        <v>9449.2999999999993</v>
      </c>
      <c r="T477">
        <f t="shared" si="406"/>
        <v>0</v>
      </c>
      <c r="U477">
        <f t="shared" si="407"/>
        <v>14.24</v>
      </c>
      <c r="V477">
        <f t="shared" si="408"/>
        <v>0</v>
      </c>
      <c r="W477">
        <f t="shared" si="409"/>
        <v>0</v>
      </c>
      <c r="X477">
        <f t="shared" si="410"/>
        <v>6614.51</v>
      </c>
      <c r="Y477">
        <f t="shared" si="411"/>
        <v>944.93</v>
      </c>
      <c r="AA477">
        <v>-1</v>
      </c>
      <c r="AB477">
        <f t="shared" si="412"/>
        <v>4747.07</v>
      </c>
      <c r="AC477">
        <f>ROUND((ES477),6)</f>
        <v>13.49</v>
      </c>
      <c r="AD477">
        <f>ROUND((((ET477)-(EU477))+AE477),6)</f>
        <v>8.93</v>
      </c>
      <c r="AE477">
        <f>ROUND((EU477),6)</f>
        <v>0.12</v>
      </c>
      <c r="AF477">
        <f>ROUND((EV477),6)</f>
        <v>4724.6499999999996</v>
      </c>
      <c r="AG477">
        <f t="shared" si="413"/>
        <v>0</v>
      </c>
      <c r="AH477">
        <f>(EW477)</f>
        <v>7.12</v>
      </c>
      <c r="AI477">
        <f>(EX477)</f>
        <v>0</v>
      </c>
      <c r="AJ477">
        <f t="shared" si="414"/>
        <v>0</v>
      </c>
      <c r="AK477">
        <v>4747.07</v>
      </c>
      <c r="AL477">
        <v>13.49</v>
      </c>
      <c r="AM477">
        <v>8.93</v>
      </c>
      <c r="AN477">
        <v>0.12</v>
      </c>
      <c r="AO477">
        <v>4724.6499999999996</v>
      </c>
      <c r="AP477">
        <v>0</v>
      </c>
      <c r="AQ477">
        <v>7.12</v>
      </c>
      <c r="AR477">
        <v>0</v>
      </c>
      <c r="AS477">
        <v>0</v>
      </c>
      <c r="AT477">
        <v>70</v>
      </c>
      <c r="AU477">
        <v>10</v>
      </c>
      <c r="AV477">
        <v>1</v>
      </c>
      <c r="AW477">
        <v>1</v>
      </c>
      <c r="AZ477">
        <v>1</v>
      </c>
      <c r="BA477">
        <v>1</v>
      </c>
      <c r="BB477">
        <v>1</v>
      </c>
      <c r="BC477">
        <v>1</v>
      </c>
      <c r="BD477" t="s">
        <v>3</v>
      </c>
      <c r="BE477" t="s">
        <v>3</v>
      </c>
      <c r="BF477" t="s">
        <v>3</v>
      </c>
      <c r="BG477" t="s">
        <v>3</v>
      </c>
      <c r="BH477">
        <v>0</v>
      </c>
      <c r="BI477">
        <v>4</v>
      </c>
      <c r="BJ477" t="s">
        <v>327</v>
      </c>
      <c r="BM477">
        <v>0</v>
      </c>
      <c r="BN477">
        <v>0</v>
      </c>
      <c r="BO477" t="s">
        <v>3</v>
      </c>
      <c r="BP477">
        <v>0</v>
      </c>
      <c r="BQ477">
        <v>1</v>
      </c>
      <c r="BR477">
        <v>0</v>
      </c>
      <c r="BS477">
        <v>1</v>
      </c>
      <c r="BT477">
        <v>1</v>
      </c>
      <c r="BU477">
        <v>1</v>
      </c>
      <c r="BV477">
        <v>1</v>
      </c>
      <c r="BW477">
        <v>1</v>
      </c>
      <c r="BX477">
        <v>1</v>
      </c>
      <c r="BY477" t="s">
        <v>3</v>
      </c>
      <c r="BZ477">
        <v>70</v>
      </c>
      <c r="CA477">
        <v>10</v>
      </c>
      <c r="CB477" t="s">
        <v>3</v>
      </c>
      <c r="CE477">
        <v>0</v>
      </c>
      <c r="CF477">
        <v>0</v>
      </c>
      <c r="CG477">
        <v>0</v>
      </c>
      <c r="CM477">
        <v>0</v>
      </c>
      <c r="CN477" t="s">
        <v>3</v>
      </c>
      <c r="CO477">
        <v>0</v>
      </c>
      <c r="CP477">
        <f t="shared" si="415"/>
        <v>9494.14</v>
      </c>
      <c r="CQ477">
        <f t="shared" si="416"/>
        <v>13.49</v>
      </c>
      <c r="CR477">
        <f>((((ET477)*BB477-(EU477)*BS477)+AE477*BS477)*AV477)</f>
        <v>8.93</v>
      </c>
      <c r="CS477">
        <f t="shared" si="417"/>
        <v>0.12</v>
      </c>
      <c r="CT477">
        <f t="shared" si="418"/>
        <v>4724.6499999999996</v>
      </c>
      <c r="CU477">
        <f t="shared" si="419"/>
        <v>0</v>
      </c>
      <c r="CV477">
        <f t="shared" si="420"/>
        <v>7.12</v>
      </c>
      <c r="CW477">
        <f t="shared" si="421"/>
        <v>0</v>
      </c>
      <c r="CX477">
        <f t="shared" si="422"/>
        <v>0</v>
      </c>
      <c r="CY477">
        <f t="shared" si="423"/>
        <v>6614.51</v>
      </c>
      <c r="CZ477">
        <f t="shared" si="424"/>
        <v>944.93</v>
      </c>
      <c r="DC477" t="s">
        <v>3</v>
      </c>
      <c r="DD477" t="s">
        <v>3</v>
      </c>
      <c r="DE477" t="s">
        <v>3</v>
      </c>
      <c r="DF477" t="s">
        <v>3</v>
      </c>
      <c r="DG477" t="s">
        <v>3</v>
      </c>
      <c r="DH477" t="s">
        <v>3</v>
      </c>
      <c r="DI477" t="s">
        <v>3</v>
      </c>
      <c r="DJ477" t="s">
        <v>3</v>
      </c>
      <c r="DK477" t="s">
        <v>3</v>
      </c>
      <c r="DL477" t="s">
        <v>3</v>
      </c>
      <c r="DM477" t="s">
        <v>3</v>
      </c>
      <c r="DN477">
        <v>0</v>
      </c>
      <c r="DO477">
        <v>0</v>
      </c>
      <c r="DP477">
        <v>1</v>
      </c>
      <c r="DQ477">
        <v>1</v>
      </c>
      <c r="DU477">
        <v>1013</v>
      </c>
      <c r="DV477" t="s">
        <v>322</v>
      </c>
      <c r="DW477" t="s">
        <v>322</v>
      </c>
      <c r="DX477">
        <v>1</v>
      </c>
      <c r="DZ477" t="s">
        <v>3</v>
      </c>
      <c r="EA477" t="s">
        <v>3</v>
      </c>
      <c r="EB477" t="s">
        <v>3</v>
      </c>
      <c r="EC477" t="s">
        <v>3</v>
      </c>
      <c r="EE477">
        <v>1441815344</v>
      </c>
      <c r="EF477">
        <v>1</v>
      </c>
      <c r="EG477" t="s">
        <v>23</v>
      </c>
      <c r="EH477">
        <v>0</v>
      </c>
      <c r="EI477" t="s">
        <v>3</v>
      </c>
      <c r="EJ477">
        <v>4</v>
      </c>
      <c r="EK477">
        <v>0</v>
      </c>
      <c r="EL477" t="s">
        <v>24</v>
      </c>
      <c r="EM477" t="s">
        <v>25</v>
      </c>
      <c r="EO477" t="s">
        <v>3</v>
      </c>
      <c r="EQ477">
        <v>1311744</v>
      </c>
      <c r="ER477">
        <v>4747.07</v>
      </c>
      <c r="ES477">
        <v>13.49</v>
      </c>
      <c r="ET477">
        <v>8.93</v>
      </c>
      <c r="EU477">
        <v>0.12</v>
      </c>
      <c r="EV477">
        <v>4724.6499999999996</v>
      </c>
      <c r="EW477">
        <v>7.12</v>
      </c>
      <c r="EX477">
        <v>0</v>
      </c>
      <c r="EY477">
        <v>0</v>
      </c>
      <c r="FQ477">
        <v>0</v>
      </c>
      <c r="FR477">
        <f t="shared" si="425"/>
        <v>0</v>
      </c>
      <c r="FS477">
        <v>0</v>
      </c>
      <c r="FX477">
        <v>70</v>
      </c>
      <c r="FY477">
        <v>10</v>
      </c>
      <c r="GA477" t="s">
        <v>3</v>
      </c>
      <c r="GD477">
        <v>0</v>
      </c>
      <c r="GF477">
        <v>867836691</v>
      </c>
      <c r="GG477">
        <v>2</v>
      </c>
      <c r="GH477">
        <v>1</v>
      </c>
      <c r="GI477">
        <v>-2</v>
      </c>
      <c r="GJ477">
        <v>0</v>
      </c>
      <c r="GK477">
        <f>ROUND(R477*(R12)/100,2)</f>
        <v>0.26</v>
      </c>
      <c r="GL477">
        <f t="shared" si="426"/>
        <v>0</v>
      </c>
      <c r="GM477">
        <f t="shared" si="427"/>
        <v>17053.84</v>
      </c>
      <c r="GN477">
        <f t="shared" si="428"/>
        <v>0</v>
      </c>
      <c r="GO477">
        <f t="shared" si="429"/>
        <v>0</v>
      </c>
      <c r="GP477">
        <f t="shared" si="430"/>
        <v>17053.84</v>
      </c>
      <c r="GR477">
        <v>0</v>
      </c>
      <c r="GS477">
        <v>3</v>
      </c>
      <c r="GT477">
        <v>0</v>
      </c>
      <c r="GU477" t="s">
        <v>3</v>
      </c>
      <c r="GV477">
        <f t="shared" si="431"/>
        <v>0</v>
      </c>
      <c r="GW477">
        <v>1</v>
      </c>
      <c r="GX477">
        <f t="shared" si="432"/>
        <v>0</v>
      </c>
      <c r="HA477">
        <v>0</v>
      </c>
      <c r="HB477">
        <v>0</v>
      </c>
      <c r="HC477">
        <f t="shared" si="433"/>
        <v>0</v>
      </c>
      <c r="HE477" t="s">
        <v>3</v>
      </c>
      <c r="HF477" t="s">
        <v>3</v>
      </c>
      <c r="HM477" t="s">
        <v>3</v>
      </c>
      <c r="HN477" t="s">
        <v>3</v>
      </c>
      <c r="HO477" t="s">
        <v>3</v>
      </c>
      <c r="HP477" t="s">
        <v>3</v>
      </c>
      <c r="HQ477" t="s">
        <v>3</v>
      </c>
      <c r="IK477">
        <v>0</v>
      </c>
    </row>
    <row r="478" spans="1:245" x14ac:dyDescent="0.2">
      <c r="A478">
        <v>17</v>
      </c>
      <c r="B478">
        <v>1</v>
      </c>
      <c r="D478">
        <f>ROW(EtalonRes!A412)</f>
        <v>412</v>
      </c>
      <c r="E478" t="s">
        <v>385</v>
      </c>
      <c r="F478" t="s">
        <v>329</v>
      </c>
      <c r="G478" t="s">
        <v>330</v>
      </c>
      <c r="H478" t="s">
        <v>322</v>
      </c>
      <c r="I478">
        <v>2</v>
      </c>
      <c r="J478">
        <v>0</v>
      </c>
      <c r="K478">
        <v>2</v>
      </c>
      <c r="O478">
        <f t="shared" si="401"/>
        <v>8382</v>
      </c>
      <c r="P478">
        <f t="shared" si="402"/>
        <v>40.32</v>
      </c>
      <c r="Q478">
        <f t="shared" si="403"/>
        <v>7.16</v>
      </c>
      <c r="R478">
        <f t="shared" si="404"/>
        <v>0.08</v>
      </c>
      <c r="S478">
        <f t="shared" si="405"/>
        <v>8334.52</v>
      </c>
      <c r="T478">
        <f t="shared" si="406"/>
        <v>0</v>
      </c>
      <c r="U478">
        <f t="shared" si="407"/>
        <v>12.56</v>
      </c>
      <c r="V478">
        <f t="shared" si="408"/>
        <v>0</v>
      </c>
      <c r="W478">
        <f t="shared" si="409"/>
        <v>0</v>
      </c>
      <c r="X478">
        <f t="shared" si="410"/>
        <v>5834.16</v>
      </c>
      <c r="Y478">
        <f t="shared" si="411"/>
        <v>833.45</v>
      </c>
      <c r="AA478">
        <v>1472224561</v>
      </c>
      <c r="AB478">
        <f t="shared" si="412"/>
        <v>4191</v>
      </c>
      <c r="AC478">
        <f>ROUND(((ES478*2)),6)</f>
        <v>20.16</v>
      </c>
      <c r="AD478">
        <f>ROUND(((((ET478*2))-((EU478*2)))+AE478),6)</f>
        <v>3.58</v>
      </c>
      <c r="AE478">
        <f t="shared" ref="AE478:AF480" si="434">ROUND(((EU478*2)),6)</f>
        <v>0.04</v>
      </c>
      <c r="AF478">
        <f t="shared" si="434"/>
        <v>4167.26</v>
      </c>
      <c r="AG478">
        <f t="shared" si="413"/>
        <v>0</v>
      </c>
      <c r="AH478">
        <f t="shared" ref="AH478:AI480" si="435">((EW478*2))</f>
        <v>6.28</v>
      </c>
      <c r="AI478">
        <f t="shared" si="435"/>
        <v>0</v>
      </c>
      <c r="AJ478">
        <f t="shared" si="414"/>
        <v>0</v>
      </c>
      <c r="AK478">
        <v>2095.5</v>
      </c>
      <c r="AL478">
        <v>10.08</v>
      </c>
      <c r="AM478">
        <v>1.79</v>
      </c>
      <c r="AN478">
        <v>0.02</v>
      </c>
      <c r="AO478">
        <v>2083.63</v>
      </c>
      <c r="AP478">
        <v>0</v>
      </c>
      <c r="AQ478">
        <v>3.14</v>
      </c>
      <c r="AR478">
        <v>0</v>
      </c>
      <c r="AS478">
        <v>0</v>
      </c>
      <c r="AT478">
        <v>70</v>
      </c>
      <c r="AU478">
        <v>10</v>
      </c>
      <c r="AV478">
        <v>1</v>
      </c>
      <c r="AW478">
        <v>1</v>
      </c>
      <c r="AZ478">
        <v>1</v>
      </c>
      <c r="BA478">
        <v>1</v>
      </c>
      <c r="BB478">
        <v>1</v>
      </c>
      <c r="BC478">
        <v>1</v>
      </c>
      <c r="BD478" t="s">
        <v>3</v>
      </c>
      <c r="BE478" t="s">
        <v>3</v>
      </c>
      <c r="BF478" t="s">
        <v>3</v>
      </c>
      <c r="BG478" t="s">
        <v>3</v>
      </c>
      <c r="BH478">
        <v>0</v>
      </c>
      <c r="BI478">
        <v>4</v>
      </c>
      <c r="BJ478" t="s">
        <v>331</v>
      </c>
      <c r="BM478">
        <v>0</v>
      </c>
      <c r="BN478">
        <v>0</v>
      </c>
      <c r="BO478" t="s">
        <v>3</v>
      </c>
      <c r="BP478">
        <v>0</v>
      </c>
      <c r="BQ478">
        <v>1</v>
      </c>
      <c r="BR478">
        <v>0</v>
      </c>
      <c r="BS478">
        <v>1</v>
      </c>
      <c r="BT478">
        <v>1</v>
      </c>
      <c r="BU478">
        <v>1</v>
      </c>
      <c r="BV478">
        <v>1</v>
      </c>
      <c r="BW478">
        <v>1</v>
      </c>
      <c r="BX478">
        <v>1</v>
      </c>
      <c r="BY478" t="s">
        <v>3</v>
      </c>
      <c r="BZ478">
        <v>70</v>
      </c>
      <c r="CA478">
        <v>10</v>
      </c>
      <c r="CB478" t="s">
        <v>3</v>
      </c>
      <c r="CE478">
        <v>0</v>
      </c>
      <c r="CF478">
        <v>0</v>
      </c>
      <c r="CG478">
        <v>0</v>
      </c>
      <c r="CM478">
        <v>0</v>
      </c>
      <c r="CN478" t="s">
        <v>3</v>
      </c>
      <c r="CO478">
        <v>0</v>
      </c>
      <c r="CP478">
        <f t="shared" si="415"/>
        <v>8382</v>
      </c>
      <c r="CQ478">
        <f t="shared" si="416"/>
        <v>20.16</v>
      </c>
      <c r="CR478">
        <f>(((((ET478*2))*BB478-((EU478*2))*BS478)+AE478*BS478)*AV478)</f>
        <v>3.58</v>
      </c>
      <c r="CS478">
        <f t="shared" si="417"/>
        <v>0.04</v>
      </c>
      <c r="CT478">
        <f t="shared" si="418"/>
        <v>4167.26</v>
      </c>
      <c r="CU478">
        <f t="shared" si="419"/>
        <v>0</v>
      </c>
      <c r="CV478">
        <f t="shared" si="420"/>
        <v>6.28</v>
      </c>
      <c r="CW478">
        <f t="shared" si="421"/>
        <v>0</v>
      </c>
      <c r="CX478">
        <f t="shared" si="422"/>
        <v>0</v>
      </c>
      <c r="CY478">
        <f t="shared" si="423"/>
        <v>5834.1640000000007</v>
      </c>
      <c r="CZ478">
        <f t="shared" si="424"/>
        <v>833.45200000000011</v>
      </c>
      <c r="DC478" t="s">
        <v>3</v>
      </c>
      <c r="DD478" t="s">
        <v>164</v>
      </c>
      <c r="DE478" t="s">
        <v>164</v>
      </c>
      <c r="DF478" t="s">
        <v>164</v>
      </c>
      <c r="DG478" t="s">
        <v>164</v>
      </c>
      <c r="DH478" t="s">
        <v>3</v>
      </c>
      <c r="DI478" t="s">
        <v>164</v>
      </c>
      <c r="DJ478" t="s">
        <v>164</v>
      </c>
      <c r="DK478" t="s">
        <v>3</v>
      </c>
      <c r="DL478" t="s">
        <v>3</v>
      </c>
      <c r="DM478" t="s">
        <v>3</v>
      </c>
      <c r="DN478">
        <v>0</v>
      </c>
      <c r="DO478">
        <v>0</v>
      </c>
      <c r="DP478">
        <v>1</v>
      </c>
      <c r="DQ478">
        <v>1</v>
      </c>
      <c r="DU478">
        <v>1013</v>
      </c>
      <c r="DV478" t="s">
        <v>322</v>
      </c>
      <c r="DW478" t="s">
        <v>322</v>
      </c>
      <c r="DX478">
        <v>1</v>
      </c>
      <c r="DZ478" t="s">
        <v>3</v>
      </c>
      <c r="EA478" t="s">
        <v>3</v>
      </c>
      <c r="EB478" t="s">
        <v>3</v>
      </c>
      <c r="EC478" t="s">
        <v>3</v>
      </c>
      <c r="EE478">
        <v>1441815344</v>
      </c>
      <c r="EF478">
        <v>1</v>
      </c>
      <c r="EG478" t="s">
        <v>23</v>
      </c>
      <c r="EH478">
        <v>0</v>
      </c>
      <c r="EI478" t="s">
        <v>3</v>
      </c>
      <c r="EJ478">
        <v>4</v>
      </c>
      <c r="EK478">
        <v>0</v>
      </c>
      <c r="EL478" t="s">
        <v>24</v>
      </c>
      <c r="EM478" t="s">
        <v>25</v>
      </c>
      <c r="EO478" t="s">
        <v>3</v>
      </c>
      <c r="EQ478">
        <v>0</v>
      </c>
      <c r="ER478">
        <v>2095.5</v>
      </c>
      <c r="ES478">
        <v>10.08</v>
      </c>
      <c r="ET478">
        <v>1.79</v>
      </c>
      <c r="EU478">
        <v>0.02</v>
      </c>
      <c r="EV478">
        <v>2083.63</v>
      </c>
      <c r="EW478">
        <v>3.14</v>
      </c>
      <c r="EX478">
        <v>0</v>
      </c>
      <c r="EY478">
        <v>0</v>
      </c>
      <c r="FQ478">
        <v>0</v>
      </c>
      <c r="FR478">
        <f t="shared" si="425"/>
        <v>0</v>
      </c>
      <c r="FS478">
        <v>0</v>
      </c>
      <c r="FX478">
        <v>70</v>
      </c>
      <c r="FY478">
        <v>10</v>
      </c>
      <c r="GA478" t="s">
        <v>3</v>
      </c>
      <c r="GD478">
        <v>0</v>
      </c>
      <c r="GF478">
        <v>984652662</v>
      </c>
      <c r="GG478">
        <v>2</v>
      </c>
      <c r="GH478">
        <v>1</v>
      </c>
      <c r="GI478">
        <v>-2</v>
      </c>
      <c r="GJ478">
        <v>0</v>
      </c>
      <c r="GK478">
        <f>ROUND(R478*(R12)/100,2)</f>
        <v>0.09</v>
      </c>
      <c r="GL478">
        <f t="shared" si="426"/>
        <v>0</v>
      </c>
      <c r="GM478">
        <f t="shared" si="427"/>
        <v>15049.7</v>
      </c>
      <c r="GN478">
        <f t="shared" si="428"/>
        <v>0</v>
      </c>
      <c r="GO478">
        <f t="shared" si="429"/>
        <v>0</v>
      </c>
      <c r="GP478">
        <f t="shared" si="430"/>
        <v>15049.7</v>
      </c>
      <c r="GR478">
        <v>0</v>
      </c>
      <c r="GS478">
        <v>3</v>
      </c>
      <c r="GT478">
        <v>0</v>
      </c>
      <c r="GU478" t="s">
        <v>3</v>
      </c>
      <c r="GV478">
        <f t="shared" si="431"/>
        <v>0</v>
      </c>
      <c r="GW478">
        <v>1</v>
      </c>
      <c r="GX478">
        <f t="shared" si="432"/>
        <v>0</v>
      </c>
      <c r="HA478">
        <v>0</v>
      </c>
      <c r="HB478">
        <v>0</v>
      </c>
      <c r="HC478">
        <f t="shared" si="433"/>
        <v>0</v>
      </c>
      <c r="HE478" t="s">
        <v>3</v>
      </c>
      <c r="HF478" t="s">
        <v>3</v>
      </c>
      <c r="HM478" t="s">
        <v>3</v>
      </c>
      <c r="HN478" t="s">
        <v>3</v>
      </c>
      <c r="HO478" t="s">
        <v>3</v>
      </c>
      <c r="HP478" t="s">
        <v>3</v>
      </c>
      <c r="HQ478" t="s">
        <v>3</v>
      </c>
      <c r="IK478">
        <v>0</v>
      </c>
    </row>
    <row r="479" spans="1:245" x14ac:dyDescent="0.2">
      <c r="A479">
        <v>17</v>
      </c>
      <c r="B479">
        <v>1</v>
      </c>
      <c r="D479">
        <f>ROW(EtalonRes!A415)</f>
        <v>415</v>
      </c>
      <c r="E479" t="s">
        <v>3</v>
      </c>
      <c r="F479" t="s">
        <v>332</v>
      </c>
      <c r="G479" t="s">
        <v>333</v>
      </c>
      <c r="H479" t="s">
        <v>322</v>
      </c>
      <c r="I479">
        <v>2</v>
      </c>
      <c r="J479">
        <v>0</v>
      </c>
      <c r="K479">
        <v>2</v>
      </c>
      <c r="O479">
        <f t="shared" si="401"/>
        <v>4150.3599999999997</v>
      </c>
      <c r="P479">
        <f t="shared" si="402"/>
        <v>2.52</v>
      </c>
      <c r="Q479">
        <f t="shared" si="403"/>
        <v>7.16</v>
      </c>
      <c r="R479">
        <f t="shared" si="404"/>
        <v>0.08</v>
      </c>
      <c r="S479">
        <f t="shared" si="405"/>
        <v>4140.68</v>
      </c>
      <c r="T479">
        <f t="shared" si="406"/>
        <v>0</v>
      </c>
      <c r="U479">
        <f t="shared" si="407"/>
        <v>6.24</v>
      </c>
      <c r="V479">
        <f t="shared" si="408"/>
        <v>0</v>
      </c>
      <c r="W479">
        <f t="shared" si="409"/>
        <v>0</v>
      </c>
      <c r="X479">
        <f t="shared" si="410"/>
        <v>2898.48</v>
      </c>
      <c r="Y479">
        <f t="shared" si="411"/>
        <v>414.07</v>
      </c>
      <c r="AA479">
        <v>-1</v>
      </c>
      <c r="AB479">
        <f t="shared" si="412"/>
        <v>2075.1799999999998</v>
      </c>
      <c r="AC479">
        <f>ROUND(((ES479*2)),6)</f>
        <v>1.26</v>
      </c>
      <c r="AD479">
        <f>ROUND(((((ET479*2))-((EU479*2)))+AE479),6)</f>
        <v>3.58</v>
      </c>
      <c r="AE479">
        <f t="shared" si="434"/>
        <v>0.04</v>
      </c>
      <c r="AF479">
        <f t="shared" si="434"/>
        <v>2070.34</v>
      </c>
      <c r="AG479">
        <f t="shared" si="413"/>
        <v>0</v>
      </c>
      <c r="AH479">
        <f t="shared" si="435"/>
        <v>3.12</v>
      </c>
      <c r="AI479">
        <f t="shared" si="435"/>
        <v>0</v>
      </c>
      <c r="AJ479">
        <f t="shared" si="414"/>
        <v>0</v>
      </c>
      <c r="AK479">
        <v>1037.5899999999999</v>
      </c>
      <c r="AL479">
        <v>0.63</v>
      </c>
      <c r="AM479">
        <v>1.79</v>
      </c>
      <c r="AN479">
        <v>0.02</v>
      </c>
      <c r="AO479">
        <v>1035.17</v>
      </c>
      <c r="AP479">
        <v>0</v>
      </c>
      <c r="AQ479">
        <v>1.56</v>
      </c>
      <c r="AR479">
        <v>0</v>
      </c>
      <c r="AS479">
        <v>0</v>
      </c>
      <c r="AT479">
        <v>70</v>
      </c>
      <c r="AU479">
        <v>10</v>
      </c>
      <c r="AV479">
        <v>1</v>
      </c>
      <c r="AW479">
        <v>1</v>
      </c>
      <c r="AZ479">
        <v>1</v>
      </c>
      <c r="BA479">
        <v>1</v>
      </c>
      <c r="BB479">
        <v>1</v>
      </c>
      <c r="BC479">
        <v>1</v>
      </c>
      <c r="BD479" t="s">
        <v>3</v>
      </c>
      <c r="BE479" t="s">
        <v>3</v>
      </c>
      <c r="BF479" t="s">
        <v>3</v>
      </c>
      <c r="BG479" t="s">
        <v>3</v>
      </c>
      <c r="BH479">
        <v>0</v>
      </c>
      <c r="BI479">
        <v>4</v>
      </c>
      <c r="BJ479" t="s">
        <v>334</v>
      </c>
      <c r="BM479">
        <v>0</v>
      </c>
      <c r="BN479">
        <v>0</v>
      </c>
      <c r="BO479" t="s">
        <v>3</v>
      </c>
      <c r="BP479">
        <v>0</v>
      </c>
      <c r="BQ479">
        <v>1</v>
      </c>
      <c r="BR479">
        <v>0</v>
      </c>
      <c r="BS479">
        <v>1</v>
      </c>
      <c r="BT479">
        <v>1</v>
      </c>
      <c r="BU479">
        <v>1</v>
      </c>
      <c r="BV479">
        <v>1</v>
      </c>
      <c r="BW479">
        <v>1</v>
      </c>
      <c r="BX479">
        <v>1</v>
      </c>
      <c r="BY479" t="s">
        <v>3</v>
      </c>
      <c r="BZ479">
        <v>70</v>
      </c>
      <c r="CA479">
        <v>10</v>
      </c>
      <c r="CB479" t="s">
        <v>3</v>
      </c>
      <c r="CE479">
        <v>0</v>
      </c>
      <c r="CF479">
        <v>0</v>
      </c>
      <c r="CG479">
        <v>0</v>
      </c>
      <c r="CM479">
        <v>0</v>
      </c>
      <c r="CN479" t="s">
        <v>3</v>
      </c>
      <c r="CO479">
        <v>0</v>
      </c>
      <c r="CP479">
        <f t="shared" si="415"/>
        <v>4150.3600000000006</v>
      </c>
      <c r="CQ479">
        <f t="shared" si="416"/>
        <v>1.26</v>
      </c>
      <c r="CR479">
        <f>(((((ET479*2))*BB479-((EU479*2))*BS479)+AE479*BS479)*AV479)</f>
        <v>3.58</v>
      </c>
      <c r="CS479">
        <f t="shared" si="417"/>
        <v>0.04</v>
      </c>
      <c r="CT479">
        <f t="shared" si="418"/>
        <v>2070.34</v>
      </c>
      <c r="CU479">
        <f t="shared" si="419"/>
        <v>0</v>
      </c>
      <c r="CV479">
        <f t="shared" si="420"/>
        <v>3.12</v>
      </c>
      <c r="CW479">
        <f t="shared" si="421"/>
        <v>0</v>
      </c>
      <c r="CX479">
        <f t="shared" si="422"/>
        <v>0</v>
      </c>
      <c r="CY479">
        <f t="shared" si="423"/>
        <v>2898.4760000000006</v>
      </c>
      <c r="CZ479">
        <f t="shared" si="424"/>
        <v>414.06800000000004</v>
      </c>
      <c r="DC479" t="s">
        <v>3</v>
      </c>
      <c r="DD479" t="s">
        <v>164</v>
      </c>
      <c r="DE479" t="s">
        <v>164</v>
      </c>
      <c r="DF479" t="s">
        <v>164</v>
      </c>
      <c r="DG479" t="s">
        <v>164</v>
      </c>
      <c r="DH479" t="s">
        <v>3</v>
      </c>
      <c r="DI479" t="s">
        <v>164</v>
      </c>
      <c r="DJ479" t="s">
        <v>164</v>
      </c>
      <c r="DK479" t="s">
        <v>3</v>
      </c>
      <c r="DL479" t="s">
        <v>3</v>
      </c>
      <c r="DM479" t="s">
        <v>3</v>
      </c>
      <c r="DN479">
        <v>0</v>
      </c>
      <c r="DO479">
        <v>0</v>
      </c>
      <c r="DP479">
        <v>1</v>
      </c>
      <c r="DQ479">
        <v>1</v>
      </c>
      <c r="DU479">
        <v>1013</v>
      </c>
      <c r="DV479" t="s">
        <v>322</v>
      </c>
      <c r="DW479" t="s">
        <v>322</v>
      </c>
      <c r="DX479">
        <v>1</v>
      </c>
      <c r="DZ479" t="s">
        <v>3</v>
      </c>
      <c r="EA479" t="s">
        <v>3</v>
      </c>
      <c r="EB479" t="s">
        <v>3</v>
      </c>
      <c r="EC479" t="s">
        <v>3</v>
      </c>
      <c r="EE479">
        <v>1441815344</v>
      </c>
      <c r="EF479">
        <v>1</v>
      </c>
      <c r="EG479" t="s">
        <v>23</v>
      </c>
      <c r="EH479">
        <v>0</v>
      </c>
      <c r="EI479" t="s">
        <v>3</v>
      </c>
      <c r="EJ479">
        <v>4</v>
      </c>
      <c r="EK479">
        <v>0</v>
      </c>
      <c r="EL479" t="s">
        <v>24</v>
      </c>
      <c r="EM479" t="s">
        <v>25</v>
      </c>
      <c r="EO479" t="s">
        <v>3</v>
      </c>
      <c r="EQ479">
        <v>1024</v>
      </c>
      <c r="ER479">
        <v>1037.5899999999999</v>
      </c>
      <c r="ES479">
        <v>0.63</v>
      </c>
      <c r="ET479">
        <v>1.79</v>
      </c>
      <c r="EU479">
        <v>0.02</v>
      </c>
      <c r="EV479">
        <v>1035.17</v>
      </c>
      <c r="EW479">
        <v>1.56</v>
      </c>
      <c r="EX479">
        <v>0</v>
      </c>
      <c r="EY479">
        <v>0</v>
      </c>
      <c r="FQ479">
        <v>0</v>
      </c>
      <c r="FR479">
        <f t="shared" si="425"/>
        <v>0</v>
      </c>
      <c r="FS479">
        <v>0</v>
      </c>
      <c r="FX479">
        <v>70</v>
      </c>
      <c r="FY479">
        <v>10</v>
      </c>
      <c r="GA479" t="s">
        <v>3</v>
      </c>
      <c r="GD479">
        <v>0</v>
      </c>
      <c r="GF479">
        <v>1684339458</v>
      </c>
      <c r="GG479">
        <v>2</v>
      </c>
      <c r="GH479">
        <v>1</v>
      </c>
      <c r="GI479">
        <v>-2</v>
      </c>
      <c r="GJ479">
        <v>0</v>
      </c>
      <c r="GK479">
        <f>ROUND(R479*(R12)/100,2)</f>
        <v>0.09</v>
      </c>
      <c r="GL479">
        <f t="shared" si="426"/>
        <v>0</v>
      </c>
      <c r="GM479">
        <f t="shared" si="427"/>
        <v>7463</v>
      </c>
      <c r="GN479">
        <f t="shared" si="428"/>
        <v>0</v>
      </c>
      <c r="GO479">
        <f t="shared" si="429"/>
        <v>0</v>
      </c>
      <c r="GP479">
        <f t="shared" si="430"/>
        <v>7463</v>
      </c>
      <c r="GR479">
        <v>0</v>
      </c>
      <c r="GS479">
        <v>3</v>
      </c>
      <c r="GT479">
        <v>0</v>
      </c>
      <c r="GU479" t="s">
        <v>3</v>
      </c>
      <c r="GV479">
        <f t="shared" si="431"/>
        <v>0</v>
      </c>
      <c r="GW479">
        <v>1</v>
      </c>
      <c r="GX479">
        <f t="shared" si="432"/>
        <v>0</v>
      </c>
      <c r="HA479">
        <v>0</v>
      </c>
      <c r="HB479">
        <v>0</v>
      </c>
      <c r="HC479">
        <f t="shared" si="433"/>
        <v>0</v>
      </c>
      <c r="HE479" t="s">
        <v>3</v>
      </c>
      <c r="HF479" t="s">
        <v>3</v>
      </c>
      <c r="HM479" t="s">
        <v>3</v>
      </c>
      <c r="HN479" t="s">
        <v>3</v>
      </c>
      <c r="HO479" t="s">
        <v>3</v>
      </c>
      <c r="HP479" t="s">
        <v>3</v>
      </c>
      <c r="HQ479" t="s">
        <v>3</v>
      </c>
      <c r="IK479">
        <v>0</v>
      </c>
    </row>
    <row r="480" spans="1:245" x14ac:dyDescent="0.2">
      <c r="A480">
        <v>17</v>
      </c>
      <c r="B480">
        <v>1</v>
      </c>
      <c r="D480">
        <f>ROW(EtalonRes!A416)</f>
        <v>416</v>
      </c>
      <c r="E480" t="s">
        <v>3</v>
      </c>
      <c r="F480" t="s">
        <v>366</v>
      </c>
      <c r="G480" t="s">
        <v>367</v>
      </c>
      <c r="H480" t="s">
        <v>32</v>
      </c>
      <c r="I480">
        <f>ROUND(ROUND(31+7+18+6,9),9)</f>
        <v>62</v>
      </c>
      <c r="J480">
        <v>0</v>
      </c>
      <c r="K480">
        <f>ROUND(ROUND(31+7+18+6,9),9)</f>
        <v>62</v>
      </c>
      <c r="O480">
        <f t="shared" si="401"/>
        <v>25689.08</v>
      </c>
      <c r="P480">
        <f t="shared" si="402"/>
        <v>0</v>
      </c>
      <c r="Q480">
        <f t="shared" si="403"/>
        <v>0</v>
      </c>
      <c r="R480">
        <f t="shared" si="404"/>
        <v>0</v>
      </c>
      <c r="S480">
        <f t="shared" si="405"/>
        <v>25689.08</v>
      </c>
      <c r="T480">
        <f t="shared" si="406"/>
        <v>0</v>
      </c>
      <c r="U480">
        <f t="shared" si="407"/>
        <v>49.6</v>
      </c>
      <c r="V480">
        <f t="shared" si="408"/>
        <v>0</v>
      </c>
      <c r="W480">
        <f t="shared" si="409"/>
        <v>0</v>
      </c>
      <c r="X480">
        <f t="shared" si="410"/>
        <v>17982.36</v>
      </c>
      <c r="Y480">
        <f t="shared" si="411"/>
        <v>2568.91</v>
      </c>
      <c r="AA480">
        <v>-1</v>
      </c>
      <c r="AB480">
        <f t="shared" si="412"/>
        <v>414.34</v>
      </c>
      <c r="AC480">
        <f>ROUND(((ES480*2)),6)</f>
        <v>0</v>
      </c>
      <c r="AD480">
        <f>ROUND(((((ET480*2))-((EU480*2)))+AE480),6)</f>
        <v>0</v>
      </c>
      <c r="AE480">
        <f t="shared" si="434"/>
        <v>0</v>
      </c>
      <c r="AF480">
        <f t="shared" si="434"/>
        <v>414.34</v>
      </c>
      <c r="AG480">
        <f t="shared" si="413"/>
        <v>0</v>
      </c>
      <c r="AH480">
        <f t="shared" si="435"/>
        <v>0.8</v>
      </c>
      <c r="AI480">
        <f t="shared" si="435"/>
        <v>0</v>
      </c>
      <c r="AJ480">
        <f t="shared" si="414"/>
        <v>0</v>
      </c>
      <c r="AK480">
        <v>207.17</v>
      </c>
      <c r="AL480">
        <v>0</v>
      </c>
      <c r="AM480">
        <v>0</v>
      </c>
      <c r="AN480">
        <v>0</v>
      </c>
      <c r="AO480">
        <v>207.17</v>
      </c>
      <c r="AP480">
        <v>0</v>
      </c>
      <c r="AQ480">
        <v>0.4</v>
      </c>
      <c r="AR480">
        <v>0</v>
      </c>
      <c r="AS480">
        <v>0</v>
      </c>
      <c r="AT480">
        <v>70</v>
      </c>
      <c r="AU480">
        <v>10</v>
      </c>
      <c r="AV480">
        <v>1</v>
      </c>
      <c r="AW480">
        <v>1</v>
      </c>
      <c r="AZ480">
        <v>1</v>
      </c>
      <c r="BA480">
        <v>1</v>
      </c>
      <c r="BB480">
        <v>1</v>
      </c>
      <c r="BC480">
        <v>1</v>
      </c>
      <c r="BD480" t="s">
        <v>3</v>
      </c>
      <c r="BE480" t="s">
        <v>3</v>
      </c>
      <c r="BF480" t="s">
        <v>3</v>
      </c>
      <c r="BG480" t="s">
        <v>3</v>
      </c>
      <c r="BH480">
        <v>0</v>
      </c>
      <c r="BI480">
        <v>4</v>
      </c>
      <c r="BJ480" t="s">
        <v>368</v>
      </c>
      <c r="BM480">
        <v>0</v>
      </c>
      <c r="BN480">
        <v>0</v>
      </c>
      <c r="BO480" t="s">
        <v>3</v>
      </c>
      <c r="BP480">
        <v>0</v>
      </c>
      <c r="BQ480">
        <v>1</v>
      </c>
      <c r="BR480">
        <v>0</v>
      </c>
      <c r="BS480">
        <v>1</v>
      </c>
      <c r="BT480">
        <v>1</v>
      </c>
      <c r="BU480">
        <v>1</v>
      </c>
      <c r="BV480">
        <v>1</v>
      </c>
      <c r="BW480">
        <v>1</v>
      </c>
      <c r="BX480">
        <v>1</v>
      </c>
      <c r="BY480" t="s">
        <v>3</v>
      </c>
      <c r="BZ480">
        <v>70</v>
      </c>
      <c r="CA480">
        <v>10</v>
      </c>
      <c r="CB480" t="s">
        <v>3</v>
      </c>
      <c r="CE480">
        <v>0</v>
      </c>
      <c r="CF480">
        <v>0</v>
      </c>
      <c r="CG480">
        <v>0</v>
      </c>
      <c r="CM480">
        <v>0</v>
      </c>
      <c r="CN480" t="s">
        <v>3</v>
      </c>
      <c r="CO480">
        <v>0</v>
      </c>
      <c r="CP480">
        <f t="shared" si="415"/>
        <v>25689.08</v>
      </c>
      <c r="CQ480">
        <f t="shared" si="416"/>
        <v>0</v>
      </c>
      <c r="CR480">
        <f>(((((ET480*2))*BB480-((EU480*2))*BS480)+AE480*BS480)*AV480)</f>
        <v>0</v>
      </c>
      <c r="CS480">
        <f t="shared" si="417"/>
        <v>0</v>
      </c>
      <c r="CT480">
        <f t="shared" si="418"/>
        <v>414.34</v>
      </c>
      <c r="CU480">
        <f t="shared" si="419"/>
        <v>0</v>
      </c>
      <c r="CV480">
        <f t="shared" si="420"/>
        <v>0.8</v>
      </c>
      <c r="CW480">
        <f t="shared" si="421"/>
        <v>0</v>
      </c>
      <c r="CX480">
        <f t="shared" si="422"/>
        <v>0</v>
      </c>
      <c r="CY480">
        <f t="shared" si="423"/>
        <v>17982.356</v>
      </c>
      <c r="CZ480">
        <f t="shared" si="424"/>
        <v>2568.9080000000004</v>
      </c>
      <c r="DC480" t="s">
        <v>3</v>
      </c>
      <c r="DD480" t="s">
        <v>164</v>
      </c>
      <c r="DE480" t="s">
        <v>164</v>
      </c>
      <c r="DF480" t="s">
        <v>164</v>
      </c>
      <c r="DG480" t="s">
        <v>164</v>
      </c>
      <c r="DH480" t="s">
        <v>3</v>
      </c>
      <c r="DI480" t="s">
        <v>164</v>
      </c>
      <c r="DJ480" t="s">
        <v>164</v>
      </c>
      <c r="DK480" t="s">
        <v>3</v>
      </c>
      <c r="DL480" t="s">
        <v>3</v>
      </c>
      <c r="DM480" t="s">
        <v>3</v>
      </c>
      <c r="DN480">
        <v>0</v>
      </c>
      <c r="DO480">
        <v>0</v>
      </c>
      <c r="DP480">
        <v>1</v>
      </c>
      <c r="DQ480">
        <v>1</v>
      </c>
      <c r="DU480">
        <v>16987630</v>
      </c>
      <c r="DV480" t="s">
        <v>32</v>
      </c>
      <c r="DW480" t="s">
        <v>32</v>
      </c>
      <c r="DX480">
        <v>1</v>
      </c>
      <c r="DZ480" t="s">
        <v>3</v>
      </c>
      <c r="EA480" t="s">
        <v>3</v>
      </c>
      <c r="EB480" t="s">
        <v>3</v>
      </c>
      <c r="EC480" t="s">
        <v>3</v>
      </c>
      <c r="EE480">
        <v>1441815344</v>
      </c>
      <c r="EF480">
        <v>1</v>
      </c>
      <c r="EG480" t="s">
        <v>23</v>
      </c>
      <c r="EH480">
        <v>0</v>
      </c>
      <c r="EI480" t="s">
        <v>3</v>
      </c>
      <c r="EJ480">
        <v>4</v>
      </c>
      <c r="EK480">
        <v>0</v>
      </c>
      <c r="EL480" t="s">
        <v>24</v>
      </c>
      <c r="EM480" t="s">
        <v>25</v>
      </c>
      <c r="EO480" t="s">
        <v>3</v>
      </c>
      <c r="EQ480">
        <v>1311744</v>
      </c>
      <c r="ER480">
        <v>207.17</v>
      </c>
      <c r="ES480">
        <v>0</v>
      </c>
      <c r="ET480">
        <v>0</v>
      </c>
      <c r="EU480">
        <v>0</v>
      </c>
      <c r="EV480">
        <v>207.17</v>
      </c>
      <c r="EW480">
        <v>0.4</v>
      </c>
      <c r="EX480">
        <v>0</v>
      </c>
      <c r="EY480">
        <v>0</v>
      </c>
      <c r="FQ480">
        <v>0</v>
      </c>
      <c r="FR480">
        <f t="shared" si="425"/>
        <v>0</v>
      </c>
      <c r="FS480">
        <v>0</v>
      </c>
      <c r="FX480">
        <v>70</v>
      </c>
      <c r="FY480">
        <v>10</v>
      </c>
      <c r="GA480" t="s">
        <v>3</v>
      </c>
      <c r="GD480">
        <v>0</v>
      </c>
      <c r="GF480">
        <v>-1777342782</v>
      </c>
      <c r="GG480">
        <v>2</v>
      </c>
      <c r="GH480">
        <v>1</v>
      </c>
      <c r="GI480">
        <v>-2</v>
      </c>
      <c r="GJ480">
        <v>0</v>
      </c>
      <c r="GK480">
        <f>ROUND(R480*(R12)/100,2)</f>
        <v>0</v>
      </c>
      <c r="GL480">
        <f t="shared" si="426"/>
        <v>0</v>
      </c>
      <c r="GM480">
        <f t="shared" si="427"/>
        <v>46240.35</v>
      </c>
      <c r="GN480">
        <f t="shared" si="428"/>
        <v>0</v>
      </c>
      <c r="GO480">
        <f t="shared" si="429"/>
        <v>0</v>
      </c>
      <c r="GP480">
        <f t="shared" si="430"/>
        <v>46240.35</v>
      </c>
      <c r="GR480">
        <v>0</v>
      </c>
      <c r="GS480">
        <v>3</v>
      </c>
      <c r="GT480">
        <v>0</v>
      </c>
      <c r="GU480" t="s">
        <v>3</v>
      </c>
      <c r="GV480">
        <f t="shared" si="431"/>
        <v>0</v>
      </c>
      <c r="GW480">
        <v>1</v>
      </c>
      <c r="GX480">
        <f t="shared" si="432"/>
        <v>0</v>
      </c>
      <c r="HA480">
        <v>0</v>
      </c>
      <c r="HB480">
        <v>0</v>
      </c>
      <c r="HC480">
        <f t="shared" si="433"/>
        <v>0</v>
      </c>
      <c r="HE480" t="s">
        <v>3</v>
      </c>
      <c r="HF480" t="s">
        <v>3</v>
      </c>
      <c r="HM480" t="s">
        <v>3</v>
      </c>
      <c r="HN480" t="s">
        <v>3</v>
      </c>
      <c r="HO480" t="s">
        <v>3</v>
      </c>
      <c r="HP480" t="s">
        <v>3</v>
      </c>
      <c r="HQ480" t="s">
        <v>3</v>
      </c>
      <c r="IK480">
        <v>0</v>
      </c>
    </row>
    <row r="481" spans="1:245" x14ac:dyDescent="0.2">
      <c r="A481">
        <v>17</v>
      </c>
      <c r="B481">
        <v>1</v>
      </c>
      <c r="D481">
        <f>ROW(EtalonRes!A422)</f>
        <v>422</v>
      </c>
      <c r="E481" t="s">
        <v>3</v>
      </c>
      <c r="F481" t="s">
        <v>369</v>
      </c>
      <c r="G481" t="s">
        <v>370</v>
      </c>
      <c r="H481" t="s">
        <v>371</v>
      </c>
      <c r="I481">
        <f>ROUND(ROUND(361.82/100,9),9)</f>
        <v>3.6181999999999999</v>
      </c>
      <c r="J481">
        <v>0</v>
      </c>
      <c r="K481">
        <f>ROUND(ROUND(361.82/100,9),9)</f>
        <v>3.6181999999999999</v>
      </c>
      <c r="O481">
        <f t="shared" si="401"/>
        <v>41261.96</v>
      </c>
      <c r="P481">
        <f t="shared" si="402"/>
        <v>17.079999999999998</v>
      </c>
      <c r="Q481">
        <f t="shared" si="403"/>
        <v>16277.56</v>
      </c>
      <c r="R481">
        <f t="shared" si="404"/>
        <v>9917.6299999999992</v>
      </c>
      <c r="S481">
        <f t="shared" si="405"/>
        <v>24967.32</v>
      </c>
      <c r="T481">
        <f t="shared" si="406"/>
        <v>0</v>
      </c>
      <c r="U481">
        <f t="shared" si="407"/>
        <v>47.506965999999998</v>
      </c>
      <c r="V481">
        <f t="shared" si="408"/>
        <v>0</v>
      </c>
      <c r="W481">
        <f t="shared" si="409"/>
        <v>0</v>
      </c>
      <c r="X481">
        <f t="shared" si="410"/>
        <v>17477.12</v>
      </c>
      <c r="Y481">
        <f t="shared" si="411"/>
        <v>2496.73</v>
      </c>
      <c r="AA481">
        <v>-1</v>
      </c>
      <c r="AB481">
        <f t="shared" si="412"/>
        <v>11404</v>
      </c>
      <c r="AC481">
        <f>ROUND((ES481),6)</f>
        <v>4.72</v>
      </c>
      <c r="AD481">
        <f>ROUND((((ET481)-(EU481))+AE481),6)</f>
        <v>4498.8</v>
      </c>
      <c r="AE481">
        <f>ROUND((EU481),6)</f>
        <v>2741.04</v>
      </c>
      <c r="AF481">
        <f>ROUND((EV481),6)</f>
        <v>6900.48</v>
      </c>
      <c r="AG481">
        <f t="shared" si="413"/>
        <v>0</v>
      </c>
      <c r="AH481">
        <f>(EW481)</f>
        <v>13.13</v>
      </c>
      <c r="AI481">
        <f>(EX481)</f>
        <v>0</v>
      </c>
      <c r="AJ481">
        <f t="shared" si="414"/>
        <v>0</v>
      </c>
      <c r="AK481">
        <v>11404</v>
      </c>
      <c r="AL481">
        <v>4.72</v>
      </c>
      <c r="AM481">
        <v>4498.8</v>
      </c>
      <c r="AN481">
        <v>2741.04</v>
      </c>
      <c r="AO481">
        <v>6900.48</v>
      </c>
      <c r="AP481">
        <v>0</v>
      </c>
      <c r="AQ481">
        <v>13.13</v>
      </c>
      <c r="AR481">
        <v>0</v>
      </c>
      <c r="AS481">
        <v>0</v>
      </c>
      <c r="AT481">
        <v>70</v>
      </c>
      <c r="AU481">
        <v>10</v>
      </c>
      <c r="AV481">
        <v>1</v>
      </c>
      <c r="AW481">
        <v>1</v>
      </c>
      <c r="AZ481">
        <v>1</v>
      </c>
      <c r="BA481">
        <v>1</v>
      </c>
      <c r="BB481">
        <v>1</v>
      </c>
      <c r="BC481">
        <v>1</v>
      </c>
      <c r="BD481" t="s">
        <v>3</v>
      </c>
      <c r="BE481" t="s">
        <v>3</v>
      </c>
      <c r="BF481" t="s">
        <v>3</v>
      </c>
      <c r="BG481" t="s">
        <v>3</v>
      </c>
      <c r="BH481">
        <v>0</v>
      </c>
      <c r="BI481">
        <v>4</v>
      </c>
      <c r="BJ481" t="s">
        <v>372</v>
      </c>
      <c r="BM481">
        <v>0</v>
      </c>
      <c r="BN481">
        <v>0</v>
      </c>
      <c r="BO481" t="s">
        <v>3</v>
      </c>
      <c r="BP481">
        <v>0</v>
      </c>
      <c r="BQ481">
        <v>1</v>
      </c>
      <c r="BR481">
        <v>0</v>
      </c>
      <c r="BS481">
        <v>1</v>
      </c>
      <c r="BT481">
        <v>1</v>
      </c>
      <c r="BU481">
        <v>1</v>
      </c>
      <c r="BV481">
        <v>1</v>
      </c>
      <c r="BW481">
        <v>1</v>
      </c>
      <c r="BX481">
        <v>1</v>
      </c>
      <c r="BY481" t="s">
        <v>3</v>
      </c>
      <c r="BZ481">
        <v>70</v>
      </c>
      <c r="CA481">
        <v>10</v>
      </c>
      <c r="CB481" t="s">
        <v>3</v>
      </c>
      <c r="CE481">
        <v>0</v>
      </c>
      <c r="CF481">
        <v>0</v>
      </c>
      <c r="CG481">
        <v>0</v>
      </c>
      <c r="CM481">
        <v>0</v>
      </c>
      <c r="CN481" t="s">
        <v>3</v>
      </c>
      <c r="CO481">
        <v>0</v>
      </c>
      <c r="CP481">
        <f t="shared" si="415"/>
        <v>41261.96</v>
      </c>
      <c r="CQ481">
        <f t="shared" si="416"/>
        <v>4.72</v>
      </c>
      <c r="CR481">
        <f>((((ET481)*BB481-(EU481)*BS481)+AE481*BS481)*AV481)</f>
        <v>4498.8</v>
      </c>
      <c r="CS481">
        <f t="shared" si="417"/>
        <v>2741.04</v>
      </c>
      <c r="CT481">
        <f t="shared" si="418"/>
        <v>6900.48</v>
      </c>
      <c r="CU481">
        <f t="shared" si="419"/>
        <v>0</v>
      </c>
      <c r="CV481">
        <f t="shared" si="420"/>
        <v>13.13</v>
      </c>
      <c r="CW481">
        <f t="shared" si="421"/>
        <v>0</v>
      </c>
      <c r="CX481">
        <f t="shared" si="422"/>
        <v>0</v>
      </c>
      <c r="CY481">
        <f t="shared" si="423"/>
        <v>17477.124</v>
      </c>
      <c r="CZ481">
        <f t="shared" si="424"/>
        <v>2496.732</v>
      </c>
      <c r="DC481" t="s">
        <v>3</v>
      </c>
      <c r="DD481" t="s">
        <v>3</v>
      </c>
      <c r="DE481" t="s">
        <v>3</v>
      </c>
      <c r="DF481" t="s">
        <v>3</v>
      </c>
      <c r="DG481" t="s">
        <v>3</v>
      </c>
      <c r="DH481" t="s">
        <v>3</v>
      </c>
      <c r="DI481" t="s">
        <v>3</v>
      </c>
      <c r="DJ481" t="s">
        <v>3</v>
      </c>
      <c r="DK481" t="s">
        <v>3</v>
      </c>
      <c r="DL481" t="s">
        <v>3</v>
      </c>
      <c r="DM481" t="s">
        <v>3</v>
      </c>
      <c r="DN481">
        <v>0</v>
      </c>
      <c r="DO481">
        <v>0</v>
      </c>
      <c r="DP481">
        <v>1</v>
      </c>
      <c r="DQ481">
        <v>1</v>
      </c>
      <c r="DU481">
        <v>1005</v>
      </c>
      <c r="DV481" t="s">
        <v>371</v>
      </c>
      <c r="DW481" t="s">
        <v>371</v>
      </c>
      <c r="DX481">
        <v>100</v>
      </c>
      <c r="DZ481" t="s">
        <v>3</v>
      </c>
      <c r="EA481" t="s">
        <v>3</v>
      </c>
      <c r="EB481" t="s">
        <v>3</v>
      </c>
      <c r="EC481" t="s">
        <v>3</v>
      </c>
      <c r="EE481">
        <v>1441815344</v>
      </c>
      <c r="EF481">
        <v>1</v>
      </c>
      <c r="EG481" t="s">
        <v>23</v>
      </c>
      <c r="EH481">
        <v>0</v>
      </c>
      <c r="EI481" t="s">
        <v>3</v>
      </c>
      <c r="EJ481">
        <v>4</v>
      </c>
      <c r="EK481">
        <v>0</v>
      </c>
      <c r="EL481" t="s">
        <v>24</v>
      </c>
      <c r="EM481" t="s">
        <v>25</v>
      </c>
      <c r="EO481" t="s">
        <v>3</v>
      </c>
      <c r="EQ481">
        <v>1311744</v>
      </c>
      <c r="ER481">
        <v>11404</v>
      </c>
      <c r="ES481">
        <v>4.72</v>
      </c>
      <c r="ET481">
        <v>4498.8</v>
      </c>
      <c r="EU481">
        <v>2741.04</v>
      </c>
      <c r="EV481">
        <v>6900.48</v>
      </c>
      <c r="EW481">
        <v>13.13</v>
      </c>
      <c r="EX481">
        <v>0</v>
      </c>
      <c r="EY481">
        <v>0</v>
      </c>
      <c r="FQ481">
        <v>0</v>
      </c>
      <c r="FR481">
        <f t="shared" si="425"/>
        <v>0</v>
      </c>
      <c r="FS481">
        <v>0</v>
      </c>
      <c r="FX481">
        <v>70</v>
      </c>
      <c r="FY481">
        <v>10</v>
      </c>
      <c r="GA481" t="s">
        <v>3</v>
      </c>
      <c r="GD481">
        <v>0</v>
      </c>
      <c r="GF481">
        <v>-1858475948</v>
      </c>
      <c r="GG481">
        <v>2</v>
      </c>
      <c r="GH481">
        <v>1</v>
      </c>
      <c r="GI481">
        <v>-2</v>
      </c>
      <c r="GJ481">
        <v>0</v>
      </c>
      <c r="GK481">
        <f>ROUND(R481*(R12)/100,2)</f>
        <v>10711.04</v>
      </c>
      <c r="GL481">
        <f t="shared" si="426"/>
        <v>0</v>
      </c>
      <c r="GM481">
        <f t="shared" si="427"/>
        <v>71946.850000000006</v>
      </c>
      <c r="GN481">
        <f t="shared" si="428"/>
        <v>0</v>
      </c>
      <c r="GO481">
        <f t="shared" si="429"/>
        <v>0</v>
      </c>
      <c r="GP481">
        <f t="shared" si="430"/>
        <v>71946.850000000006</v>
      </c>
      <c r="GR481">
        <v>0</v>
      </c>
      <c r="GS481">
        <v>3</v>
      </c>
      <c r="GT481">
        <v>0</v>
      </c>
      <c r="GU481" t="s">
        <v>3</v>
      </c>
      <c r="GV481">
        <f t="shared" si="431"/>
        <v>0</v>
      </c>
      <c r="GW481">
        <v>1</v>
      </c>
      <c r="GX481">
        <f t="shared" si="432"/>
        <v>0</v>
      </c>
      <c r="HA481">
        <v>0</v>
      </c>
      <c r="HB481">
        <v>0</v>
      </c>
      <c r="HC481">
        <f t="shared" si="433"/>
        <v>0</v>
      </c>
      <c r="HE481" t="s">
        <v>3</v>
      </c>
      <c r="HF481" t="s">
        <v>3</v>
      </c>
      <c r="HM481" t="s">
        <v>3</v>
      </c>
      <c r="HN481" t="s">
        <v>3</v>
      </c>
      <c r="HO481" t="s">
        <v>3</v>
      </c>
      <c r="HP481" t="s">
        <v>3</v>
      </c>
      <c r="HQ481" t="s">
        <v>3</v>
      </c>
      <c r="IK481">
        <v>0</v>
      </c>
    </row>
    <row r="482" spans="1:245" x14ac:dyDescent="0.2">
      <c r="A482">
        <v>17</v>
      </c>
      <c r="B482">
        <v>1</v>
      </c>
      <c r="D482">
        <f>ROW(EtalonRes!A427)</f>
        <v>427</v>
      </c>
      <c r="E482" t="s">
        <v>3</v>
      </c>
      <c r="F482" t="s">
        <v>373</v>
      </c>
      <c r="G482" t="s">
        <v>374</v>
      </c>
      <c r="H482" t="s">
        <v>371</v>
      </c>
      <c r="I482">
        <f>ROUND(ROUND(361.82/100,9),9)</f>
        <v>3.6181999999999999</v>
      </c>
      <c r="J482">
        <v>0</v>
      </c>
      <c r="K482">
        <f>ROUND(ROUND(361.82/100,9),9)</f>
        <v>3.6181999999999999</v>
      </c>
      <c r="O482">
        <f t="shared" si="401"/>
        <v>6515.59</v>
      </c>
      <c r="P482">
        <f t="shared" si="402"/>
        <v>59.09</v>
      </c>
      <c r="Q482">
        <f t="shared" si="403"/>
        <v>2461.14</v>
      </c>
      <c r="R482">
        <f t="shared" si="404"/>
        <v>1554.6</v>
      </c>
      <c r="S482">
        <f t="shared" si="405"/>
        <v>3995.36</v>
      </c>
      <c r="T482">
        <f t="shared" si="406"/>
        <v>0</v>
      </c>
      <c r="U482">
        <f t="shared" si="407"/>
        <v>7.5982200000000004</v>
      </c>
      <c r="V482">
        <f t="shared" si="408"/>
        <v>0</v>
      </c>
      <c r="W482">
        <f t="shared" si="409"/>
        <v>0</v>
      </c>
      <c r="X482">
        <f t="shared" si="410"/>
        <v>2796.75</v>
      </c>
      <c r="Y482">
        <f t="shared" si="411"/>
        <v>399.54</v>
      </c>
      <c r="AA482">
        <v>-1</v>
      </c>
      <c r="AB482">
        <f t="shared" si="412"/>
        <v>1800.78</v>
      </c>
      <c r="AC482">
        <f>ROUND((ES482),6)</f>
        <v>16.329999999999998</v>
      </c>
      <c r="AD482">
        <f>ROUND((((ET482)-(EU482))+AE482),6)</f>
        <v>680.21</v>
      </c>
      <c r="AE482">
        <f>ROUND((EU482),6)</f>
        <v>429.66</v>
      </c>
      <c r="AF482">
        <f>ROUND((EV482),6)</f>
        <v>1104.24</v>
      </c>
      <c r="AG482">
        <f t="shared" si="413"/>
        <v>0</v>
      </c>
      <c r="AH482">
        <f>(EW482)</f>
        <v>2.1</v>
      </c>
      <c r="AI482">
        <f>(EX482)</f>
        <v>0</v>
      </c>
      <c r="AJ482">
        <f t="shared" si="414"/>
        <v>0</v>
      </c>
      <c r="AK482">
        <v>1800.78</v>
      </c>
      <c r="AL482">
        <v>16.329999999999998</v>
      </c>
      <c r="AM482">
        <v>680.21</v>
      </c>
      <c r="AN482">
        <v>429.66</v>
      </c>
      <c r="AO482">
        <v>1104.24</v>
      </c>
      <c r="AP482">
        <v>0</v>
      </c>
      <c r="AQ482">
        <v>2.1</v>
      </c>
      <c r="AR482">
        <v>0</v>
      </c>
      <c r="AS482">
        <v>0</v>
      </c>
      <c r="AT482">
        <v>70</v>
      </c>
      <c r="AU482">
        <v>10</v>
      </c>
      <c r="AV482">
        <v>1</v>
      </c>
      <c r="AW482">
        <v>1</v>
      </c>
      <c r="AZ482">
        <v>1</v>
      </c>
      <c r="BA482">
        <v>1</v>
      </c>
      <c r="BB482">
        <v>1</v>
      </c>
      <c r="BC482">
        <v>1</v>
      </c>
      <c r="BD482" t="s">
        <v>3</v>
      </c>
      <c r="BE482" t="s">
        <v>3</v>
      </c>
      <c r="BF482" t="s">
        <v>3</v>
      </c>
      <c r="BG482" t="s">
        <v>3</v>
      </c>
      <c r="BH482">
        <v>0</v>
      </c>
      <c r="BI482">
        <v>4</v>
      </c>
      <c r="BJ482" t="s">
        <v>375</v>
      </c>
      <c r="BM482">
        <v>0</v>
      </c>
      <c r="BN482">
        <v>0</v>
      </c>
      <c r="BO482" t="s">
        <v>3</v>
      </c>
      <c r="BP482">
        <v>0</v>
      </c>
      <c r="BQ482">
        <v>1</v>
      </c>
      <c r="BR482">
        <v>0</v>
      </c>
      <c r="BS482">
        <v>1</v>
      </c>
      <c r="BT482">
        <v>1</v>
      </c>
      <c r="BU482">
        <v>1</v>
      </c>
      <c r="BV482">
        <v>1</v>
      </c>
      <c r="BW482">
        <v>1</v>
      </c>
      <c r="BX482">
        <v>1</v>
      </c>
      <c r="BY482" t="s">
        <v>3</v>
      </c>
      <c r="BZ482">
        <v>70</v>
      </c>
      <c r="CA482">
        <v>10</v>
      </c>
      <c r="CB482" t="s">
        <v>3</v>
      </c>
      <c r="CE482">
        <v>0</v>
      </c>
      <c r="CF482">
        <v>0</v>
      </c>
      <c r="CG482">
        <v>0</v>
      </c>
      <c r="CM482">
        <v>0</v>
      </c>
      <c r="CN482" t="s">
        <v>3</v>
      </c>
      <c r="CO482">
        <v>0</v>
      </c>
      <c r="CP482">
        <f t="shared" si="415"/>
        <v>6515.59</v>
      </c>
      <c r="CQ482">
        <f t="shared" si="416"/>
        <v>16.329999999999998</v>
      </c>
      <c r="CR482">
        <f>((((ET482)*BB482-(EU482)*BS482)+AE482*BS482)*AV482)</f>
        <v>680.21</v>
      </c>
      <c r="CS482">
        <f t="shared" si="417"/>
        <v>429.66</v>
      </c>
      <c r="CT482">
        <f t="shared" si="418"/>
        <v>1104.24</v>
      </c>
      <c r="CU482">
        <f t="shared" si="419"/>
        <v>0</v>
      </c>
      <c r="CV482">
        <f t="shared" si="420"/>
        <v>2.1</v>
      </c>
      <c r="CW482">
        <f t="shared" si="421"/>
        <v>0</v>
      </c>
      <c r="CX482">
        <f t="shared" si="422"/>
        <v>0</v>
      </c>
      <c r="CY482">
        <f t="shared" si="423"/>
        <v>2796.752</v>
      </c>
      <c r="CZ482">
        <f t="shared" si="424"/>
        <v>399.536</v>
      </c>
      <c r="DC482" t="s">
        <v>3</v>
      </c>
      <c r="DD482" t="s">
        <v>3</v>
      </c>
      <c r="DE482" t="s">
        <v>3</v>
      </c>
      <c r="DF482" t="s">
        <v>3</v>
      </c>
      <c r="DG482" t="s">
        <v>3</v>
      </c>
      <c r="DH482" t="s">
        <v>3</v>
      </c>
      <c r="DI482" t="s">
        <v>3</v>
      </c>
      <c r="DJ482" t="s">
        <v>3</v>
      </c>
      <c r="DK482" t="s">
        <v>3</v>
      </c>
      <c r="DL482" t="s">
        <v>3</v>
      </c>
      <c r="DM482" t="s">
        <v>3</v>
      </c>
      <c r="DN482">
        <v>0</v>
      </c>
      <c r="DO482">
        <v>0</v>
      </c>
      <c r="DP482">
        <v>1</v>
      </c>
      <c r="DQ482">
        <v>1</v>
      </c>
      <c r="DU482">
        <v>1005</v>
      </c>
      <c r="DV482" t="s">
        <v>371</v>
      </c>
      <c r="DW482" t="s">
        <v>371</v>
      </c>
      <c r="DX482">
        <v>100</v>
      </c>
      <c r="DZ482" t="s">
        <v>3</v>
      </c>
      <c r="EA482" t="s">
        <v>3</v>
      </c>
      <c r="EB482" t="s">
        <v>3</v>
      </c>
      <c r="EC482" t="s">
        <v>3</v>
      </c>
      <c r="EE482">
        <v>1441815344</v>
      </c>
      <c r="EF482">
        <v>1</v>
      </c>
      <c r="EG482" t="s">
        <v>23</v>
      </c>
      <c r="EH482">
        <v>0</v>
      </c>
      <c r="EI482" t="s">
        <v>3</v>
      </c>
      <c r="EJ482">
        <v>4</v>
      </c>
      <c r="EK482">
        <v>0</v>
      </c>
      <c r="EL482" t="s">
        <v>24</v>
      </c>
      <c r="EM482" t="s">
        <v>25</v>
      </c>
      <c r="EO482" t="s">
        <v>3</v>
      </c>
      <c r="EQ482">
        <v>1311744</v>
      </c>
      <c r="ER482">
        <v>1800.78</v>
      </c>
      <c r="ES482">
        <v>16.329999999999998</v>
      </c>
      <c r="ET482">
        <v>680.21</v>
      </c>
      <c r="EU482">
        <v>429.66</v>
      </c>
      <c r="EV482">
        <v>1104.24</v>
      </c>
      <c r="EW482">
        <v>2.1</v>
      </c>
      <c r="EX482">
        <v>0</v>
      </c>
      <c r="EY482">
        <v>0</v>
      </c>
      <c r="FQ482">
        <v>0</v>
      </c>
      <c r="FR482">
        <f t="shared" si="425"/>
        <v>0</v>
      </c>
      <c r="FS482">
        <v>0</v>
      </c>
      <c r="FX482">
        <v>70</v>
      </c>
      <c r="FY482">
        <v>10</v>
      </c>
      <c r="GA482" t="s">
        <v>3</v>
      </c>
      <c r="GD482">
        <v>0</v>
      </c>
      <c r="GF482">
        <v>-1860406526</v>
      </c>
      <c r="GG482">
        <v>2</v>
      </c>
      <c r="GH482">
        <v>1</v>
      </c>
      <c r="GI482">
        <v>-2</v>
      </c>
      <c r="GJ482">
        <v>0</v>
      </c>
      <c r="GK482">
        <f>ROUND(R482*(R12)/100,2)</f>
        <v>1678.97</v>
      </c>
      <c r="GL482">
        <f t="shared" si="426"/>
        <v>0</v>
      </c>
      <c r="GM482">
        <f t="shared" si="427"/>
        <v>11390.85</v>
      </c>
      <c r="GN482">
        <f t="shared" si="428"/>
        <v>0</v>
      </c>
      <c r="GO482">
        <f t="shared" si="429"/>
        <v>0</v>
      </c>
      <c r="GP482">
        <f t="shared" si="430"/>
        <v>11390.85</v>
      </c>
      <c r="GR482">
        <v>0</v>
      </c>
      <c r="GS482">
        <v>3</v>
      </c>
      <c r="GT482">
        <v>0</v>
      </c>
      <c r="GU482" t="s">
        <v>3</v>
      </c>
      <c r="GV482">
        <f t="shared" si="431"/>
        <v>0</v>
      </c>
      <c r="GW482">
        <v>1</v>
      </c>
      <c r="GX482">
        <f t="shared" si="432"/>
        <v>0</v>
      </c>
      <c r="HA482">
        <v>0</v>
      </c>
      <c r="HB482">
        <v>0</v>
      </c>
      <c r="HC482">
        <f t="shared" si="433"/>
        <v>0</v>
      </c>
      <c r="HE482" t="s">
        <v>3</v>
      </c>
      <c r="HF482" t="s">
        <v>3</v>
      </c>
      <c r="HM482" t="s">
        <v>3</v>
      </c>
      <c r="HN482" t="s">
        <v>3</v>
      </c>
      <c r="HO482" t="s">
        <v>3</v>
      </c>
      <c r="HP482" t="s">
        <v>3</v>
      </c>
      <c r="HQ482" t="s">
        <v>3</v>
      </c>
      <c r="IK482">
        <v>0</v>
      </c>
    </row>
    <row r="484" spans="1:245" x14ac:dyDescent="0.2">
      <c r="A484" s="2">
        <v>51</v>
      </c>
      <c r="B484" s="2">
        <f>B442</f>
        <v>1</v>
      </c>
      <c r="C484" s="2">
        <f>A442</f>
        <v>5</v>
      </c>
      <c r="D484" s="2">
        <f>ROW(A442)</f>
        <v>442</v>
      </c>
      <c r="E484" s="2"/>
      <c r="F484" s="2" t="str">
        <f>IF(F442&lt;&gt;"",F442,"")</f>
        <v>Новый подраздел</v>
      </c>
      <c r="G484" s="2" t="str">
        <f>IF(G442&lt;&gt;"",G442,"")</f>
        <v>Вентиляция</v>
      </c>
      <c r="H484" s="2">
        <v>0</v>
      </c>
      <c r="I484" s="2"/>
      <c r="J484" s="2"/>
      <c r="K484" s="2"/>
      <c r="L484" s="2"/>
      <c r="M484" s="2"/>
      <c r="N484" s="2"/>
      <c r="O484" s="2">
        <f t="shared" ref="O484:T484" si="436">ROUND(AB484,2)</f>
        <v>103903.32</v>
      </c>
      <c r="P484" s="2">
        <f t="shared" si="436"/>
        <v>681.84</v>
      </c>
      <c r="Q484" s="2">
        <f t="shared" si="436"/>
        <v>39.380000000000003</v>
      </c>
      <c r="R484" s="2">
        <f t="shared" si="436"/>
        <v>0.44</v>
      </c>
      <c r="S484" s="2">
        <f t="shared" si="436"/>
        <v>103182.1</v>
      </c>
      <c r="T484" s="2">
        <f t="shared" si="436"/>
        <v>0</v>
      </c>
      <c r="U484" s="2">
        <f>AH484</f>
        <v>156.14000000000001</v>
      </c>
      <c r="V484" s="2">
        <f>AI484</f>
        <v>0</v>
      </c>
      <c r="W484" s="2">
        <f>ROUND(AJ484,2)</f>
        <v>0</v>
      </c>
      <c r="X484" s="2">
        <f>ROUND(AK484,2)</f>
        <v>72227.47</v>
      </c>
      <c r="Y484" s="2">
        <f>ROUND(AL484,2)</f>
        <v>10318.209999999999</v>
      </c>
      <c r="Z484" s="2"/>
      <c r="AA484" s="2"/>
      <c r="AB484" s="2">
        <f>ROUND(SUMIF(AA446:AA482,"=1472224561",O446:O482),2)</f>
        <v>103903.32</v>
      </c>
      <c r="AC484" s="2">
        <f>ROUND(SUMIF(AA446:AA482,"=1472224561",P446:P482),2)</f>
        <v>681.84</v>
      </c>
      <c r="AD484" s="2">
        <f>ROUND(SUMIF(AA446:AA482,"=1472224561",Q446:Q482),2)</f>
        <v>39.380000000000003</v>
      </c>
      <c r="AE484" s="2">
        <f>ROUND(SUMIF(AA446:AA482,"=1472224561",R446:R482),2)</f>
        <v>0.44</v>
      </c>
      <c r="AF484" s="2">
        <f>ROUND(SUMIF(AA446:AA482,"=1472224561",S446:S482),2)</f>
        <v>103182.1</v>
      </c>
      <c r="AG484" s="2">
        <f>ROUND(SUMIF(AA446:AA482,"=1472224561",T446:T482),2)</f>
        <v>0</v>
      </c>
      <c r="AH484" s="2">
        <f>SUMIF(AA446:AA482,"=1472224561",U446:U482)</f>
        <v>156.14000000000001</v>
      </c>
      <c r="AI484" s="2">
        <f>SUMIF(AA446:AA482,"=1472224561",V446:V482)</f>
        <v>0</v>
      </c>
      <c r="AJ484" s="2">
        <f>ROUND(SUMIF(AA446:AA482,"=1472224561",W446:W482),2)</f>
        <v>0</v>
      </c>
      <c r="AK484" s="2">
        <f>ROUND(SUMIF(AA446:AA482,"=1472224561",X446:X482),2)</f>
        <v>72227.47</v>
      </c>
      <c r="AL484" s="2">
        <f>ROUND(SUMIF(AA446:AA482,"=1472224561",Y446:Y482),2)</f>
        <v>10318.209999999999</v>
      </c>
      <c r="AM484" s="2"/>
      <c r="AN484" s="2"/>
      <c r="AO484" s="2">
        <f t="shared" ref="AO484:BD484" si="437">ROUND(BX484,2)</f>
        <v>0</v>
      </c>
      <c r="AP484" s="2">
        <f t="shared" si="437"/>
        <v>0</v>
      </c>
      <c r="AQ484" s="2">
        <f t="shared" si="437"/>
        <v>0</v>
      </c>
      <c r="AR484" s="2">
        <f t="shared" si="437"/>
        <v>186449.48</v>
      </c>
      <c r="AS484" s="2">
        <f t="shared" si="437"/>
        <v>0</v>
      </c>
      <c r="AT484" s="2">
        <f t="shared" si="437"/>
        <v>0</v>
      </c>
      <c r="AU484" s="2">
        <f t="shared" si="437"/>
        <v>186449.48</v>
      </c>
      <c r="AV484" s="2">
        <f t="shared" si="437"/>
        <v>681.84</v>
      </c>
      <c r="AW484" s="2">
        <f t="shared" si="437"/>
        <v>681.84</v>
      </c>
      <c r="AX484" s="2">
        <f t="shared" si="437"/>
        <v>0</v>
      </c>
      <c r="AY484" s="2">
        <f t="shared" si="437"/>
        <v>681.84</v>
      </c>
      <c r="AZ484" s="2">
        <f t="shared" si="437"/>
        <v>0</v>
      </c>
      <c r="BA484" s="2">
        <f t="shared" si="437"/>
        <v>0</v>
      </c>
      <c r="BB484" s="2">
        <f t="shared" si="437"/>
        <v>0</v>
      </c>
      <c r="BC484" s="2">
        <f t="shared" si="437"/>
        <v>0</v>
      </c>
      <c r="BD484" s="2">
        <f t="shared" si="437"/>
        <v>0</v>
      </c>
      <c r="BE484" s="2"/>
      <c r="BF484" s="2"/>
      <c r="BG484" s="2"/>
      <c r="BH484" s="2"/>
      <c r="BI484" s="2"/>
      <c r="BJ484" s="2"/>
      <c r="BK484" s="2"/>
      <c r="BL484" s="2"/>
      <c r="BM484" s="2"/>
      <c r="BN484" s="2"/>
      <c r="BO484" s="2"/>
      <c r="BP484" s="2"/>
      <c r="BQ484" s="2"/>
      <c r="BR484" s="2"/>
      <c r="BS484" s="2"/>
      <c r="BT484" s="2"/>
      <c r="BU484" s="2"/>
      <c r="BV484" s="2"/>
      <c r="BW484" s="2"/>
      <c r="BX484" s="2">
        <f>ROUND(SUMIF(AA446:AA482,"=1472224561",FQ446:FQ482),2)</f>
        <v>0</v>
      </c>
      <c r="BY484" s="2">
        <f>ROUND(SUMIF(AA446:AA482,"=1472224561",FR446:FR482),2)</f>
        <v>0</v>
      </c>
      <c r="BZ484" s="2">
        <f>ROUND(SUMIF(AA446:AA482,"=1472224561",GL446:GL482),2)</f>
        <v>0</v>
      </c>
      <c r="CA484" s="2">
        <f>ROUND(SUMIF(AA446:AA482,"=1472224561",GM446:GM482),2)</f>
        <v>186449.48</v>
      </c>
      <c r="CB484" s="2">
        <f>ROUND(SUMIF(AA446:AA482,"=1472224561",GN446:GN482),2)</f>
        <v>0</v>
      </c>
      <c r="CC484" s="2">
        <f>ROUND(SUMIF(AA446:AA482,"=1472224561",GO446:GO482),2)</f>
        <v>0</v>
      </c>
      <c r="CD484" s="2">
        <f>ROUND(SUMIF(AA446:AA482,"=1472224561",GP446:GP482),2)</f>
        <v>186449.48</v>
      </c>
      <c r="CE484" s="2">
        <f>AC484-BX484</f>
        <v>681.84</v>
      </c>
      <c r="CF484" s="2">
        <f>AC484-BY484</f>
        <v>681.84</v>
      </c>
      <c r="CG484" s="2">
        <f>BX484-BZ484</f>
        <v>0</v>
      </c>
      <c r="CH484" s="2">
        <f>AC484-BX484-BY484+BZ484</f>
        <v>681.84</v>
      </c>
      <c r="CI484" s="2">
        <f>BY484-BZ484</f>
        <v>0</v>
      </c>
      <c r="CJ484" s="2">
        <f>ROUND(SUMIF(AA446:AA482,"=1472224561",GX446:GX482),2)</f>
        <v>0</v>
      </c>
      <c r="CK484" s="2">
        <f>ROUND(SUMIF(AA446:AA482,"=1472224561",GY446:GY482),2)</f>
        <v>0</v>
      </c>
      <c r="CL484" s="2">
        <f>ROUND(SUMIF(AA446:AA482,"=1472224561",GZ446:GZ482),2)</f>
        <v>0</v>
      </c>
      <c r="CM484" s="2">
        <f>ROUND(SUMIF(AA446:AA482,"=1472224561",HD446:HD482),2)</f>
        <v>0</v>
      </c>
      <c r="CN484" s="2"/>
      <c r="CO484" s="2"/>
      <c r="CP484" s="2"/>
      <c r="CQ484" s="2"/>
      <c r="CR484" s="2"/>
      <c r="CS484" s="2"/>
      <c r="CT484" s="2"/>
      <c r="CU484" s="2"/>
      <c r="CV484" s="2"/>
      <c r="CW484" s="2"/>
      <c r="CX484" s="2"/>
      <c r="CY484" s="2"/>
      <c r="CZ484" s="2"/>
      <c r="DA484" s="2"/>
      <c r="DB484" s="2"/>
      <c r="DC484" s="2"/>
      <c r="DD484" s="2"/>
      <c r="DE484" s="2"/>
      <c r="DF484" s="2"/>
      <c r="DG484" s="3"/>
      <c r="DH484" s="3"/>
      <c r="DI484" s="3"/>
      <c r="DJ484" s="3"/>
      <c r="DK484" s="3"/>
      <c r="DL484" s="3"/>
      <c r="DM484" s="3"/>
      <c r="DN484" s="3"/>
      <c r="DO484" s="3"/>
      <c r="DP484" s="3"/>
      <c r="DQ484" s="3"/>
      <c r="DR484" s="3"/>
      <c r="DS484" s="3"/>
      <c r="DT484" s="3"/>
      <c r="DU484" s="3"/>
      <c r="DV484" s="3"/>
      <c r="DW484" s="3"/>
      <c r="DX484" s="3"/>
      <c r="DY484" s="3"/>
      <c r="DZ484" s="3"/>
      <c r="EA484" s="3"/>
      <c r="EB484" s="3"/>
      <c r="EC484" s="3"/>
      <c r="ED484" s="3"/>
      <c r="EE484" s="3"/>
      <c r="EF484" s="3"/>
      <c r="EG484" s="3"/>
      <c r="EH484" s="3"/>
      <c r="EI484" s="3"/>
      <c r="EJ484" s="3"/>
      <c r="EK484" s="3"/>
      <c r="EL484" s="3"/>
      <c r="EM484" s="3"/>
      <c r="EN484" s="3"/>
      <c r="EO484" s="3"/>
      <c r="EP484" s="3"/>
      <c r="EQ484" s="3"/>
      <c r="ER484" s="3"/>
      <c r="ES484" s="3"/>
      <c r="ET484" s="3"/>
      <c r="EU484" s="3"/>
      <c r="EV484" s="3"/>
      <c r="EW484" s="3"/>
      <c r="EX484" s="3"/>
      <c r="EY484" s="3"/>
      <c r="EZ484" s="3"/>
      <c r="FA484" s="3"/>
      <c r="FB484" s="3"/>
      <c r="FC484" s="3"/>
      <c r="FD484" s="3"/>
      <c r="FE484" s="3"/>
      <c r="FF484" s="3"/>
      <c r="FG484" s="3"/>
      <c r="FH484" s="3"/>
      <c r="FI484" s="3"/>
      <c r="FJ484" s="3"/>
      <c r="FK484" s="3"/>
      <c r="FL484" s="3"/>
      <c r="FM484" s="3"/>
      <c r="FN484" s="3"/>
      <c r="FO484" s="3"/>
      <c r="FP484" s="3"/>
      <c r="FQ484" s="3"/>
      <c r="FR484" s="3"/>
      <c r="FS484" s="3"/>
      <c r="FT484" s="3"/>
      <c r="FU484" s="3"/>
      <c r="FV484" s="3"/>
      <c r="FW484" s="3"/>
      <c r="FX484" s="3"/>
      <c r="FY484" s="3"/>
      <c r="FZ484" s="3"/>
      <c r="GA484" s="3"/>
      <c r="GB484" s="3"/>
      <c r="GC484" s="3"/>
      <c r="GD484" s="3"/>
      <c r="GE484" s="3"/>
      <c r="GF484" s="3"/>
      <c r="GG484" s="3"/>
      <c r="GH484" s="3"/>
      <c r="GI484" s="3"/>
      <c r="GJ484" s="3"/>
      <c r="GK484" s="3"/>
      <c r="GL484" s="3"/>
      <c r="GM484" s="3"/>
      <c r="GN484" s="3"/>
      <c r="GO484" s="3"/>
      <c r="GP484" s="3"/>
      <c r="GQ484" s="3"/>
      <c r="GR484" s="3"/>
      <c r="GS484" s="3"/>
      <c r="GT484" s="3"/>
      <c r="GU484" s="3"/>
      <c r="GV484" s="3"/>
      <c r="GW484" s="3"/>
      <c r="GX484" s="3">
        <v>0</v>
      </c>
    </row>
    <row r="486" spans="1:245" x14ac:dyDescent="0.2">
      <c r="A486" s="4">
        <v>50</v>
      </c>
      <c r="B486" s="4">
        <v>0</v>
      </c>
      <c r="C486" s="4">
        <v>0</v>
      </c>
      <c r="D486" s="4">
        <v>1</v>
      </c>
      <c r="E486" s="4">
        <v>201</v>
      </c>
      <c r="F486" s="4">
        <f>ROUND(Source!O484,O486)</f>
        <v>103903.32</v>
      </c>
      <c r="G486" s="4" t="s">
        <v>46</v>
      </c>
      <c r="H486" s="4" t="s">
        <v>47</v>
      </c>
      <c r="I486" s="4"/>
      <c r="J486" s="4"/>
      <c r="K486" s="4">
        <v>201</v>
      </c>
      <c r="L486" s="4">
        <v>1</v>
      </c>
      <c r="M486" s="4">
        <v>3</v>
      </c>
      <c r="N486" s="4" t="s">
        <v>3</v>
      </c>
      <c r="O486" s="4">
        <v>2</v>
      </c>
      <c r="P486" s="4"/>
      <c r="Q486" s="4"/>
      <c r="R486" s="4"/>
      <c r="S486" s="4"/>
      <c r="T486" s="4"/>
      <c r="U486" s="4"/>
      <c r="V486" s="4"/>
      <c r="W486" s="4">
        <v>27334.080000000002</v>
      </c>
      <c r="X486" s="4">
        <v>1</v>
      </c>
      <c r="Y486" s="4">
        <v>27334.080000000002</v>
      </c>
      <c r="Z486" s="4"/>
      <c r="AA486" s="4"/>
      <c r="AB486" s="4"/>
    </row>
    <row r="487" spans="1:245" x14ac:dyDescent="0.2">
      <c r="A487" s="4">
        <v>50</v>
      </c>
      <c r="B487" s="4">
        <v>0</v>
      </c>
      <c r="C487" s="4">
        <v>0</v>
      </c>
      <c r="D487" s="4">
        <v>1</v>
      </c>
      <c r="E487" s="4">
        <v>202</v>
      </c>
      <c r="F487" s="4">
        <f>ROUND(Source!P484,O487)</f>
        <v>681.84</v>
      </c>
      <c r="G487" s="4" t="s">
        <v>48</v>
      </c>
      <c r="H487" s="4" t="s">
        <v>49</v>
      </c>
      <c r="I487" s="4"/>
      <c r="J487" s="4"/>
      <c r="K487" s="4">
        <v>202</v>
      </c>
      <c r="L487" s="4">
        <v>2</v>
      </c>
      <c r="M487" s="4">
        <v>3</v>
      </c>
      <c r="N487" s="4" t="s">
        <v>3</v>
      </c>
      <c r="O487" s="4">
        <v>2</v>
      </c>
      <c r="P487" s="4"/>
      <c r="Q487" s="4"/>
      <c r="R487" s="4"/>
      <c r="S487" s="4"/>
      <c r="T487" s="4"/>
      <c r="U487" s="4"/>
      <c r="V487" s="4"/>
      <c r="W487" s="4">
        <v>40.68</v>
      </c>
      <c r="X487" s="4">
        <v>1</v>
      </c>
      <c r="Y487" s="4">
        <v>40.68</v>
      </c>
      <c r="Z487" s="4"/>
      <c r="AA487" s="4"/>
      <c r="AB487" s="4"/>
    </row>
    <row r="488" spans="1:245" x14ac:dyDescent="0.2">
      <c r="A488" s="4">
        <v>50</v>
      </c>
      <c r="B488" s="4">
        <v>0</v>
      </c>
      <c r="C488" s="4">
        <v>0</v>
      </c>
      <c r="D488" s="4">
        <v>1</v>
      </c>
      <c r="E488" s="4">
        <v>222</v>
      </c>
      <c r="F488" s="4">
        <f>ROUND(Source!AO484,O488)</f>
        <v>0</v>
      </c>
      <c r="G488" s="4" t="s">
        <v>50</v>
      </c>
      <c r="H488" s="4" t="s">
        <v>51</v>
      </c>
      <c r="I488" s="4"/>
      <c r="J488" s="4"/>
      <c r="K488" s="4">
        <v>222</v>
      </c>
      <c r="L488" s="4">
        <v>3</v>
      </c>
      <c r="M488" s="4">
        <v>3</v>
      </c>
      <c r="N488" s="4" t="s">
        <v>3</v>
      </c>
      <c r="O488" s="4">
        <v>2</v>
      </c>
      <c r="P488" s="4"/>
      <c r="Q488" s="4"/>
      <c r="R488" s="4"/>
      <c r="S488" s="4"/>
      <c r="T488" s="4"/>
      <c r="U488" s="4"/>
      <c r="V488" s="4"/>
      <c r="W488" s="4">
        <v>0</v>
      </c>
      <c r="X488" s="4">
        <v>1</v>
      </c>
      <c r="Y488" s="4">
        <v>0</v>
      </c>
      <c r="Z488" s="4"/>
      <c r="AA488" s="4"/>
      <c r="AB488" s="4"/>
    </row>
    <row r="489" spans="1:245" x14ac:dyDescent="0.2">
      <c r="A489" s="4">
        <v>50</v>
      </c>
      <c r="B489" s="4">
        <v>0</v>
      </c>
      <c r="C489" s="4">
        <v>0</v>
      </c>
      <c r="D489" s="4">
        <v>1</v>
      </c>
      <c r="E489" s="4">
        <v>225</v>
      </c>
      <c r="F489" s="4">
        <f>ROUND(Source!AV484,O489)</f>
        <v>681.84</v>
      </c>
      <c r="G489" s="4" t="s">
        <v>52</v>
      </c>
      <c r="H489" s="4" t="s">
        <v>53</v>
      </c>
      <c r="I489" s="4"/>
      <c r="J489" s="4"/>
      <c r="K489" s="4">
        <v>225</v>
      </c>
      <c r="L489" s="4">
        <v>4</v>
      </c>
      <c r="M489" s="4">
        <v>3</v>
      </c>
      <c r="N489" s="4" t="s">
        <v>3</v>
      </c>
      <c r="O489" s="4">
        <v>2</v>
      </c>
      <c r="P489" s="4"/>
      <c r="Q489" s="4"/>
      <c r="R489" s="4"/>
      <c r="S489" s="4"/>
      <c r="T489" s="4"/>
      <c r="U489" s="4"/>
      <c r="V489" s="4"/>
      <c r="W489" s="4">
        <v>40.68</v>
      </c>
      <c r="X489" s="4">
        <v>1</v>
      </c>
      <c r="Y489" s="4">
        <v>40.68</v>
      </c>
      <c r="Z489" s="4"/>
      <c r="AA489" s="4"/>
      <c r="AB489" s="4"/>
    </row>
    <row r="490" spans="1:245" x14ac:dyDescent="0.2">
      <c r="A490" s="4">
        <v>50</v>
      </c>
      <c r="B490" s="4">
        <v>0</v>
      </c>
      <c r="C490" s="4">
        <v>0</v>
      </c>
      <c r="D490" s="4">
        <v>1</v>
      </c>
      <c r="E490" s="4">
        <v>226</v>
      </c>
      <c r="F490" s="4">
        <f>ROUND(Source!AW484,O490)</f>
        <v>681.84</v>
      </c>
      <c r="G490" s="4" t="s">
        <v>54</v>
      </c>
      <c r="H490" s="4" t="s">
        <v>55</v>
      </c>
      <c r="I490" s="4"/>
      <c r="J490" s="4"/>
      <c r="K490" s="4">
        <v>226</v>
      </c>
      <c r="L490" s="4">
        <v>5</v>
      </c>
      <c r="M490" s="4">
        <v>3</v>
      </c>
      <c r="N490" s="4" t="s">
        <v>3</v>
      </c>
      <c r="O490" s="4">
        <v>2</v>
      </c>
      <c r="P490" s="4"/>
      <c r="Q490" s="4"/>
      <c r="R490" s="4"/>
      <c r="S490" s="4"/>
      <c r="T490" s="4"/>
      <c r="U490" s="4"/>
      <c r="V490" s="4"/>
      <c r="W490" s="4">
        <v>40.68</v>
      </c>
      <c r="X490" s="4">
        <v>1</v>
      </c>
      <c r="Y490" s="4">
        <v>40.68</v>
      </c>
      <c r="Z490" s="4"/>
      <c r="AA490" s="4"/>
      <c r="AB490" s="4"/>
    </row>
    <row r="491" spans="1:245" x14ac:dyDescent="0.2">
      <c r="A491" s="4">
        <v>50</v>
      </c>
      <c r="B491" s="4">
        <v>0</v>
      </c>
      <c r="C491" s="4">
        <v>0</v>
      </c>
      <c r="D491" s="4">
        <v>1</v>
      </c>
      <c r="E491" s="4">
        <v>227</v>
      </c>
      <c r="F491" s="4">
        <f>ROUND(Source!AX484,O491)</f>
        <v>0</v>
      </c>
      <c r="G491" s="4" t="s">
        <v>56</v>
      </c>
      <c r="H491" s="4" t="s">
        <v>57</v>
      </c>
      <c r="I491" s="4"/>
      <c r="J491" s="4"/>
      <c r="K491" s="4">
        <v>227</v>
      </c>
      <c r="L491" s="4">
        <v>6</v>
      </c>
      <c r="M491" s="4">
        <v>3</v>
      </c>
      <c r="N491" s="4" t="s">
        <v>3</v>
      </c>
      <c r="O491" s="4">
        <v>2</v>
      </c>
      <c r="P491" s="4"/>
      <c r="Q491" s="4"/>
      <c r="R491" s="4"/>
      <c r="S491" s="4"/>
      <c r="T491" s="4"/>
      <c r="U491" s="4"/>
      <c r="V491" s="4"/>
      <c r="W491" s="4">
        <v>0</v>
      </c>
      <c r="X491" s="4">
        <v>1</v>
      </c>
      <c r="Y491" s="4">
        <v>0</v>
      </c>
      <c r="Z491" s="4"/>
      <c r="AA491" s="4"/>
      <c r="AB491" s="4"/>
    </row>
    <row r="492" spans="1:245" x14ac:dyDescent="0.2">
      <c r="A492" s="4">
        <v>50</v>
      </c>
      <c r="B492" s="4">
        <v>0</v>
      </c>
      <c r="C492" s="4">
        <v>0</v>
      </c>
      <c r="D492" s="4">
        <v>1</v>
      </c>
      <c r="E492" s="4">
        <v>228</v>
      </c>
      <c r="F492" s="4">
        <f>ROUND(Source!AY484,O492)</f>
        <v>681.84</v>
      </c>
      <c r="G492" s="4" t="s">
        <v>58</v>
      </c>
      <c r="H492" s="4" t="s">
        <v>59</v>
      </c>
      <c r="I492" s="4"/>
      <c r="J492" s="4"/>
      <c r="K492" s="4">
        <v>228</v>
      </c>
      <c r="L492" s="4">
        <v>7</v>
      </c>
      <c r="M492" s="4">
        <v>3</v>
      </c>
      <c r="N492" s="4" t="s">
        <v>3</v>
      </c>
      <c r="O492" s="4">
        <v>2</v>
      </c>
      <c r="P492" s="4"/>
      <c r="Q492" s="4"/>
      <c r="R492" s="4"/>
      <c r="S492" s="4"/>
      <c r="T492" s="4"/>
      <c r="U492" s="4"/>
      <c r="V492" s="4"/>
      <c r="W492" s="4">
        <v>40.68</v>
      </c>
      <c r="X492" s="4">
        <v>1</v>
      </c>
      <c r="Y492" s="4">
        <v>40.68</v>
      </c>
      <c r="Z492" s="4"/>
      <c r="AA492" s="4"/>
      <c r="AB492" s="4"/>
    </row>
    <row r="493" spans="1:245" x14ac:dyDescent="0.2">
      <c r="A493" s="4">
        <v>50</v>
      </c>
      <c r="B493" s="4">
        <v>0</v>
      </c>
      <c r="C493" s="4">
        <v>0</v>
      </c>
      <c r="D493" s="4">
        <v>1</v>
      </c>
      <c r="E493" s="4">
        <v>216</v>
      </c>
      <c r="F493" s="4">
        <f>ROUND(Source!AP484,O493)</f>
        <v>0</v>
      </c>
      <c r="G493" s="4" t="s">
        <v>60</v>
      </c>
      <c r="H493" s="4" t="s">
        <v>61</v>
      </c>
      <c r="I493" s="4"/>
      <c r="J493" s="4"/>
      <c r="K493" s="4">
        <v>216</v>
      </c>
      <c r="L493" s="4">
        <v>8</v>
      </c>
      <c r="M493" s="4">
        <v>3</v>
      </c>
      <c r="N493" s="4" t="s">
        <v>3</v>
      </c>
      <c r="O493" s="4">
        <v>2</v>
      </c>
      <c r="P493" s="4"/>
      <c r="Q493" s="4"/>
      <c r="R493" s="4"/>
      <c r="S493" s="4"/>
      <c r="T493" s="4"/>
      <c r="U493" s="4"/>
      <c r="V493" s="4"/>
      <c r="W493" s="4">
        <v>0</v>
      </c>
      <c r="X493" s="4">
        <v>1</v>
      </c>
      <c r="Y493" s="4">
        <v>0</v>
      </c>
      <c r="Z493" s="4"/>
      <c r="AA493" s="4"/>
      <c r="AB493" s="4"/>
    </row>
    <row r="494" spans="1:245" x14ac:dyDescent="0.2">
      <c r="A494" s="4">
        <v>50</v>
      </c>
      <c r="B494" s="4">
        <v>0</v>
      </c>
      <c r="C494" s="4">
        <v>0</v>
      </c>
      <c r="D494" s="4">
        <v>1</v>
      </c>
      <c r="E494" s="4">
        <v>223</v>
      </c>
      <c r="F494" s="4">
        <f>ROUND(Source!AQ484,O494)</f>
        <v>0</v>
      </c>
      <c r="G494" s="4" t="s">
        <v>62</v>
      </c>
      <c r="H494" s="4" t="s">
        <v>63</v>
      </c>
      <c r="I494" s="4"/>
      <c r="J494" s="4"/>
      <c r="K494" s="4">
        <v>223</v>
      </c>
      <c r="L494" s="4">
        <v>9</v>
      </c>
      <c r="M494" s="4">
        <v>3</v>
      </c>
      <c r="N494" s="4" t="s">
        <v>3</v>
      </c>
      <c r="O494" s="4">
        <v>2</v>
      </c>
      <c r="P494" s="4"/>
      <c r="Q494" s="4"/>
      <c r="R494" s="4"/>
      <c r="S494" s="4"/>
      <c r="T494" s="4"/>
      <c r="U494" s="4"/>
      <c r="V494" s="4"/>
      <c r="W494" s="4">
        <v>0</v>
      </c>
      <c r="X494" s="4">
        <v>1</v>
      </c>
      <c r="Y494" s="4">
        <v>0</v>
      </c>
      <c r="Z494" s="4"/>
      <c r="AA494" s="4"/>
      <c r="AB494" s="4"/>
    </row>
    <row r="495" spans="1:245" x14ac:dyDescent="0.2">
      <c r="A495" s="4">
        <v>50</v>
      </c>
      <c r="B495" s="4">
        <v>0</v>
      </c>
      <c r="C495" s="4">
        <v>0</v>
      </c>
      <c r="D495" s="4">
        <v>1</v>
      </c>
      <c r="E495" s="4">
        <v>229</v>
      </c>
      <c r="F495" s="4">
        <f>ROUND(Source!AZ484,O495)</f>
        <v>0</v>
      </c>
      <c r="G495" s="4" t="s">
        <v>64</v>
      </c>
      <c r="H495" s="4" t="s">
        <v>65</v>
      </c>
      <c r="I495" s="4"/>
      <c r="J495" s="4"/>
      <c r="K495" s="4">
        <v>229</v>
      </c>
      <c r="L495" s="4">
        <v>10</v>
      </c>
      <c r="M495" s="4">
        <v>3</v>
      </c>
      <c r="N495" s="4" t="s">
        <v>3</v>
      </c>
      <c r="O495" s="4">
        <v>2</v>
      </c>
      <c r="P495" s="4"/>
      <c r="Q495" s="4"/>
      <c r="R495" s="4"/>
      <c r="S495" s="4"/>
      <c r="T495" s="4"/>
      <c r="U495" s="4"/>
      <c r="V495" s="4"/>
      <c r="W495" s="4">
        <v>0</v>
      </c>
      <c r="X495" s="4">
        <v>1</v>
      </c>
      <c r="Y495" s="4">
        <v>0</v>
      </c>
      <c r="Z495" s="4"/>
      <c r="AA495" s="4"/>
      <c r="AB495" s="4"/>
    </row>
    <row r="496" spans="1:245" x14ac:dyDescent="0.2">
      <c r="A496" s="4">
        <v>50</v>
      </c>
      <c r="B496" s="4">
        <v>0</v>
      </c>
      <c r="C496" s="4">
        <v>0</v>
      </c>
      <c r="D496" s="4">
        <v>1</v>
      </c>
      <c r="E496" s="4">
        <v>203</v>
      </c>
      <c r="F496" s="4">
        <f>ROUND(Source!Q484,O496)</f>
        <v>39.380000000000003</v>
      </c>
      <c r="G496" s="4" t="s">
        <v>66</v>
      </c>
      <c r="H496" s="4" t="s">
        <v>67</v>
      </c>
      <c r="I496" s="4"/>
      <c r="J496" s="4"/>
      <c r="K496" s="4">
        <v>203</v>
      </c>
      <c r="L496" s="4">
        <v>11</v>
      </c>
      <c r="M496" s="4">
        <v>3</v>
      </c>
      <c r="N496" s="4" t="s">
        <v>3</v>
      </c>
      <c r="O496" s="4">
        <v>2</v>
      </c>
      <c r="P496" s="4"/>
      <c r="Q496" s="4"/>
      <c r="R496" s="4"/>
      <c r="S496" s="4"/>
      <c r="T496" s="4"/>
      <c r="U496" s="4"/>
      <c r="V496" s="4"/>
      <c r="W496" s="4">
        <v>7.16</v>
      </c>
      <c r="X496" s="4">
        <v>1</v>
      </c>
      <c r="Y496" s="4">
        <v>7.16</v>
      </c>
      <c r="Z496" s="4"/>
      <c r="AA496" s="4"/>
      <c r="AB496" s="4"/>
    </row>
    <row r="497" spans="1:28" x14ac:dyDescent="0.2">
      <c r="A497" s="4">
        <v>50</v>
      </c>
      <c r="B497" s="4">
        <v>0</v>
      </c>
      <c r="C497" s="4">
        <v>0</v>
      </c>
      <c r="D497" s="4">
        <v>1</v>
      </c>
      <c r="E497" s="4">
        <v>231</v>
      </c>
      <c r="F497" s="4">
        <f>ROUND(Source!BB484,O497)</f>
        <v>0</v>
      </c>
      <c r="G497" s="4" t="s">
        <v>68</v>
      </c>
      <c r="H497" s="4" t="s">
        <v>69</v>
      </c>
      <c r="I497" s="4"/>
      <c r="J497" s="4"/>
      <c r="K497" s="4">
        <v>231</v>
      </c>
      <c r="L497" s="4">
        <v>12</v>
      </c>
      <c r="M497" s="4">
        <v>3</v>
      </c>
      <c r="N497" s="4" t="s">
        <v>3</v>
      </c>
      <c r="O497" s="4">
        <v>2</v>
      </c>
      <c r="P497" s="4"/>
      <c r="Q497" s="4"/>
      <c r="R497" s="4"/>
      <c r="S497" s="4"/>
      <c r="T497" s="4"/>
      <c r="U497" s="4"/>
      <c r="V497" s="4"/>
      <c r="W497" s="4">
        <v>0</v>
      </c>
      <c r="X497" s="4">
        <v>1</v>
      </c>
      <c r="Y497" s="4">
        <v>0</v>
      </c>
      <c r="Z497" s="4"/>
      <c r="AA497" s="4"/>
      <c r="AB497" s="4"/>
    </row>
    <row r="498" spans="1:28" x14ac:dyDescent="0.2">
      <c r="A498" s="4">
        <v>50</v>
      </c>
      <c r="B498" s="4">
        <v>0</v>
      </c>
      <c r="C498" s="4">
        <v>0</v>
      </c>
      <c r="D498" s="4">
        <v>1</v>
      </c>
      <c r="E498" s="4">
        <v>204</v>
      </c>
      <c r="F498" s="4">
        <f>ROUND(Source!R484,O498)</f>
        <v>0.44</v>
      </c>
      <c r="G498" s="4" t="s">
        <v>70</v>
      </c>
      <c r="H498" s="4" t="s">
        <v>71</v>
      </c>
      <c r="I498" s="4"/>
      <c r="J498" s="4"/>
      <c r="K498" s="4">
        <v>204</v>
      </c>
      <c r="L498" s="4">
        <v>13</v>
      </c>
      <c r="M498" s="4">
        <v>3</v>
      </c>
      <c r="N498" s="4" t="s">
        <v>3</v>
      </c>
      <c r="O498" s="4">
        <v>2</v>
      </c>
      <c r="P498" s="4"/>
      <c r="Q498" s="4"/>
      <c r="R498" s="4"/>
      <c r="S498" s="4"/>
      <c r="T498" s="4"/>
      <c r="U498" s="4"/>
      <c r="V498" s="4"/>
      <c r="W498" s="4">
        <v>0.08</v>
      </c>
      <c r="X498" s="4">
        <v>1</v>
      </c>
      <c r="Y498" s="4">
        <v>0.08</v>
      </c>
      <c r="Z498" s="4"/>
      <c r="AA498" s="4"/>
      <c r="AB498" s="4"/>
    </row>
    <row r="499" spans="1:28" x14ac:dyDescent="0.2">
      <c r="A499" s="4">
        <v>50</v>
      </c>
      <c r="B499" s="4">
        <v>0</v>
      </c>
      <c r="C499" s="4">
        <v>0</v>
      </c>
      <c r="D499" s="4">
        <v>1</v>
      </c>
      <c r="E499" s="4">
        <v>205</v>
      </c>
      <c r="F499" s="4">
        <f>ROUND(Source!S484,O499)</f>
        <v>103182.1</v>
      </c>
      <c r="G499" s="4" t="s">
        <v>72</v>
      </c>
      <c r="H499" s="4" t="s">
        <v>73</v>
      </c>
      <c r="I499" s="4"/>
      <c r="J499" s="4"/>
      <c r="K499" s="4">
        <v>205</v>
      </c>
      <c r="L499" s="4">
        <v>14</v>
      </c>
      <c r="M499" s="4">
        <v>3</v>
      </c>
      <c r="N499" s="4" t="s">
        <v>3</v>
      </c>
      <c r="O499" s="4">
        <v>2</v>
      </c>
      <c r="P499" s="4"/>
      <c r="Q499" s="4"/>
      <c r="R499" s="4"/>
      <c r="S499" s="4"/>
      <c r="T499" s="4"/>
      <c r="U499" s="4"/>
      <c r="V499" s="4"/>
      <c r="W499" s="4">
        <v>27286.240000000002</v>
      </c>
      <c r="X499" s="4">
        <v>1</v>
      </c>
      <c r="Y499" s="4">
        <v>27286.240000000002</v>
      </c>
      <c r="Z499" s="4"/>
      <c r="AA499" s="4"/>
      <c r="AB499" s="4"/>
    </row>
    <row r="500" spans="1:28" x14ac:dyDescent="0.2">
      <c r="A500" s="4">
        <v>50</v>
      </c>
      <c r="B500" s="4">
        <v>0</v>
      </c>
      <c r="C500" s="4">
        <v>0</v>
      </c>
      <c r="D500" s="4">
        <v>1</v>
      </c>
      <c r="E500" s="4">
        <v>232</v>
      </c>
      <c r="F500" s="4">
        <f>ROUND(Source!BC484,O500)</f>
        <v>0</v>
      </c>
      <c r="G500" s="4" t="s">
        <v>74</v>
      </c>
      <c r="H500" s="4" t="s">
        <v>75</v>
      </c>
      <c r="I500" s="4"/>
      <c r="J500" s="4"/>
      <c r="K500" s="4">
        <v>232</v>
      </c>
      <c r="L500" s="4">
        <v>15</v>
      </c>
      <c r="M500" s="4">
        <v>3</v>
      </c>
      <c r="N500" s="4" t="s">
        <v>3</v>
      </c>
      <c r="O500" s="4">
        <v>2</v>
      </c>
      <c r="P500" s="4"/>
      <c r="Q500" s="4"/>
      <c r="R500" s="4"/>
      <c r="S500" s="4"/>
      <c r="T500" s="4"/>
      <c r="U500" s="4"/>
      <c r="V500" s="4"/>
      <c r="W500" s="4">
        <v>0</v>
      </c>
      <c r="X500" s="4">
        <v>1</v>
      </c>
      <c r="Y500" s="4">
        <v>0</v>
      </c>
      <c r="Z500" s="4"/>
      <c r="AA500" s="4"/>
      <c r="AB500" s="4"/>
    </row>
    <row r="501" spans="1:28" x14ac:dyDescent="0.2">
      <c r="A501" s="4">
        <v>50</v>
      </c>
      <c r="B501" s="4">
        <v>0</v>
      </c>
      <c r="C501" s="4">
        <v>0</v>
      </c>
      <c r="D501" s="4">
        <v>1</v>
      </c>
      <c r="E501" s="4">
        <v>214</v>
      </c>
      <c r="F501" s="4">
        <f>ROUND(Source!AS484,O501)</f>
        <v>0</v>
      </c>
      <c r="G501" s="4" t="s">
        <v>76</v>
      </c>
      <c r="H501" s="4" t="s">
        <v>77</v>
      </c>
      <c r="I501" s="4"/>
      <c r="J501" s="4"/>
      <c r="K501" s="4">
        <v>214</v>
      </c>
      <c r="L501" s="4">
        <v>16</v>
      </c>
      <c r="M501" s="4">
        <v>3</v>
      </c>
      <c r="N501" s="4" t="s">
        <v>3</v>
      </c>
      <c r="O501" s="4">
        <v>2</v>
      </c>
      <c r="P501" s="4"/>
      <c r="Q501" s="4"/>
      <c r="R501" s="4"/>
      <c r="S501" s="4"/>
      <c r="T501" s="4"/>
      <c r="U501" s="4"/>
      <c r="V501" s="4"/>
      <c r="W501" s="4">
        <v>0</v>
      </c>
      <c r="X501" s="4">
        <v>1</v>
      </c>
      <c r="Y501" s="4">
        <v>0</v>
      </c>
      <c r="Z501" s="4"/>
      <c r="AA501" s="4"/>
      <c r="AB501" s="4"/>
    </row>
    <row r="502" spans="1:28" x14ac:dyDescent="0.2">
      <c r="A502" s="4">
        <v>50</v>
      </c>
      <c r="B502" s="4">
        <v>0</v>
      </c>
      <c r="C502" s="4">
        <v>0</v>
      </c>
      <c r="D502" s="4">
        <v>1</v>
      </c>
      <c r="E502" s="4">
        <v>215</v>
      </c>
      <c r="F502" s="4">
        <f>ROUND(Source!AT484,O502)</f>
        <v>0</v>
      </c>
      <c r="G502" s="4" t="s">
        <v>78</v>
      </c>
      <c r="H502" s="4" t="s">
        <v>79</v>
      </c>
      <c r="I502" s="4"/>
      <c r="J502" s="4"/>
      <c r="K502" s="4">
        <v>215</v>
      </c>
      <c r="L502" s="4">
        <v>17</v>
      </c>
      <c r="M502" s="4">
        <v>3</v>
      </c>
      <c r="N502" s="4" t="s">
        <v>3</v>
      </c>
      <c r="O502" s="4">
        <v>2</v>
      </c>
      <c r="P502" s="4"/>
      <c r="Q502" s="4"/>
      <c r="R502" s="4"/>
      <c r="S502" s="4"/>
      <c r="T502" s="4"/>
      <c r="U502" s="4"/>
      <c r="V502" s="4"/>
      <c r="W502" s="4">
        <v>0</v>
      </c>
      <c r="X502" s="4">
        <v>1</v>
      </c>
      <c r="Y502" s="4">
        <v>0</v>
      </c>
      <c r="Z502" s="4"/>
      <c r="AA502" s="4"/>
      <c r="AB502" s="4"/>
    </row>
    <row r="503" spans="1:28" x14ac:dyDescent="0.2">
      <c r="A503" s="4">
        <v>50</v>
      </c>
      <c r="B503" s="4">
        <v>0</v>
      </c>
      <c r="C503" s="4">
        <v>0</v>
      </c>
      <c r="D503" s="4">
        <v>1</v>
      </c>
      <c r="E503" s="4">
        <v>217</v>
      </c>
      <c r="F503" s="4">
        <f>ROUND(Source!AU484,O503)</f>
        <v>186449.48</v>
      </c>
      <c r="G503" s="4" t="s">
        <v>80</v>
      </c>
      <c r="H503" s="4" t="s">
        <v>81</v>
      </c>
      <c r="I503" s="4"/>
      <c r="J503" s="4"/>
      <c r="K503" s="4">
        <v>217</v>
      </c>
      <c r="L503" s="4">
        <v>18</v>
      </c>
      <c r="M503" s="4">
        <v>3</v>
      </c>
      <c r="N503" s="4" t="s">
        <v>3</v>
      </c>
      <c r="O503" s="4">
        <v>2</v>
      </c>
      <c r="P503" s="4"/>
      <c r="Q503" s="4"/>
      <c r="R503" s="4"/>
      <c r="S503" s="4"/>
      <c r="T503" s="4"/>
      <c r="U503" s="4"/>
      <c r="V503" s="4"/>
      <c r="W503" s="4">
        <v>49163.15</v>
      </c>
      <c r="X503" s="4">
        <v>1</v>
      </c>
      <c r="Y503" s="4">
        <v>49163.15</v>
      </c>
      <c r="Z503" s="4"/>
      <c r="AA503" s="4"/>
      <c r="AB503" s="4"/>
    </row>
    <row r="504" spans="1:28" x14ac:dyDescent="0.2">
      <c r="A504" s="4">
        <v>50</v>
      </c>
      <c r="B504" s="4">
        <v>0</v>
      </c>
      <c r="C504" s="4">
        <v>0</v>
      </c>
      <c r="D504" s="4">
        <v>1</v>
      </c>
      <c r="E504" s="4">
        <v>230</v>
      </c>
      <c r="F504" s="4">
        <f>ROUND(Source!BA484,O504)</f>
        <v>0</v>
      </c>
      <c r="G504" s="4" t="s">
        <v>82</v>
      </c>
      <c r="H504" s="4" t="s">
        <v>83</v>
      </c>
      <c r="I504" s="4"/>
      <c r="J504" s="4"/>
      <c r="K504" s="4">
        <v>230</v>
      </c>
      <c r="L504" s="4">
        <v>19</v>
      </c>
      <c r="M504" s="4">
        <v>3</v>
      </c>
      <c r="N504" s="4" t="s">
        <v>3</v>
      </c>
      <c r="O504" s="4">
        <v>2</v>
      </c>
      <c r="P504" s="4"/>
      <c r="Q504" s="4"/>
      <c r="R504" s="4"/>
      <c r="S504" s="4"/>
      <c r="T504" s="4"/>
      <c r="U504" s="4"/>
      <c r="V504" s="4"/>
      <c r="W504" s="4">
        <v>0</v>
      </c>
      <c r="X504" s="4">
        <v>1</v>
      </c>
      <c r="Y504" s="4">
        <v>0</v>
      </c>
      <c r="Z504" s="4"/>
      <c r="AA504" s="4"/>
      <c r="AB504" s="4"/>
    </row>
    <row r="505" spans="1:28" x14ac:dyDescent="0.2">
      <c r="A505" s="4">
        <v>50</v>
      </c>
      <c r="B505" s="4">
        <v>0</v>
      </c>
      <c r="C505" s="4">
        <v>0</v>
      </c>
      <c r="D505" s="4">
        <v>1</v>
      </c>
      <c r="E505" s="4">
        <v>206</v>
      </c>
      <c r="F505" s="4">
        <f>ROUND(Source!T484,O505)</f>
        <v>0</v>
      </c>
      <c r="G505" s="4" t="s">
        <v>84</v>
      </c>
      <c r="H505" s="4" t="s">
        <v>85</v>
      </c>
      <c r="I505" s="4"/>
      <c r="J505" s="4"/>
      <c r="K505" s="4">
        <v>206</v>
      </c>
      <c r="L505" s="4">
        <v>20</v>
      </c>
      <c r="M505" s="4">
        <v>3</v>
      </c>
      <c r="N505" s="4" t="s">
        <v>3</v>
      </c>
      <c r="O505" s="4">
        <v>2</v>
      </c>
      <c r="P505" s="4"/>
      <c r="Q505" s="4"/>
      <c r="R505" s="4"/>
      <c r="S505" s="4"/>
      <c r="T505" s="4"/>
      <c r="U505" s="4"/>
      <c r="V505" s="4"/>
      <c r="W505" s="4">
        <v>0</v>
      </c>
      <c r="X505" s="4">
        <v>1</v>
      </c>
      <c r="Y505" s="4">
        <v>0</v>
      </c>
      <c r="Z505" s="4"/>
      <c r="AA505" s="4"/>
      <c r="AB505" s="4"/>
    </row>
    <row r="506" spans="1:28" x14ac:dyDescent="0.2">
      <c r="A506" s="4">
        <v>50</v>
      </c>
      <c r="B506" s="4">
        <v>0</v>
      </c>
      <c r="C506" s="4">
        <v>0</v>
      </c>
      <c r="D506" s="4">
        <v>1</v>
      </c>
      <c r="E506" s="4">
        <v>207</v>
      </c>
      <c r="F506" s="4">
        <f>Source!U484</f>
        <v>156.14000000000001</v>
      </c>
      <c r="G506" s="4" t="s">
        <v>86</v>
      </c>
      <c r="H506" s="4" t="s">
        <v>87</v>
      </c>
      <c r="I506" s="4"/>
      <c r="J506" s="4"/>
      <c r="K506" s="4">
        <v>207</v>
      </c>
      <c r="L506" s="4">
        <v>21</v>
      </c>
      <c r="M506" s="4">
        <v>3</v>
      </c>
      <c r="N506" s="4" t="s">
        <v>3</v>
      </c>
      <c r="O506" s="4">
        <v>-1</v>
      </c>
      <c r="P506" s="4"/>
      <c r="Q506" s="4"/>
      <c r="R506" s="4"/>
      <c r="S506" s="4"/>
      <c r="T506" s="4"/>
      <c r="U506" s="4"/>
      <c r="V506" s="4"/>
      <c r="W506" s="4">
        <v>41.12</v>
      </c>
      <c r="X506" s="4">
        <v>1</v>
      </c>
      <c r="Y506" s="4">
        <v>41.12</v>
      </c>
      <c r="Z506" s="4"/>
      <c r="AA506" s="4"/>
      <c r="AB506" s="4"/>
    </row>
    <row r="507" spans="1:28" x14ac:dyDescent="0.2">
      <c r="A507" s="4">
        <v>50</v>
      </c>
      <c r="B507" s="4">
        <v>0</v>
      </c>
      <c r="C507" s="4">
        <v>0</v>
      </c>
      <c r="D507" s="4">
        <v>1</v>
      </c>
      <c r="E507" s="4">
        <v>208</v>
      </c>
      <c r="F507" s="4">
        <f>Source!V484</f>
        <v>0</v>
      </c>
      <c r="G507" s="4" t="s">
        <v>88</v>
      </c>
      <c r="H507" s="4" t="s">
        <v>89</v>
      </c>
      <c r="I507" s="4"/>
      <c r="J507" s="4"/>
      <c r="K507" s="4">
        <v>208</v>
      </c>
      <c r="L507" s="4">
        <v>22</v>
      </c>
      <c r="M507" s="4">
        <v>3</v>
      </c>
      <c r="N507" s="4" t="s">
        <v>3</v>
      </c>
      <c r="O507" s="4">
        <v>-1</v>
      </c>
      <c r="P507" s="4"/>
      <c r="Q507" s="4"/>
      <c r="R507" s="4"/>
      <c r="S507" s="4"/>
      <c r="T507" s="4"/>
      <c r="U507" s="4"/>
      <c r="V507" s="4"/>
      <c r="W507" s="4">
        <v>0</v>
      </c>
      <c r="X507" s="4">
        <v>1</v>
      </c>
      <c r="Y507" s="4">
        <v>0</v>
      </c>
      <c r="Z507" s="4"/>
      <c r="AA507" s="4"/>
      <c r="AB507" s="4"/>
    </row>
    <row r="508" spans="1:28" x14ac:dyDescent="0.2">
      <c r="A508" s="4">
        <v>50</v>
      </c>
      <c r="B508" s="4">
        <v>0</v>
      </c>
      <c r="C508" s="4">
        <v>0</v>
      </c>
      <c r="D508" s="4">
        <v>1</v>
      </c>
      <c r="E508" s="4">
        <v>209</v>
      </c>
      <c r="F508" s="4">
        <f>ROUND(Source!W484,O508)</f>
        <v>0</v>
      </c>
      <c r="G508" s="4" t="s">
        <v>90</v>
      </c>
      <c r="H508" s="4" t="s">
        <v>91</v>
      </c>
      <c r="I508" s="4"/>
      <c r="J508" s="4"/>
      <c r="K508" s="4">
        <v>209</v>
      </c>
      <c r="L508" s="4">
        <v>23</v>
      </c>
      <c r="M508" s="4">
        <v>3</v>
      </c>
      <c r="N508" s="4" t="s">
        <v>3</v>
      </c>
      <c r="O508" s="4">
        <v>2</v>
      </c>
      <c r="P508" s="4"/>
      <c r="Q508" s="4"/>
      <c r="R508" s="4"/>
      <c r="S508" s="4"/>
      <c r="T508" s="4"/>
      <c r="U508" s="4"/>
      <c r="V508" s="4"/>
      <c r="W508" s="4">
        <v>0</v>
      </c>
      <c r="X508" s="4">
        <v>1</v>
      </c>
      <c r="Y508" s="4">
        <v>0</v>
      </c>
      <c r="Z508" s="4"/>
      <c r="AA508" s="4"/>
      <c r="AB508" s="4"/>
    </row>
    <row r="509" spans="1:28" x14ac:dyDescent="0.2">
      <c r="A509" s="4">
        <v>50</v>
      </c>
      <c r="B509" s="4">
        <v>0</v>
      </c>
      <c r="C509" s="4">
        <v>0</v>
      </c>
      <c r="D509" s="4">
        <v>1</v>
      </c>
      <c r="E509" s="4">
        <v>233</v>
      </c>
      <c r="F509" s="4">
        <f>ROUND(Source!BD484,O509)</f>
        <v>0</v>
      </c>
      <c r="G509" s="4" t="s">
        <v>92</v>
      </c>
      <c r="H509" s="4" t="s">
        <v>93</v>
      </c>
      <c r="I509" s="4"/>
      <c r="J509" s="4"/>
      <c r="K509" s="4">
        <v>233</v>
      </c>
      <c r="L509" s="4">
        <v>24</v>
      </c>
      <c r="M509" s="4">
        <v>3</v>
      </c>
      <c r="N509" s="4" t="s">
        <v>3</v>
      </c>
      <c r="O509" s="4">
        <v>2</v>
      </c>
      <c r="P509" s="4"/>
      <c r="Q509" s="4"/>
      <c r="R509" s="4"/>
      <c r="S509" s="4"/>
      <c r="T509" s="4"/>
      <c r="U509" s="4"/>
      <c r="V509" s="4"/>
      <c r="W509" s="4">
        <v>0</v>
      </c>
      <c r="X509" s="4">
        <v>1</v>
      </c>
      <c r="Y509" s="4">
        <v>0</v>
      </c>
      <c r="Z509" s="4"/>
      <c r="AA509" s="4"/>
      <c r="AB509" s="4"/>
    </row>
    <row r="510" spans="1:28" x14ac:dyDescent="0.2">
      <c r="A510" s="4">
        <v>50</v>
      </c>
      <c r="B510" s="4">
        <v>0</v>
      </c>
      <c r="C510" s="4">
        <v>0</v>
      </c>
      <c r="D510" s="4">
        <v>1</v>
      </c>
      <c r="E510" s="4">
        <v>210</v>
      </c>
      <c r="F510" s="4">
        <f>ROUND(Source!X484,O510)</f>
        <v>72227.47</v>
      </c>
      <c r="G510" s="4" t="s">
        <v>94</v>
      </c>
      <c r="H510" s="4" t="s">
        <v>95</v>
      </c>
      <c r="I510" s="4"/>
      <c r="J510" s="4"/>
      <c r="K510" s="4">
        <v>210</v>
      </c>
      <c r="L510" s="4">
        <v>25</v>
      </c>
      <c r="M510" s="4">
        <v>3</v>
      </c>
      <c r="N510" s="4" t="s">
        <v>3</v>
      </c>
      <c r="O510" s="4">
        <v>2</v>
      </c>
      <c r="P510" s="4"/>
      <c r="Q510" s="4"/>
      <c r="R510" s="4"/>
      <c r="S510" s="4"/>
      <c r="T510" s="4"/>
      <c r="U510" s="4"/>
      <c r="V510" s="4"/>
      <c r="W510" s="4">
        <v>19100.36</v>
      </c>
      <c r="X510" s="4">
        <v>1</v>
      </c>
      <c r="Y510" s="4">
        <v>19100.36</v>
      </c>
      <c r="Z510" s="4"/>
      <c r="AA510" s="4"/>
      <c r="AB510" s="4"/>
    </row>
    <row r="511" spans="1:28" x14ac:dyDescent="0.2">
      <c r="A511" s="4">
        <v>50</v>
      </c>
      <c r="B511" s="4">
        <v>0</v>
      </c>
      <c r="C511" s="4">
        <v>0</v>
      </c>
      <c r="D511" s="4">
        <v>1</v>
      </c>
      <c r="E511" s="4">
        <v>211</v>
      </c>
      <c r="F511" s="4">
        <f>ROUND(Source!Y484,O511)</f>
        <v>10318.209999999999</v>
      </c>
      <c r="G511" s="4" t="s">
        <v>96</v>
      </c>
      <c r="H511" s="4" t="s">
        <v>97</v>
      </c>
      <c r="I511" s="4"/>
      <c r="J511" s="4"/>
      <c r="K511" s="4">
        <v>211</v>
      </c>
      <c r="L511" s="4">
        <v>26</v>
      </c>
      <c r="M511" s="4">
        <v>3</v>
      </c>
      <c r="N511" s="4" t="s">
        <v>3</v>
      </c>
      <c r="O511" s="4">
        <v>2</v>
      </c>
      <c r="P511" s="4"/>
      <c r="Q511" s="4"/>
      <c r="R511" s="4"/>
      <c r="S511" s="4"/>
      <c r="T511" s="4"/>
      <c r="U511" s="4"/>
      <c r="V511" s="4"/>
      <c r="W511" s="4">
        <v>2728.62</v>
      </c>
      <c r="X511" s="4">
        <v>1</v>
      </c>
      <c r="Y511" s="4">
        <v>2728.62</v>
      </c>
      <c r="Z511" s="4"/>
      <c r="AA511" s="4"/>
      <c r="AB511" s="4"/>
    </row>
    <row r="512" spans="1:28" x14ac:dyDescent="0.2">
      <c r="A512" s="4">
        <v>50</v>
      </c>
      <c r="B512" s="4">
        <v>0</v>
      </c>
      <c r="C512" s="4">
        <v>0</v>
      </c>
      <c r="D512" s="4">
        <v>1</v>
      </c>
      <c r="E512" s="4">
        <v>224</v>
      </c>
      <c r="F512" s="4">
        <f>ROUND(Source!AR484,O512)</f>
        <v>186449.48</v>
      </c>
      <c r="G512" s="4" t="s">
        <v>98</v>
      </c>
      <c r="H512" s="4" t="s">
        <v>99</v>
      </c>
      <c r="I512" s="4"/>
      <c r="J512" s="4"/>
      <c r="K512" s="4">
        <v>224</v>
      </c>
      <c r="L512" s="4">
        <v>27</v>
      </c>
      <c r="M512" s="4">
        <v>3</v>
      </c>
      <c r="N512" s="4" t="s">
        <v>3</v>
      </c>
      <c r="O512" s="4">
        <v>2</v>
      </c>
      <c r="P512" s="4"/>
      <c r="Q512" s="4"/>
      <c r="R512" s="4"/>
      <c r="S512" s="4"/>
      <c r="T512" s="4"/>
      <c r="U512" s="4"/>
      <c r="V512" s="4"/>
      <c r="W512" s="4">
        <v>49163.15</v>
      </c>
      <c r="X512" s="4">
        <v>1</v>
      </c>
      <c r="Y512" s="4">
        <v>49163.15</v>
      </c>
      <c r="Z512" s="4"/>
      <c r="AA512" s="4"/>
      <c r="AB512" s="4"/>
    </row>
    <row r="514" spans="1:245" x14ac:dyDescent="0.2">
      <c r="A514" s="1">
        <v>5</v>
      </c>
      <c r="B514" s="1">
        <v>1</v>
      </c>
      <c r="C514" s="1"/>
      <c r="D514" s="1">
        <f>ROW(A536)</f>
        <v>536</v>
      </c>
      <c r="E514" s="1"/>
      <c r="F514" s="1" t="s">
        <v>15</v>
      </c>
      <c r="G514" s="1" t="s">
        <v>386</v>
      </c>
      <c r="H514" s="1" t="s">
        <v>3</v>
      </c>
      <c r="I514" s="1">
        <v>0</v>
      </c>
      <c r="J514" s="1"/>
      <c r="K514" s="1">
        <v>0</v>
      </c>
      <c r="L514" s="1"/>
      <c r="M514" s="1" t="s">
        <v>3</v>
      </c>
      <c r="N514" s="1"/>
      <c r="O514" s="1"/>
      <c r="P514" s="1"/>
      <c r="Q514" s="1"/>
      <c r="R514" s="1"/>
      <c r="S514" s="1">
        <v>0</v>
      </c>
      <c r="T514" s="1"/>
      <c r="U514" s="1" t="s">
        <v>3</v>
      </c>
      <c r="V514" s="1">
        <v>0</v>
      </c>
      <c r="W514" s="1"/>
      <c r="X514" s="1"/>
      <c r="Y514" s="1"/>
      <c r="Z514" s="1"/>
      <c r="AA514" s="1"/>
      <c r="AB514" s="1" t="s">
        <v>3</v>
      </c>
      <c r="AC514" s="1" t="s">
        <v>3</v>
      </c>
      <c r="AD514" s="1" t="s">
        <v>3</v>
      </c>
      <c r="AE514" s="1" t="s">
        <v>3</v>
      </c>
      <c r="AF514" s="1" t="s">
        <v>3</v>
      </c>
      <c r="AG514" s="1" t="s">
        <v>3</v>
      </c>
      <c r="AH514" s="1"/>
      <c r="AI514" s="1"/>
      <c r="AJ514" s="1"/>
      <c r="AK514" s="1"/>
      <c r="AL514" s="1"/>
      <c r="AM514" s="1"/>
      <c r="AN514" s="1"/>
      <c r="AO514" s="1"/>
      <c r="AP514" s="1" t="s">
        <v>3</v>
      </c>
      <c r="AQ514" s="1" t="s">
        <v>3</v>
      </c>
      <c r="AR514" s="1" t="s">
        <v>3</v>
      </c>
      <c r="AS514" s="1"/>
      <c r="AT514" s="1"/>
      <c r="AU514" s="1"/>
      <c r="AV514" s="1"/>
      <c r="AW514" s="1"/>
      <c r="AX514" s="1"/>
      <c r="AY514" s="1"/>
      <c r="AZ514" s="1" t="s">
        <v>3</v>
      </c>
      <c r="BA514" s="1"/>
      <c r="BB514" s="1" t="s">
        <v>3</v>
      </c>
      <c r="BC514" s="1" t="s">
        <v>3</v>
      </c>
      <c r="BD514" s="1" t="s">
        <v>3</v>
      </c>
      <c r="BE514" s="1" t="s">
        <v>3</v>
      </c>
      <c r="BF514" s="1" t="s">
        <v>3</v>
      </c>
      <c r="BG514" s="1" t="s">
        <v>3</v>
      </c>
      <c r="BH514" s="1" t="s">
        <v>3</v>
      </c>
      <c r="BI514" s="1" t="s">
        <v>3</v>
      </c>
      <c r="BJ514" s="1" t="s">
        <v>3</v>
      </c>
      <c r="BK514" s="1" t="s">
        <v>3</v>
      </c>
      <c r="BL514" s="1" t="s">
        <v>3</v>
      </c>
      <c r="BM514" s="1" t="s">
        <v>3</v>
      </c>
      <c r="BN514" s="1" t="s">
        <v>3</v>
      </c>
      <c r="BO514" s="1" t="s">
        <v>3</v>
      </c>
      <c r="BP514" s="1" t="s">
        <v>3</v>
      </c>
      <c r="BQ514" s="1"/>
      <c r="BR514" s="1"/>
      <c r="BS514" s="1"/>
      <c r="BT514" s="1"/>
      <c r="BU514" s="1"/>
      <c r="BV514" s="1"/>
      <c r="BW514" s="1"/>
      <c r="BX514" s="1">
        <v>0</v>
      </c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>
        <v>0</v>
      </c>
    </row>
    <row r="516" spans="1:245" x14ac:dyDescent="0.2">
      <c r="A516" s="2">
        <v>52</v>
      </c>
      <c r="B516" s="2">
        <f t="shared" ref="B516:G516" si="438">B536</f>
        <v>1</v>
      </c>
      <c r="C516" s="2">
        <f t="shared" si="438"/>
        <v>5</v>
      </c>
      <c r="D516" s="2">
        <f t="shared" si="438"/>
        <v>514</v>
      </c>
      <c r="E516" s="2">
        <f t="shared" si="438"/>
        <v>0</v>
      </c>
      <c r="F516" s="2" t="str">
        <f t="shared" si="438"/>
        <v>Новый подраздел</v>
      </c>
      <c r="G516" s="2" t="str">
        <f t="shared" si="438"/>
        <v>Кондиционирование</v>
      </c>
      <c r="H516" s="2"/>
      <c r="I516" s="2"/>
      <c r="J516" s="2"/>
      <c r="K516" s="2"/>
      <c r="L516" s="2"/>
      <c r="M516" s="2"/>
      <c r="N516" s="2"/>
      <c r="O516" s="2">
        <f t="shared" ref="O516:AT516" si="439">O536</f>
        <v>193407.3</v>
      </c>
      <c r="P516" s="2">
        <f t="shared" si="439"/>
        <v>6092.34</v>
      </c>
      <c r="Q516" s="2">
        <f t="shared" si="439"/>
        <v>9136.1299999999992</v>
      </c>
      <c r="R516" s="2">
        <f t="shared" si="439"/>
        <v>5557.55</v>
      </c>
      <c r="S516" s="2">
        <f t="shared" si="439"/>
        <v>178178.83</v>
      </c>
      <c r="T516" s="2">
        <f t="shared" si="439"/>
        <v>0</v>
      </c>
      <c r="U516" s="2">
        <f t="shared" si="439"/>
        <v>268.38</v>
      </c>
      <c r="V516" s="2">
        <f t="shared" si="439"/>
        <v>0</v>
      </c>
      <c r="W516" s="2">
        <f t="shared" si="439"/>
        <v>0</v>
      </c>
      <c r="X516" s="2">
        <f t="shared" si="439"/>
        <v>124725.19</v>
      </c>
      <c r="Y516" s="2">
        <f t="shared" si="439"/>
        <v>17817.89</v>
      </c>
      <c r="Z516" s="2">
        <f t="shared" si="439"/>
        <v>0</v>
      </c>
      <c r="AA516" s="2">
        <f t="shared" si="439"/>
        <v>0</v>
      </c>
      <c r="AB516" s="2">
        <f t="shared" si="439"/>
        <v>193407.3</v>
      </c>
      <c r="AC516" s="2">
        <f t="shared" si="439"/>
        <v>6092.34</v>
      </c>
      <c r="AD516" s="2">
        <f t="shared" si="439"/>
        <v>9136.1299999999992</v>
      </c>
      <c r="AE516" s="2">
        <f t="shared" si="439"/>
        <v>5557.55</v>
      </c>
      <c r="AF516" s="2">
        <f t="shared" si="439"/>
        <v>178178.83</v>
      </c>
      <c r="AG516" s="2">
        <f t="shared" si="439"/>
        <v>0</v>
      </c>
      <c r="AH516" s="2">
        <f t="shared" si="439"/>
        <v>268.38</v>
      </c>
      <c r="AI516" s="2">
        <f t="shared" si="439"/>
        <v>0</v>
      </c>
      <c r="AJ516" s="2">
        <f t="shared" si="439"/>
        <v>0</v>
      </c>
      <c r="AK516" s="2">
        <f t="shared" si="439"/>
        <v>124725.19</v>
      </c>
      <c r="AL516" s="2">
        <f t="shared" si="439"/>
        <v>17817.89</v>
      </c>
      <c r="AM516" s="2">
        <f t="shared" si="439"/>
        <v>0</v>
      </c>
      <c r="AN516" s="2">
        <f t="shared" si="439"/>
        <v>0</v>
      </c>
      <c r="AO516" s="2">
        <f t="shared" si="439"/>
        <v>0</v>
      </c>
      <c r="AP516" s="2">
        <f t="shared" si="439"/>
        <v>0</v>
      </c>
      <c r="AQ516" s="2">
        <f t="shared" si="439"/>
        <v>0</v>
      </c>
      <c r="AR516" s="2">
        <f t="shared" si="439"/>
        <v>341952.54</v>
      </c>
      <c r="AS516" s="2">
        <f t="shared" si="439"/>
        <v>0</v>
      </c>
      <c r="AT516" s="2">
        <f t="shared" si="439"/>
        <v>0</v>
      </c>
      <c r="AU516" s="2">
        <f t="shared" ref="AU516:BZ516" si="440">AU536</f>
        <v>341952.54</v>
      </c>
      <c r="AV516" s="2">
        <f t="shared" si="440"/>
        <v>6092.34</v>
      </c>
      <c r="AW516" s="2">
        <f t="shared" si="440"/>
        <v>6092.34</v>
      </c>
      <c r="AX516" s="2">
        <f t="shared" si="440"/>
        <v>0</v>
      </c>
      <c r="AY516" s="2">
        <f t="shared" si="440"/>
        <v>6092.34</v>
      </c>
      <c r="AZ516" s="2">
        <f t="shared" si="440"/>
        <v>0</v>
      </c>
      <c r="BA516" s="2">
        <f t="shared" si="440"/>
        <v>0</v>
      </c>
      <c r="BB516" s="2">
        <f t="shared" si="440"/>
        <v>0</v>
      </c>
      <c r="BC516" s="2">
        <f t="shared" si="440"/>
        <v>0</v>
      </c>
      <c r="BD516" s="2">
        <f t="shared" si="440"/>
        <v>0</v>
      </c>
      <c r="BE516" s="2">
        <f t="shared" si="440"/>
        <v>0</v>
      </c>
      <c r="BF516" s="2">
        <f t="shared" si="440"/>
        <v>0</v>
      </c>
      <c r="BG516" s="2">
        <f t="shared" si="440"/>
        <v>0</v>
      </c>
      <c r="BH516" s="2">
        <f t="shared" si="440"/>
        <v>0</v>
      </c>
      <c r="BI516" s="2">
        <f t="shared" si="440"/>
        <v>0</v>
      </c>
      <c r="BJ516" s="2">
        <f t="shared" si="440"/>
        <v>0</v>
      </c>
      <c r="BK516" s="2">
        <f t="shared" si="440"/>
        <v>0</v>
      </c>
      <c r="BL516" s="2">
        <f t="shared" si="440"/>
        <v>0</v>
      </c>
      <c r="BM516" s="2">
        <f t="shared" si="440"/>
        <v>0</v>
      </c>
      <c r="BN516" s="2">
        <f t="shared" si="440"/>
        <v>0</v>
      </c>
      <c r="BO516" s="2">
        <f t="shared" si="440"/>
        <v>0</v>
      </c>
      <c r="BP516" s="2">
        <f t="shared" si="440"/>
        <v>0</v>
      </c>
      <c r="BQ516" s="2">
        <f t="shared" si="440"/>
        <v>0</v>
      </c>
      <c r="BR516" s="2">
        <f t="shared" si="440"/>
        <v>0</v>
      </c>
      <c r="BS516" s="2">
        <f t="shared" si="440"/>
        <v>0</v>
      </c>
      <c r="BT516" s="2">
        <f t="shared" si="440"/>
        <v>0</v>
      </c>
      <c r="BU516" s="2">
        <f t="shared" si="440"/>
        <v>0</v>
      </c>
      <c r="BV516" s="2">
        <f t="shared" si="440"/>
        <v>0</v>
      </c>
      <c r="BW516" s="2">
        <f t="shared" si="440"/>
        <v>0</v>
      </c>
      <c r="BX516" s="2">
        <f t="shared" si="440"/>
        <v>0</v>
      </c>
      <c r="BY516" s="2">
        <f t="shared" si="440"/>
        <v>0</v>
      </c>
      <c r="BZ516" s="2">
        <f t="shared" si="440"/>
        <v>0</v>
      </c>
      <c r="CA516" s="2">
        <f t="shared" ref="CA516:DF516" si="441">CA536</f>
        <v>341952.54</v>
      </c>
      <c r="CB516" s="2">
        <f t="shared" si="441"/>
        <v>0</v>
      </c>
      <c r="CC516" s="2">
        <f t="shared" si="441"/>
        <v>0</v>
      </c>
      <c r="CD516" s="2">
        <f t="shared" si="441"/>
        <v>341952.54</v>
      </c>
      <c r="CE516" s="2">
        <f t="shared" si="441"/>
        <v>6092.34</v>
      </c>
      <c r="CF516" s="2">
        <f t="shared" si="441"/>
        <v>6092.34</v>
      </c>
      <c r="CG516" s="2">
        <f t="shared" si="441"/>
        <v>0</v>
      </c>
      <c r="CH516" s="2">
        <f t="shared" si="441"/>
        <v>6092.34</v>
      </c>
      <c r="CI516" s="2">
        <f t="shared" si="441"/>
        <v>0</v>
      </c>
      <c r="CJ516" s="2">
        <f t="shared" si="441"/>
        <v>0</v>
      </c>
      <c r="CK516" s="2">
        <f t="shared" si="441"/>
        <v>0</v>
      </c>
      <c r="CL516" s="2">
        <f t="shared" si="441"/>
        <v>0</v>
      </c>
      <c r="CM516" s="2">
        <f t="shared" si="441"/>
        <v>0</v>
      </c>
      <c r="CN516" s="2">
        <f t="shared" si="441"/>
        <v>0</v>
      </c>
      <c r="CO516" s="2">
        <f t="shared" si="441"/>
        <v>0</v>
      </c>
      <c r="CP516" s="2">
        <f t="shared" si="441"/>
        <v>0</v>
      </c>
      <c r="CQ516" s="2">
        <f t="shared" si="441"/>
        <v>0</v>
      </c>
      <c r="CR516" s="2">
        <f t="shared" si="441"/>
        <v>0</v>
      </c>
      <c r="CS516" s="2">
        <f t="shared" si="441"/>
        <v>0</v>
      </c>
      <c r="CT516" s="2">
        <f t="shared" si="441"/>
        <v>0</v>
      </c>
      <c r="CU516" s="2">
        <f t="shared" si="441"/>
        <v>0</v>
      </c>
      <c r="CV516" s="2">
        <f t="shared" si="441"/>
        <v>0</v>
      </c>
      <c r="CW516" s="2">
        <f t="shared" si="441"/>
        <v>0</v>
      </c>
      <c r="CX516" s="2">
        <f t="shared" si="441"/>
        <v>0</v>
      </c>
      <c r="CY516" s="2">
        <f t="shared" si="441"/>
        <v>0</v>
      </c>
      <c r="CZ516" s="2">
        <f t="shared" si="441"/>
        <v>0</v>
      </c>
      <c r="DA516" s="2">
        <f t="shared" si="441"/>
        <v>0</v>
      </c>
      <c r="DB516" s="2">
        <f t="shared" si="441"/>
        <v>0</v>
      </c>
      <c r="DC516" s="2">
        <f t="shared" si="441"/>
        <v>0</v>
      </c>
      <c r="DD516" s="2">
        <f t="shared" si="441"/>
        <v>0</v>
      </c>
      <c r="DE516" s="2">
        <f t="shared" si="441"/>
        <v>0</v>
      </c>
      <c r="DF516" s="2">
        <f t="shared" si="441"/>
        <v>0</v>
      </c>
      <c r="DG516" s="3">
        <f t="shared" ref="DG516:EL516" si="442">DG536</f>
        <v>0</v>
      </c>
      <c r="DH516" s="3">
        <f t="shared" si="442"/>
        <v>0</v>
      </c>
      <c r="DI516" s="3">
        <f t="shared" si="442"/>
        <v>0</v>
      </c>
      <c r="DJ516" s="3">
        <f t="shared" si="442"/>
        <v>0</v>
      </c>
      <c r="DK516" s="3">
        <f t="shared" si="442"/>
        <v>0</v>
      </c>
      <c r="DL516" s="3">
        <f t="shared" si="442"/>
        <v>0</v>
      </c>
      <c r="DM516" s="3">
        <f t="shared" si="442"/>
        <v>0</v>
      </c>
      <c r="DN516" s="3">
        <f t="shared" si="442"/>
        <v>0</v>
      </c>
      <c r="DO516" s="3">
        <f t="shared" si="442"/>
        <v>0</v>
      </c>
      <c r="DP516" s="3">
        <f t="shared" si="442"/>
        <v>0</v>
      </c>
      <c r="DQ516" s="3">
        <f t="shared" si="442"/>
        <v>0</v>
      </c>
      <c r="DR516" s="3">
        <f t="shared" si="442"/>
        <v>0</v>
      </c>
      <c r="DS516" s="3">
        <f t="shared" si="442"/>
        <v>0</v>
      </c>
      <c r="DT516" s="3">
        <f t="shared" si="442"/>
        <v>0</v>
      </c>
      <c r="DU516" s="3">
        <f t="shared" si="442"/>
        <v>0</v>
      </c>
      <c r="DV516" s="3">
        <f t="shared" si="442"/>
        <v>0</v>
      </c>
      <c r="DW516" s="3">
        <f t="shared" si="442"/>
        <v>0</v>
      </c>
      <c r="DX516" s="3">
        <f t="shared" si="442"/>
        <v>0</v>
      </c>
      <c r="DY516" s="3">
        <f t="shared" si="442"/>
        <v>0</v>
      </c>
      <c r="DZ516" s="3">
        <f t="shared" si="442"/>
        <v>0</v>
      </c>
      <c r="EA516" s="3">
        <f t="shared" si="442"/>
        <v>0</v>
      </c>
      <c r="EB516" s="3">
        <f t="shared" si="442"/>
        <v>0</v>
      </c>
      <c r="EC516" s="3">
        <f t="shared" si="442"/>
        <v>0</v>
      </c>
      <c r="ED516" s="3">
        <f t="shared" si="442"/>
        <v>0</v>
      </c>
      <c r="EE516" s="3">
        <f t="shared" si="442"/>
        <v>0</v>
      </c>
      <c r="EF516" s="3">
        <f t="shared" si="442"/>
        <v>0</v>
      </c>
      <c r="EG516" s="3">
        <f t="shared" si="442"/>
        <v>0</v>
      </c>
      <c r="EH516" s="3">
        <f t="shared" si="442"/>
        <v>0</v>
      </c>
      <c r="EI516" s="3">
        <f t="shared" si="442"/>
        <v>0</v>
      </c>
      <c r="EJ516" s="3">
        <f t="shared" si="442"/>
        <v>0</v>
      </c>
      <c r="EK516" s="3">
        <f t="shared" si="442"/>
        <v>0</v>
      </c>
      <c r="EL516" s="3">
        <f t="shared" si="442"/>
        <v>0</v>
      </c>
      <c r="EM516" s="3">
        <f t="shared" ref="EM516:FR516" si="443">EM536</f>
        <v>0</v>
      </c>
      <c r="EN516" s="3">
        <f t="shared" si="443"/>
        <v>0</v>
      </c>
      <c r="EO516" s="3">
        <f t="shared" si="443"/>
        <v>0</v>
      </c>
      <c r="EP516" s="3">
        <f t="shared" si="443"/>
        <v>0</v>
      </c>
      <c r="EQ516" s="3">
        <f t="shared" si="443"/>
        <v>0</v>
      </c>
      <c r="ER516" s="3">
        <f t="shared" si="443"/>
        <v>0</v>
      </c>
      <c r="ES516" s="3">
        <f t="shared" si="443"/>
        <v>0</v>
      </c>
      <c r="ET516" s="3">
        <f t="shared" si="443"/>
        <v>0</v>
      </c>
      <c r="EU516" s="3">
        <f t="shared" si="443"/>
        <v>0</v>
      </c>
      <c r="EV516" s="3">
        <f t="shared" si="443"/>
        <v>0</v>
      </c>
      <c r="EW516" s="3">
        <f t="shared" si="443"/>
        <v>0</v>
      </c>
      <c r="EX516" s="3">
        <f t="shared" si="443"/>
        <v>0</v>
      </c>
      <c r="EY516" s="3">
        <f t="shared" si="443"/>
        <v>0</v>
      </c>
      <c r="EZ516" s="3">
        <f t="shared" si="443"/>
        <v>0</v>
      </c>
      <c r="FA516" s="3">
        <f t="shared" si="443"/>
        <v>0</v>
      </c>
      <c r="FB516" s="3">
        <f t="shared" si="443"/>
        <v>0</v>
      </c>
      <c r="FC516" s="3">
        <f t="shared" si="443"/>
        <v>0</v>
      </c>
      <c r="FD516" s="3">
        <f t="shared" si="443"/>
        <v>0</v>
      </c>
      <c r="FE516" s="3">
        <f t="shared" si="443"/>
        <v>0</v>
      </c>
      <c r="FF516" s="3">
        <f t="shared" si="443"/>
        <v>0</v>
      </c>
      <c r="FG516" s="3">
        <f t="shared" si="443"/>
        <v>0</v>
      </c>
      <c r="FH516" s="3">
        <f t="shared" si="443"/>
        <v>0</v>
      </c>
      <c r="FI516" s="3">
        <f t="shared" si="443"/>
        <v>0</v>
      </c>
      <c r="FJ516" s="3">
        <f t="shared" si="443"/>
        <v>0</v>
      </c>
      <c r="FK516" s="3">
        <f t="shared" si="443"/>
        <v>0</v>
      </c>
      <c r="FL516" s="3">
        <f t="shared" si="443"/>
        <v>0</v>
      </c>
      <c r="FM516" s="3">
        <f t="shared" si="443"/>
        <v>0</v>
      </c>
      <c r="FN516" s="3">
        <f t="shared" si="443"/>
        <v>0</v>
      </c>
      <c r="FO516" s="3">
        <f t="shared" si="443"/>
        <v>0</v>
      </c>
      <c r="FP516" s="3">
        <f t="shared" si="443"/>
        <v>0</v>
      </c>
      <c r="FQ516" s="3">
        <f t="shared" si="443"/>
        <v>0</v>
      </c>
      <c r="FR516" s="3">
        <f t="shared" si="443"/>
        <v>0</v>
      </c>
      <c r="FS516" s="3">
        <f t="shared" ref="FS516:GX516" si="444">FS536</f>
        <v>0</v>
      </c>
      <c r="FT516" s="3">
        <f t="shared" si="444"/>
        <v>0</v>
      </c>
      <c r="FU516" s="3">
        <f t="shared" si="444"/>
        <v>0</v>
      </c>
      <c r="FV516" s="3">
        <f t="shared" si="444"/>
        <v>0</v>
      </c>
      <c r="FW516" s="3">
        <f t="shared" si="444"/>
        <v>0</v>
      </c>
      <c r="FX516" s="3">
        <f t="shared" si="444"/>
        <v>0</v>
      </c>
      <c r="FY516" s="3">
        <f t="shared" si="444"/>
        <v>0</v>
      </c>
      <c r="FZ516" s="3">
        <f t="shared" si="444"/>
        <v>0</v>
      </c>
      <c r="GA516" s="3">
        <f t="shared" si="444"/>
        <v>0</v>
      </c>
      <c r="GB516" s="3">
        <f t="shared" si="444"/>
        <v>0</v>
      </c>
      <c r="GC516" s="3">
        <f t="shared" si="444"/>
        <v>0</v>
      </c>
      <c r="GD516" s="3">
        <f t="shared" si="444"/>
        <v>0</v>
      </c>
      <c r="GE516" s="3">
        <f t="shared" si="444"/>
        <v>0</v>
      </c>
      <c r="GF516" s="3">
        <f t="shared" si="444"/>
        <v>0</v>
      </c>
      <c r="GG516" s="3">
        <f t="shared" si="444"/>
        <v>0</v>
      </c>
      <c r="GH516" s="3">
        <f t="shared" si="444"/>
        <v>0</v>
      </c>
      <c r="GI516" s="3">
        <f t="shared" si="444"/>
        <v>0</v>
      </c>
      <c r="GJ516" s="3">
        <f t="shared" si="444"/>
        <v>0</v>
      </c>
      <c r="GK516" s="3">
        <f t="shared" si="444"/>
        <v>0</v>
      </c>
      <c r="GL516" s="3">
        <f t="shared" si="444"/>
        <v>0</v>
      </c>
      <c r="GM516" s="3">
        <f t="shared" si="444"/>
        <v>0</v>
      </c>
      <c r="GN516" s="3">
        <f t="shared" si="444"/>
        <v>0</v>
      </c>
      <c r="GO516" s="3">
        <f t="shared" si="444"/>
        <v>0</v>
      </c>
      <c r="GP516" s="3">
        <f t="shared" si="444"/>
        <v>0</v>
      </c>
      <c r="GQ516" s="3">
        <f t="shared" si="444"/>
        <v>0</v>
      </c>
      <c r="GR516" s="3">
        <f t="shared" si="444"/>
        <v>0</v>
      </c>
      <c r="GS516" s="3">
        <f t="shared" si="444"/>
        <v>0</v>
      </c>
      <c r="GT516" s="3">
        <f t="shared" si="444"/>
        <v>0</v>
      </c>
      <c r="GU516" s="3">
        <f t="shared" si="444"/>
        <v>0</v>
      </c>
      <c r="GV516" s="3">
        <f t="shared" si="444"/>
        <v>0</v>
      </c>
      <c r="GW516" s="3">
        <f t="shared" si="444"/>
        <v>0</v>
      </c>
      <c r="GX516" s="3">
        <f t="shared" si="444"/>
        <v>0</v>
      </c>
    </row>
    <row r="518" spans="1:245" x14ac:dyDescent="0.2">
      <c r="A518">
        <v>19</v>
      </c>
      <c r="B518">
        <v>1</v>
      </c>
      <c r="F518" t="s">
        <v>3</v>
      </c>
      <c r="G518" t="s">
        <v>261</v>
      </c>
      <c r="H518" t="s">
        <v>3</v>
      </c>
      <c r="AA518">
        <v>1</v>
      </c>
      <c r="IK518">
        <v>0</v>
      </c>
    </row>
    <row r="519" spans="1:245" x14ac:dyDescent="0.2">
      <c r="A519">
        <v>17</v>
      </c>
      <c r="B519">
        <v>1</v>
      </c>
      <c r="D519">
        <f>ROW(EtalonRes!A437)</f>
        <v>437</v>
      </c>
      <c r="E519" t="s">
        <v>3</v>
      </c>
      <c r="F519" t="s">
        <v>387</v>
      </c>
      <c r="G519" t="s">
        <v>388</v>
      </c>
      <c r="H519" t="s">
        <v>322</v>
      </c>
      <c r="I519">
        <f>ROUND((1+1)*3,9)</f>
        <v>6</v>
      </c>
      <c r="J519">
        <v>0</v>
      </c>
      <c r="K519">
        <f>ROUND((1+1)*3,9)</f>
        <v>6</v>
      </c>
      <c r="O519">
        <f>ROUND(CP519,2)</f>
        <v>638848.48</v>
      </c>
      <c r="P519">
        <f>ROUND(CQ519*I519,2)</f>
        <v>23192.48</v>
      </c>
      <c r="Q519">
        <f>ROUND(CR519*I519,2)</f>
        <v>0</v>
      </c>
      <c r="R519">
        <f>ROUND(CS519*I519,2)</f>
        <v>0</v>
      </c>
      <c r="S519">
        <f>ROUND(CT519*I519,2)</f>
        <v>615656</v>
      </c>
      <c r="T519">
        <f>ROUND(CU519*I519,2)</f>
        <v>0</v>
      </c>
      <c r="U519">
        <f>CV519*I519</f>
        <v>800</v>
      </c>
      <c r="V519">
        <f>CW519*I519</f>
        <v>0</v>
      </c>
      <c r="W519">
        <f>ROUND(CX519*I519,2)</f>
        <v>0</v>
      </c>
      <c r="X519">
        <f t="shared" ref="X519:Y523" si="445">ROUND(CY519,2)</f>
        <v>430959.2</v>
      </c>
      <c r="Y519">
        <f t="shared" si="445"/>
        <v>61565.599999999999</v>
      </c>
      <c r="AA519">
        <v>-1</v>
      </c>
      <c r="AB519">
        <f>ROUND((AC519+AD519+AF519),6)</f>
        <v>106474.74666600001</v>
      </c>
      <c r="AC519">
        <f>ROUND((((ES519/12)*8)),6)</f>
        <v>3865.413333</v>
      </c>
      <c r="AD519">
        <f>ROUND((((((ET519/12)*8))-(((EU519/12)*8)))+AE519),6)</f>
        <v>0</v>
      </c>
      <c r="AE519">
        <f>ROUND((((EU519/12)*8)),6)</f>
        <v>0</v>
      </c>
      <c r="AF519">
        <f>ROUND((((EV519/12)*8)),6)</f>
        <v>102609.333333</v>
      </c>
      <c r="AG519">
        <f>ROUND((AP519),6)</f>
        <v>0</v>
      </c>
      <c r="AH519">
        <f>(((EW519/12)*8))</f>
        <v>133.33333333333334</v>
      </c>
      <c r="AI519">
        <f>(((EX519/12)*8))</f>
        <v>0</v>
      </c>
      <c r="AJ519">
        <f>(AS519)</f>
        <v>0</v>
      </c>
      <c r="AK519">
        <v>159712.12</v>
      </c>
      <c r="AL519">
        <v>5798.12</v>
      </c>
      <c r="AM519">
        <v>0</v>
      </c>
      <c r="AN519">
        <v>0</v>
      </c>
      <c r="AO519">
        <v>153914</v>
      </c>
      <c r="AP519">
        <v>0</v>
      </c>
      <c r="AQ519">
        <v>200</v>
      </c>
      <c r="AR519">
        <v>0</v>
      </c>
      <c r="AS519">
        <v>0</v>
      </c>
      <c r="AT519">
        <v>70</v>
      </c>
      <c r="AU519">
        <v>10</v>
      </c>
      <c r="AV519">
        <v>1</v>
      </c>
      <c r="AW519">
        <v>1</v>
      </c>
      <c r="AZ519">
        <v>1</v>
      </c>
      <c r="BA519">
        <v>1</v>
      </c>
      <c r="BB519">
        <v>1</v>
      </c>
      <c r="BC519">
        <v>1</v>
      </c>
      <c r="BD519" t="s">
        <v>3</v>
      </c>
      <c r="BE519" t="s">
        <v>3</v>
      </c>
      <c r="BF519" t="s">
        <v>3</v>
      </c>
      <c r="BG519" t="s">
        <v>3</v>
      </c>
      <c r="BH519">
        <v>0</v>
      </c>
      <c r="BI519">
        <v>4</v>
      </c>
      <c r="BJ519" t="s">
        <v>389</v>
      </c>
      <c r="BM519">
        <v>0</v>
      </c>
      <c r="BN519">
        <v>0</v>
      </c>
      <c r="BO519" t="s">
        <v>3</v>
      </c>
      <c r="BP519">
        <v>0</v>
      </c>
      <c r="BQ519">
        <v>1</v>
      </c>
      <c r="BR519">
        <v>0</v>
      </c>
      <c r="BS519">
        <v>1</v>
      </c>
      <c r="BT519">
        <v>1</v>
      </c>
      <c r="BU519">
        <v>1</v>
      </c>
      <c r="BV519">
        <v>1</v>
      </c>
      <c r="BW519">
        <v>1</v>
      </c>
      <c r="BX519">
        <v>1</v>
      </c>
      <c r="BY519" t="s">
        <v>3</v>
      </c>
      <c r="BZ519">
        <v>70</v>
      </c>
      <c r="CA519">
        <v>10</v>
      </c>
      <c r="CB519" t="s">
        <v>3</v>
      </c>
      <c r="CE519">
        <v>0</v>
      </c>
      <c r="CF519">
        <v>0</v>
      </c>
      <c r="CG519">
        <v>0</v>
      </c>
      <c r="CM519">
        <v>0</v>
      </c>
      <c r="CN519" t="s">
        <v>3</v>
      </c>
      <c r="CO519">
        <v>0</v>
      </c>
      <c r="CP519">
        <f>(P519+Q519+S519)</f>
        <v>638848.48</v>
      </c>
      <c r="CQ519">
        <f>(AC519*BC519*AW519)</f>
        <v>3865.413333</v>
      </c>
      <c r="CR519">
        <f>((((((ET519/12)*8))*BB519-(((EU519/12)*8))*BS519)+AE519*BS519)*AV519)</f>
        <v>0</v>
      </c>
      <c r="CS519">
        <f>(AE519*BS519*AV519)</f>
        <v>0</v>
      </c>
      <c r="CT519">
        <f>(AF519*BA519*AV519)</f>
        <v>102609.333333</v>
      </c>
      <c r="CU519">
        <f>AG519</f>
        <v>0</v>
      </c>
      <c r="CV519">
        <f>(AH519*AV519)</f>
        <v>133.33333333333334</v>
      </c>
      <c r="CW519">
        <f t="shared" ref="CW519:CX523" si="446">AI519</f>
        <v>0</v>
      </c>
      <c r="CX519">
        <f t="shared" si="446"/>
        <v>0</v>
      </c>
      <c r="CY519">
        <f>((S519*BZ519)/100)</f>
        <v>430959.2</v>
      </c>
      <c r="CZ519">
        <f>((S519*CA519)/100)</f>
        <v>61565.599999999999</v>
      </c>
      <c r="DC519" t="s">
        <v>3</v>
      </c>
      <c r="DD519" t="s">
        <v>324</v>
      </c>
      <c r="DE519" t="s">
        <v>324</v>
      </c>
      <c r="DF519" t="s">
        <v>324</v>
      </c>
      <c r="DG519" t="s">
        <v>324</v>
      </c>
      <c r="DH519" t="s">
        <v>3</v>
      </c>
      <c r="DI519" t="s">
        <v>324</v>
      </c>
      <c r="DJ519" t="s">
        <v>324</v>
      </c>
      <c r="DK519" t="s">
        <v>3</v>
      </c>
      <c r="DL519" t="s">
        <v>3</v>
      </c>
      <c r="DM519" t="s">
        <v>3</v>
      </c>
      <c r="DN519">
        <v>0</v>
      </c>
      <c r="DO519">
        <v>0</v>
      </c>
      <c r="DP519">
        <v>1</v>
      </c>
      <c r="DQ519">
        <v>1</v>
      </c>
      <c r="DU519">
        <v>1013</v>
      </c>
      <c r="DV519" t="s">
        <v>322</v>
      </c>
      <c r="DW519" t="s">
        <v>322</v>
      </c>
      <c r="DX519">
        <v>1</v>
      </c>
      <c r="DZ519" t="s">
        <v>3</v>
      </c>
      <c r="EA519" t="s">
        <v>3</v>
      </c>
      <c r="EB519" t="s">
        <v>3</v>
      </c>
      <c r="EC519" t="s">
        <v>3</v>
      </c>
      <c r="EE519">
        <v>1441815344</v>
      </c>
      <c r="EF519">
        <v>1</v>
      </c>
      <c r="EG519" t="s">
        <v>23</v>
      </c>
      <c r="EH519">
        <v>0</v>
      </c>
      <c r="EI519" t="s">
        <v>3</v>
      </c>
      <c r="EJ519">
        <v>4</v>
      </c>
      <c r="EK519">
        <v>0</v>
      </c>
      <c r="EL519" t="s">
        <v>24</v>
      </c>
      <c r="EM519" t="s">
        <v>25</v>
      </c>
      <c r="EO519" t="s">
        <v>3</v>
      </c>
      <c r="EQ519">
        <v>1024</v>
      </c>
      <c r="ER519">
        <v>159712.12</v>
      </c>
      <c r="ES519">
        <v>5798.12</v>
      </c>
      <c r="ET519">
        <v>0</v>
      </c>
      <c r="EU519">
        <v>0</v>
      </c>
      <c r="EV519">
        <v>153914</v>
      </c>
      <c r="EW519">
        <v>200</v>
      </c>
      <c r="EX519">
        <v>0</v>
      </c>
      <c r="EY519">
        <v>0</v>
      </c>
      <c r="FQ519">
        <v>0</v>
      </c>
      <c r="FR519">
        <f>ROUND(IF(BI519=3,GM519,0),2)</f>
        <v>0</v>
      </c>
      <c r="FS519">
        <v>0</v>
      </c>
      <c r="FX519">
        <v>70</v>
      </c>
      <c r="FY519">
        <v>10</v>
      </c>
      <c r="GA519" t="s">
        <v>3</v>
      </c>
      <c r="GD519">
        <v>0</v>
      </c>
      <c r="GF519">
        <v>843976324</v>
      </c>
      <c r="GG519">
        <v>2</v>
      </c>
      <c r="GH519">
        <v>1</v>
      </c>
      <c r="GI519">
        <v>-2</v>
      </c>
      <c r="GJ519">
        <v>0</v>
      </c>
      <c r="GK519">
        <f>ROUND(R519*(R12)/100,2)</f>
        <v>0</v>
      </c>
      <c r="GL519">
        <f>ROUND(IF(AND(BH519=3,BI519=3,FS519&lt;&gt;0),P519,0),2)</f>
        <v>0</v>
      </c>
      <c r="GM519">
        <f>ROUND(O519+X519+Y519+GK519,2)+GX519</f>
        <v>1131373.28</v>
      </c>
      <c r="GN519">
        <f>IF(OR(BI519=0,BI519=1),GM519-GX519,0)</f>
        <v>0</v>
      </c>
      <c r="GO519">
        <f>IF(BI519=2,GM519-GX519,0)</f>
        <v>0</v>
      </c>
      <c r="GP519">
        <f>IF(BI519=4,GM519-GX519,0)</f>
        <v>1131373.28</v>
      </c>
      <c r="GR519">
        <v>0</v>
      </c>
      <c r="GS519">
        <v>3</v>
      </c>
      <c r="GT519">
        <v>0</v>
      </c>
      <c r="GU519" t="s">
        <v>3</v>
      </c>
      <c r="GV519">
        <f>ROUND((GT519),6)</f>
        <v>0</v>
      </c>
      <c r="GW519">
        <v>1</v>
      </c>
      <c r="GX519">
        <f>ROUND(HC519*I519,2)</f>
        <v>0</v>
      </c>
      <c r="HA519">
        <v>0</v>
      </c>
      <c r="HB519">
        <v>0</v>
      </c>
      <c r="HC519">
        <f>GV519*GW519</f>
        <v>0</v>
      </c>
      <c r="HE519" t="s">
        <v>3</v>
      </c>
      <c r="HF519" t="s">
        <v>3</v>
      </c>
      <c r="HM519" t="s">
        <v>3</v>
      </c>
      <c r="HN519" t="s">
        <v>3</v>
      </c>
      <c r="HO519" t="s">
        <v>3</v>
      </c>
      <c r="HP519" t="s">
        <v>3</v>
      </c>
      <c r="HQ519" t="s">
        <v>3</v>
      </c>
      <c r="IK519">
        <v>0</v>
      </c>
    </row>
    <row r="520" spans="1:245" x14ac:dyDescent="0.2">
      <c r="A520">
        <v>17</v>
      </c>
      <c r="B520">
        <v>1</v>
      </c>
      <c r="D520">
        <f>ROW(EtalonRes!A441)</f>
        <v>441</v>
      </c>
      <c r="E520" t="s">
        <v>390</v>
      </c>
      <c r="F520" t="s">
        <v>391</v>
      </c>
      <c r="G520" t="s">
        <v>392</v>
      </c>
      <c r="H520" t="s">
        <v>322</v>
      </c>
      <c r="I520">
        <f>ROUND((1+1)*3,9)</f>
        <v>6</v>
      </c>
      <c r="J520">
        <v>0</v>
      </c>
      <c r="K520">
        <f>ROUND((1+1)*3,9)</f>
        <v>6</v>
      </c>
      <c r="O520">
        <f>ROUND(CP520,2)</f>
        <v>65043.12</v>
      </c>
      <c r="P520">
        <f>ROUND(CQ520*I520,2)</f>
        <v>4261.92</v>
      </c>
      <c r="Q520">
        <f>ROUND(CR520*I520,2)</f>
        <v>6567.12</v>
      </c>
      <c r="R520">
        <f>ROUND(CS520*I520,2)</f>
        <v>4164</v>
      </c>
      <c r="S520">
        <f>ROUND(CT520*I520,2)</f>
        <v>54214.080000000002</v>
      </c>
      <c r="T520">
        <f>ROUND(CU520*I520,2)</f>
        <v>0</v>
      </c>
      <c r="U520">
        <f>CV520*I520</f>
        <v>81.599999999999994</v>
      </c>
      <c r="V520">
        <f>CW520*I520</f>
        <v>0</v>
      </c>
      <c r="W520">
        <f>ROUND(CX520*I520,2)</f>
        <v>0</v>
      </c>
      <c r="X520">
        <f t="shared" si="445"/>
        <v>37949.86</v>
      </c>
      <c r="Y520">
        <f t="shared" si="445"/>
        <v>5421.41</v>
      </c>
      <c r="AA520">
        <v>1472224561</v>
      </c>
      <c r="AB520">
        <f>ROUND((AC520+AD520+AF520),6)</f>
        <v>10840.52</v>
      </c>
      <c r="AC520">
        <f>ROUND(((ES520*2)),6)</f>
        <v>710.32</v>
      </c>
      <c r="AD520">
        <f>ROUND(((((ET520*2))-((EU520*2)))+AE520),6)</f>
        <v>1094.52</v>
      </c>
      <c r="AE520">
        <f>ROUND(((EU520*2)),6)</f>
        <v>694</v>
      </c>
      <c r="AF520">
        <f>ROUND(((EV520*2)),6)</f>
        <v>9035.68</v>
      </c>
      <c r="AG520">
        <f>ROUND((AP520),6)</f>
        <v>0</v>
      </c>
      <c r="AH520">
        <f>((EW520*2))</f>
        <v>13.6</v>
      </c>
      <c r="AI520">
        <f>((EX520*2))</f>
        <v>0</v>
      </c>
      <c r="AJ520">
        <f>(AS520)</f>
        <v>0</v>
      </c>
      <c r="AK520">
        <v>5420.26</v>
      </c>
      <c r="AL520">
        <v>355.16</v>
      </c>
      <c r="AM520">
        <v>547.26</v>
      </c>
      <c r="AN520">
        <v>347</v>
      </c>
      <c r="AO520">
        <v>4517.84</v>
      </c>
      <c r="AP520">
        <v>0</v>
      </c>
      <c r="AQ520">
        <v>6.8</v>
      </c>
      <c r="AR520">
        <v>0</v>
      </c>
      <c r="AS520">
        <v>0</v>
      </c>
      <c r="AT520">
        <v>70</v>
      </c>
      <c r="AU520">
        <v>10</v>
      </c>
      <c r="AV520">
        <v>1</v>
      </c>
      <c r="AW520">
        <v>1</v>
      </c>
      <c r="AZ520">
        <v>1</v>
      </c>
      <c r="BA520">
        <v>1</v>
      </c>
      <c r="BB520">
        <v>1</v>
      </c>
      <c r="BC520">
        <v>1</v>
      </c>
      <c r="BD520" t="s">
        <v>3</v>
      </c>
      <c r="BE520" t="s">
        <v>3</v>
      </c>
      <c r="BF520" t="s">
        <v>3</v>
      </c>
      <c r="BG520" t="s">
        <v>3</v>
      </c>
      <c r="BH520">
        <v>0</v>
      </c>
      <c r="BI520">
        <v>4</v>
      </c>
      <c r="BJ520" t="s">
        <v>393</v>
      </c>
      <c r="BM520">
        <v>0</v>
      </c>
      <c r="BN520">
        <v>0</v>
      </c>
      <c r="BO520" t="s">
        <v>3</v>
      </c>
      <c r="BP520">
        <v>0</v>
      </c>
      <c r="BQ520">
        <v>1</v>
      </c>
      <c r="BR520">
        <v>0</v>
      </c>
      <c r="BS520">
        <v>1</v>
      </c>
      <c r="BT520">
        <v>1</v>
      </c>
      <c r="BU520">
        <v>1</v>
      </c>
      <c r="BV520">
        <v>1</v>
      </c>
      <c r="BW520">
        <v>1</v>
      </c>
      <c r="BX520">
        <v>1</v>
      </c>
      <c r="BY520" t="s">
        <v>3</v>
      </c>
      <c r="BZ520">
        <v>70</v>
      </c>
      <c r="CA520">
        <v>10</v>
      </c>
      <c r="CB520" t="s">
        <v>3</v>
      </c>
      <c r="CE520">
        <v>0</v>
      </c>
      <c r="CF520">
        <v>0</v>
      </c>
      <c r="CG520">
        <v>0</v>
      </c>
      <c r="CM520">
        <v>0</v>
      </c>
      <c r="CN520" t="s">
        <v>3</v>
      </c>
      <c r="CO520">
        <v>0</v>
      </c>
      <c r="CP520">
        <f>(P520+Q520+S520)</f>
        <v>65043.12</v>
      </c>
      <c r="CQ520">
        <f>(AC520*BC520*AW520)</f>
        <v>710.32</v>
      </c>
      <c r="CR520">
        <f>(((((ET520*2))*BB520-((EU520*2))*BS520)+AE520*BS520)*AV520)</f>
        <v>1094.52</v>
      </c>
      <c r="CS520">
        <f>(AE520*BS520*AV520)</f>
        <v>694</v>
      </c>
      <c r="CT520">
        <f>(AF520*BA520*AV520)</f>
        <v>9035.68</v>
      </c>
      <c r="CU520">
        <f>AG520</f>
        <v>0</v>
      </c>
      <c r="CV520">
        <f>(AH520*AV520)</f>
        <v>13.6</v>
      </c>
      <c r="CW520">
        <f t="shared" si="446"/>
        <v>0</v>
      </c>
      <c r="CX520">
        <f t="shared" si="446"/>
        <v>0</v>
      </c>
      <c r="CY520">
        <f>((S520*BZ520)/100)</f>
        <v>37949.856</v>
      </c>
      <c r="CZ520">
        <f>((S520*CA520)/100)</f>
        <v>5421.4080000000004</v>
      </c>
      <c r="DC520" t="s">
        <v>3</v>
      </c>
      <c r="DD520" t="s">
        <v>164</v>
      </c>
      <c r="DE520" t="s">
        <v>164</v>
      </c>
      <c r="DF520" t="s">
        <v>164</v>
      </c>
      <c r="DG520" t="s">
        <v>164</v>
      </c>
      <c r="DH520" t="s">
        <v>3</v>
      </c>
      <c r="DI520" t="s">
        <v>164</v>
      </c>
      <c r="DJ520" t="s">
        <v>164</v>
      </c>
      <c r="DK520" t="s">
        <v>3</v>
      </c>
      <c r="DL520" t="s">
        <v>3</v>
      </c>
      <c r="DM520" t="s">
        <v>3</v>
      </c>
      <c r="DN520">
        <v>0</v>
      </c>
      <c r="DO520">
        <v>0</v>
      </c>
      <c r="DP520">
        <v>1</v>
      </c>
      <c r="DQ520">
        <v>1</v>
      </c>
      <c r="DU520">
        <v>1013</v>
      </c>
      <c r="DV520" t="s">
        <v>322</v>
      </c>
      <c r="DW520" t="s">
        <v>322</v>
      </c>
      <c r="DX520">
        <v>1</v>
      </c>
      <c r="DZ520" t="s">
        <v>3</v>
      </c>
      <c r="EA520" t="s">
        <v>3</v>
      </c>
      <c r="EB520" t="s">
        <v>3</v>
      </c>
      <c r="EC520" t="s">
        <v>3</v>
      </c>
      <c r="EE520">
        <v>1441815344</v>
      </c>
      <c r="EF520">
        <v>1</v>
      </c>
      <c r="EG520" t="s">
        <v>23</v>
      </c>
      <c r="EH520">
        <v>0</v>
      </c>
      <c r="EI520" t="s">
        <v>3</v>
      </c>
      <c r="EJ520">
        <v>4</v>
      </c>
      <c r="EK520">
        <v>0</v>
      </c>
      <c r="EL520" t="s">
        <v>24</v>
      </c>
      <c r="EM520" t="s">
        <v>25</v>
      </c>
      <c r="EO520" t="s">
        <v>3</v>
      </c>
      <c r="EQ520">
        <v>0</v>
      </c>
      <c r="ER520">
        <v>5420.26</v>
      </c>
      <c r="ES520">
        <v>355.16</v>
      </c>
      <c r="ET520">
        <v>547.26</v>
      </c>
      <c r="EU520">
        <v>347</v>
      </c>
      <c r="EV520">
        <v>4517.84</v>
      </c>
      <c r="EW520">
        <v>6.8</v>
      </c>
      <c r="EX520">
        <v>0</v>
      </c>
      <c r="EY520">
        <v>0</v>
      </c>
      <c r="FQ520">
        <v>0</v>
      </c>
      <c r="FR520">
        <f>ROUND(IF(BI520=3,GM520,0),2)</f>
        <v>0</v>
      </c>
      <c r="FS520">
        <v>0</v>
      </c>
      <c r="FX520">
        <v>70</v>
      </c>
      <c r="FY520">
        <v>10</v>
      </c>
      <c r="GA520" t="s">
        <v>3</v>
      </c>
      <c r="GD520">
        <v>0</v>
      </c>
      <c r="GF520">
        <v>1450541404</v>
      </c>
      <c r="GG520">
        <v>2</v>
      </c>
      <c r="GH520">
        <v>1</v>
      </c>
      <c r="GI520">
        <v>-2</v>
      </c>
      <c r="GJ520">
        <v>0</v>
      </c>
      <c r="GK520">
        <f>ROUND(R520*(R12)/100,2)</f>
        <v>4497.12</v>
      </c>
      <c r="GL520">
        <f>ROUND(IF(AND(BH520=3,BI520=3,FS520&lt;&gt;0),P520,0),2)</f>
        <v>0</v>
      </c>
      <c r="GM520">
        <f>ROUND(O520+X520+Y520+GK520,2)+GX520</f>
        <v>112911.51</v>
      </c>
      <c r="GN520">
        <f>IF(OR(BI520=0,BI520=1),GM520-GX520,0)</f>
        <v>0</v>
      </c>
      <c r="GO520">
        <f>IF(BI520=2,GM520-GX520,0)</f>
        <v>0</v>
      </c>
      <c r="GP520">
        <f>IF(BI520=4,GM520-GX520,0)</f>
        <v>112911.51</v>
      </c>
      <c r="GR520">
        <v>0</v>
      </c>
      <c r="GS520">
        <v>3</v>
      </c>
      <c r="GT520">
        <v>0</v>
      </c>
      <c r="GU520" t="s">
        <v>3</v>
      </c>
      <c r="GV520">
        <f>ROUND((GT520),6)</f>
        <v>0</v>
      </c>
      <c r="GW520">
        <v>1</v>
      </c>
      <c r="GX520">
        <f>ROUND(HC520*I520,2)</f>
        <v>0</v>
      </c>
      <c r="HA520">
        <v>0</v>
      </c>
      <c r="HB520">
        <v>0</v>
      </c>
      <c r="HC520">
        <f>GV520*GW520</f>
        <v>0</v>
      </c>
      <c r="HE520" t="s">
        <v>3</v>
      </c>
      <c r="HF520" t="s">
        <v>3</v>
      </c>
      <c r="HM520" t="s">
        <v>3</v>
      </c>
      <c r="HN520" t="s">
        <v>3</v>
      </c>
      <c r="HO520" t="s">
        <v>3</v>
      </c>
      <c r="HP520" t="s">
        <v>3</v>
      </c>
      <c r="HQ520" t="s">
        <v>3</v>
      </c>
      <c r="IK520">
        <v>0</v>
      </c>
    </row>
    <row r="521" spans="1:245" x14ac:dyDescent="0.2">
      <c r="A521">
        <v>17</v>
      </c>
      <c r="B521">
        <v>1</v>
      </c>
      <c r="D521">
        <f>ROW(EtalonRes!A444)</f>
        <v>444</v>
      </c>
      <c r="E521" t="s">
        <v>3</v>
      </c>
      <c r="F521" t="s">
        <v>394</v>
      </c>
      <c r="G521" t="s">
        <v>395</v>
      </c>
      <c r="H521" t="s">
        <v>322</v>
      </c>
      <c r="I521">
        <f>ROUND((1+1)*3,9)</f>
        <v>6</v>
      </c>
      <c r="J521">
        <v>0</v>
      </c>
      <c r="K521">
        <f>ROUND((1+1)*3,9)</f>
        <v>6</v>
      </c>
      <c r="O521">
        <f>ROUND(CP521,2)</f>
        <v>56062.8</v>
      </c>
      <c r="P521">
        <f>ROUND(CQ521*I521,2)</f>
        <v>377.88</v>
      </c>
      <c r="Q521">
        <f>ROUND(CR521*I521,2)</f>
        <v>6567.12</v>
      </c>
      <c r="R521">
        <f>ROUND(CS521*I521,2)</f>
        <v>4164</v>
      </c>
      <c r="S521">
        <f>ROUND(CT521*I521,2)</f>
        <v>49117.8</v>
      </c>
      <c r="T521">
        <f>ROUND(CU521*I521,2)</f>
        <v>0</v>
      </c>
      <c r="U521">
        <f>CV521*I521</f>
        <v>73.92</v>
      </c>
      <c r="V521">
        <f>CW521*I521</f>
        <v>0</v>
      </c>
      <c r="W521">
        <f>ROUND(CX521*I521,2)</f>
        <v>0</v>
      </c>
      <c r="X521">
        <f t="shared" si="445"/>
        <v>34382.46</v>
      </c>
      <c r="Y521">
        <f t="shared" si="445"/>
        <v>4911.78</v>
      </c>
      <c r="AA521">
        <v>-1</v>
      </c>
      <c r="AB521">
        <f>ROUND((AC521+AD521+AF521),6)</f>
        <v>9343.7999999999993</v>
      </c>
      <c r="AC521">
        <f>ROUND(((ES521*2)),6)</f>
        <v>62.98</v>
      </c>
      <c r="AD521">
        <f>ROUND(((((ET521*2))-((EU521*2)))+AE521),6)</f>
        <v>1094.52</v>
      </c>
      <c r="AE521">
        <f>ROUND(((EU521*2)),6)</f>
        <v>694</v>
      </c>
      <c r="AF521">
        <f>ROUND(((EV521*2)),6)</f>
        <v>8186.3</v>
      </c>
      <c r="AG521">
        <f>ROUND((AP521),6)</f>
        <v>0</v>
      </c>
      <c r="AH521">
        <f>((EW521*2))</f>
        <v>12.32</v>
      </c>
      <c r="AI521">
        <f>((EX521*2))</f>
        <v>0</v>
      </c>
      <c r="AJ521">
        <f>(AS521)</f>
        <v>0</v>
      </c>
      <c r="AK521">
        <v>4671.8999999999996</v>
      </c>
      <c r="AL521">
        <v>31.49</v>
      </c>
      <c r="AM521">
        <v>547.26</v>
      </c>
      <c r="AN521">
        <v>347</v>
      </c>
      <c r="AO521">
        <v>4093.15</v>
      </c>
      <c r="AP521">
        <v>0</v>
      </c>
      <c r="AQ521">
        <v>6.16</v>
      </c>
      <c r="AR521">
        <v>0</v>
      </c>
      <c r="AS521">
        <v>0</v>
      </c>
      <c r="AT521">
        <v>70</v>
      </c>
      <c r="AU521">
        <v>10</v>
      </c>
      <c r="AV521">
        <v>1</v>
      </c>
      <c r="AW521">
        <v>1</v>
      </c>
      <c r="AZ521">
        <v>1</v>
      </c>
      <c r="BA521">
        <v>1</v>
      </c>
      <c r="BB521">
        <v>1</v>
      </c>
      <c r="BC521">
        <v>1</v>
      </c>
      <c r="BD521" t="s">
        <v>3</v>
      </c>
      <c r="BE521" t="s">
        <v>3</v>
      </c>
      <c r="BF521" t="s">
        <v>3</v>
      </c>
      <c r="BG521" t="s">
        <v>3</v>
      </c>
      <c r="BH521">
        <v>0</v>
      </c>
      <c r="BI521">
        <v>4</v>
      </c>
      <c r="BJ521" t="s">
        <v>396</v>
      </c>
      <c r="BM521">
        <v>0</v>
      </c>
      <c r="BN521">
        <v>0</v>
      </c>
      <c r="BO521" t="s">
        <v>3</v>
      </c>
      <c r="BP521">
        <v>0</v>
      </c>
      <c r="BQ521">
        <v>1</v>
      </c>
      <c r="BR521">
        <v>0</v>
      </c>
      <c r="BS521">
        <v>1</v>
      </c>
      <c r="BT521">
        <v>1</v>
      </c>
      <c r="BU521">
        <v>1</v>
      </c>
      <c r="BV521">
        <v>1</v>
      </c>
      <c r="BW521">
        <v>1</v>
      </c>
      <c r="BX521">
        <v>1</v>
      </c>
      <c r="BY521" t="s">
        <v>3</v>
      </c>
      <c r="BZ521">
        <v>70</v>
      </c>
      <c r="CA521">
        <v>10</v>
      </c>
      <c r="CB521" t="s">
        <v>3</v>
      </c>
      <c r="CE521">
        <v>0</v>
      </c>
      <c r="CF521">
        <v>0</v>
      </c>
      <c r="CG521">
        <v>0</v>
      </c>
      <c r="CM521">
        <v>0</v>
      </c>
      <c r="CN521" t="s">
        <v>3</v>
      </c>
      <c r="CO521">
        <v>0</v>
      </c>
      <c r="CP521">
        <f>(P521+Q521+S521)</f>
        <v>56062.8</v>
      </c>
      <c r="CQ521">
        <f>(AC521*BC521*AW521)</f>
        <v>62.98</v>
      </c>
      <c r="CR521">
        <f>(((((ET521*2))*BB521-((EU521*2))*BS521)+AE521*BS521)*AV521)</f>
        <v>1094.52</v>
      </c>
      <c r="CS521">
        <f>(AE521*BS521*AV521)</f>
        <v>694</v>
      </c>
      <c r="CT521">
        <f>(AF521*BA521*AV521)</f>
        <v>8186.3</v>
      </c>
      <c r="CU521">
        <f>AG521</f>
        <v>0</v>
      </c>
      <c r="CV521">
        <f>(AH521*AV521)</f>
        <v>12.32</v>
      </c>
      <c r="CW521">
        <f t="shared" si="446"/>
        <v>0</v>
      </c>
      <c r="CX521">
        <f t="shared" si="446"/>
        <v>0</v>
      </c>
      <c r="CY521">
        <f>((S521*BZ521)/100)</f>
        <v>34382.46</v>
      </c>
      <c r="CZ521">
        <f>((S521*CA521)/100)</f>
        <v>4911.78</v>
      </c>
      <c r="DC521" t="s">
        <v>3</v>
      </c>
      <c r="DD521" t="s">
        <v>164</v>
      </c>
      <c r="DE521" t="s">
        <v>164</v>
      </c>
      <c r="DF521" t="s">
        <v>164</v>
      </c>
      <c r="DG521" t="s">
        <v>164</v>
      </c>
      <c r="DH521" t="s">
        <v>3</v>
      </c>
      <c r="DI521" t="s">
        <v>164</v>
      </c>
      <c r="DJ521" t="s">
        <v>164</v>
      </c>
      <c r="DK521" t="s">
        <v>3</v>
      </c>
      <c r="DL521" t="s">
        <v>3</v>
      </c>
      <c r="DM521" t="s">
        <v>3</v>
      </c>
      <c r="DN521">
        <v>0</v>
      </c>
      <c r="DO521">
        <v>0</v>
      </c>
      <c r="DP521">
        <v>1</v>
      </c>
      <c r="DQ521">
        <v>1</v>
      </c>
      <c r="DU521">
        <v>1013</v>
      </c>
      <c r="DV521" t="s">
        <v>322</v>
      </c>
      <c r="DW521" t="s">
        <v>322</v>
      </c>
      <c r="DX521">
        <v>1</v>
      </c>
      <c r="DZ521" t="s">
        <v>3</v>
      </c>
      <c r="EA521" t="s">
        <v>3</v>
      </c>
      <c r="EB521" t="s">
        <v>3</v>
      </c>
      <c r="EC521" t="s">
        <v>3</v>
      </c>
      <c r="EE521">
        <v>1441815344</v>
      </c>
      <c r="EF521">
        <v>1</v>
      </c>
      <c r="EG521" t="s">
        <v>23</v>
      </c>
      <c r="EH521">
        <v>0</v>
      </c>
      <c r="EI521" t="s">
        <v>3</v>
      </c>
      <c r="EJ521">
        <v>4</v>
      </c>
      <c r="EK521">
        <v>0</v>
      </c>
      <c r="EL521" t="s">
        <v>24</v>
      </c>
      <c r="EM521" t="s">
        <v>25</v>
      </c>
      <c r="EO521" t="s">
        <v>3</v>
      </c>
      <c r="EQ521">
        <v>1024</v>
      </c>
      <c r="ER521">
        <v>4671.8999999999996</v>
      </c>
      <c r="ES521">
        <v>31.49</v>
      </c>
      <c r="ET521">
        <v>547.26</v>
      </c>
      <c r="EU521">
        <v>347</v>
      </c>
      <c r="EV521">
        <v>4093.15</v>
      </c>
      <c r="EW521">
        <v>6.16</v>
      </c>
      <c r="EX521">
        <v>0</v>
      </c>
      <c r="EY521">
        <v>0</v>
      </c>
      <c r="FQ521">
        <v>0</v>
      </c>
      <c r="FR521">
        <f>ROUND(IF(BI521=3,GM521,0),2)</f>
        <v>0</v>
      </c>
      <c r="FS521">
        <v>0</v>
      </c>
      <c r="FX521">
        <v>70</v>
      </c>
      <c r="FY521">
        <v>10</v>
      </c>
      <c r="GA521" t="s">
        <v>3</v>
      </c>
      <c r="GD521">
        <v>0</v>
      </c>
      <c r="GF521">
        <v>927657290</v>
      </c>
      <c r="GG521">
        <v>2</v>
      </c>
      <c r="GH521">
        <v>1</v>
      </c>
      <c r="GI521">
        <v>-2</v>
      </c>
      <c r="GJ521">
        <v>0</v>
      </c>
      <c r="GK521">
        <f>ROUND(R521*(R12)/100,2)</f>
        <v>4497.12</v>
      </c>
      <c r="GL521">
        <f>ROUND(IF(AND(BH521=3,BI521=3,FS521&lt;&gt;0),P521,0),2)</f>
        <v>0</v>
      </c>
      <c r="GM521">
        <f>ROUND(O521+X521+Y521+GK521,2)+GX521</f>
        <v>99854.16</v>
      </c>
      <c r="GN521">
        <f>IF(OR(BI521=0,BI521=1),GM521-GX521,0)</f>
        <v>0</v>
      </c>
      <c r="GO521">
        <f>IF(BI521=2,GM521-GX521,0)</f>
        <v>0</v>
      </c>
      <c r="GP521">
        <f>IF(BI521=4,GM521-GX521,0)</f>
        <v>99854.16</v>
      </c>
      <c r="GR521">
        <v>0</v>
      </c>
      <c r="GS521">
        <v>3</v>
      </c>
      <c r="GT521">
        <v>0</v>
      </c>
      <c r="GU521" t="s">
        <v>3</v>
      </c>
      <c r="GV521">
        <f>ROUND((GT521),6)</f>
        <v>0</v>
      </c>
      <c r="GW521">
        <v>1</v>
      </c>
      <c r="GX521">
        <f>ROUND(HC521*I521,2)</f>
        <v>0</v>
      </c>
      <c r="HA521">
        <v>0</v>
      </c>
      <c r="HB521">
        <v>0</v>
      </c>
      <c r="HC521">
        <f>GV521*GW521</f>
        <v>0</v>
      </c>
      <c r="HE521" t="s">
        <v>3</v>
      </c>
      <c r="HF521" t="s">
        <v>3</v>
      </c>
      <c r="HM521" t="s">
        <v>3</v>
      </c>
      <c r="HN521" t="s">
        <v>3</v>
      </c>
      <c r="HO521" t="s">
        <v>3</v>
      </c>
      <c r="HP521" t="s">
        <v>3</v>
      </c>
      <c r="HQ521" t="s">
        <v>3</v>
      </c>
      <c r="IK521">
        <v>0</v>
      </c>
    </row>
    <row r="522" spans="1:245" x14ac:dyDescent="0.2">
      <c r="A522">
        <v>17</v>
      </c>
      <c r="B522">
        <v>1</v>
      </c>
      <c r="D522">
        <f>ROW(EtalonRes!A448)</f>
        <v>448</v>
      </c>
      <c r="E522" t="s">
        <v>397</v>
      </c>
      <c r="F522" t="s">
        <v>398</v>
      </c>
      <c r="G522" t="s">
        <v>399</v>
      </c>
      <c r="H522" t="s">
        <v>400</v>
      </c>
      <c r="I522">
        <f>ROUND((23+1)*3,9)</f>
        <v>72</v>
      </c>
      <c r="J522">
        <v>0</v>
      </c>
      <c r="K522">
        <f>ROUND((23+1)*3,9)</f>
        <v>72</v>
      </c>
      <c r="O522">
        <f>ROUND(CP522,2)</f>
        <v>82792.08</v>
      </c>
      <c r="P522">
        <f>ROUND(CQ522*I522,2)</f>
        <v>318.95999999999998</v>
      </c>
      <c r="Q522">
        <f>ROUND(CR522*I522,2)</f>
        <v>295.92</v>
      </c>
      <c r="R522">
        <f>ROUND(CS522*I522,2)</f>
        <v>4.32</v>
      </c>
      <c r="S522">
        <f>ROUND(CT522*I522,2)</f>
        <v>82177.2</v>
      </c>
      <c r="T522">
        <f>ROUND(CU522*I522,2)</f>
        <v>0</v>
      </c>
      <c r="U522">
        <f>CV522*I522</f>
        <v>123.84</v>
      </c>
      <c r="V522">
        <f>CW522*I522</f>
        <v>0</v>
      </c>
      <c r="W522">
        <f>ROUND(CX522*I522,2)</f>
        <v>0</v>
      </c>
      <c r="X522">
        <f t="shared" si="445"/>
        <v>57524.04</v>
      </c>
      <c r="Y522">
        <f t="shared" si="445"/>
        <v>8217.7199999999993</v>
      </c>
      <c r="AA522">
        <v>1472224561</v>
      </c>
      <c r="AB522">
        <f>ROUND((AC522+AD522+AF522),6)</f>
        <v>1149.8900000000001</v>
      </c>
      <c r="AC522">
        <f>ROUND((ES522),6)</f>
        <v>4.43</v>
      </c>
      <c r="AD522">
        <f>ROUND((((ET522)-(EU522))+AE522),6)</f>
        <v>4.1100000000000003</v>
      </c>
      <c r="AE522">
        <f>ROUND((EU522),6)</f>
        <v>0.06</v>
      </c>
      <c r="AF522">
        <f>ROUND((EV522),6)</f>
        <v>1141.3499999999999</v>
      </c>
      <c r="AG522">
        <f>ROUND((AP522),6)</f>
        <v>0</v>
      </c>
      <c r="AH522">
        <f>(EW522)</f>
        <v>1.72</v>
      </c>
      <c r="AI522">
        <f>(EX522)</f>
        <v>0</v>
      </c>
      <c r="AJ522">
        <f>(AS522)</f>
        <v>0</v>
      </c>
      <c r="AK522">
        <v>1149.8900000000001</v>
      </c>
      <c r="AL522">
        <v>4.43</v>
      </c>
      <c r="AM522">
        <v>4.1100000000000003</v>
      </c>
      <c r="AN522">
        <v>0.06</v>
      </c>
      <c r="AO522">
        <v>1141.3499999999999</v>
      </c>
      <c r="AP522">
        <v>0</v>
      </c>
      <c r="AQ522">
        <v>1.72</v>
      </c>
      <c r="AR522">
        <v>0</v>
      </c>
      <c r="AS522">
        <v>0</v>
      </c>
      <c r="AT522">
        <v>70</v>
      </c>
      <c r="AU522">
        <v>10</v>
      </c>
      <c r="AV522">
        <v>1</v>
      </c>
      <c r="AW522">
        <v>1</v>
      </c>
      <c r="AZ522">
        <v>1</v>
      </c>
      <c r="BA522">
        <v>1</v>
      </c>
      <c r="BB522">
        <v>1</v>
      </c>
      <c r="BC522">
        <v>1</v>
      </c>
      <c r="BD522" t="s">
        <v>3</v>
      </c>
      <c r="BE522" t="s">
        <v>3</v>
      </c>
      <c r="BF522" t="s">
        <v>3</v>
      </c>
      <c r="BG522" t="s">
        <v>3</v>
      </c>
      <c r="BH522">
        <v>0</v>
      </c>
      <c r="BI522">
        <v>4</v>
      </c>
      <c r="BJ522" t="s">
        <v>401</v>
      </c>
      <c r="BM522">
        <v>0</v>
      </c>
      <c r="BN522">
        <v>0</v>
      </c>
      <c r="BO522" t="s">
        <v>3</v>
      </c>
      <c r="BP522">
        <v>0</v>
      </c>
      <c r="BQ522">
        <v>1</v>
      </c>
      <c r="BR522">
        <v>0</v>
      </c>
      <c r="BS522">
        <v>1</v>
      </c>
      <c r="BT522">
        <v>1</v>
      </c>
      <c r="BU522">
        <v>1</v>
      </c>
      <c r="BV522">
        <v>1</v>
      </c>
      <c r="BW522">
        <v>1</v>
      </c>
      <c r="BX522">
        <v>1</v>
      </c>
      <c r="BY522" t="s">
        <v>3</v>
      </c>
      <c r="BZ522">
        <v>70</v>
      </c>
      <c r="CA522">
        <v>10</v>
      </c>
      <c r="CB522" t="s">
        <v>3</v>
      </c>
      <c r="CE522">
        <v>0</v>
      </c>
      <c r="CF522">
        <v>0</v>
      </c>
      <c r="CG522">
        <v>0</v>
      </c>
      <c r="CM522">
        <v>0</v>
      </c>
      <c r="CN522" t="s">
        <v>3</v>
      </c>
      <c r="CO522">
        <v>0</v>
      </c>
      <c r="CP522">
        <f>(P522+Q522+S522)</f>
        <v>82792.08</v>
      </c>
      <c r="CQ522">
        <f>(AC522*BC522*AW522)</f>
        <v>4.43</v>
      </c>
      <c r="CR522">
        <f>((((ET522)*BB522-(EU522)*BS522)+AE522*BS522)*AV522)</f>
        <v>4.1100000000000003</v>
      </c>
      <c r="CS522">
        <f>(AE522*BS522*AV522)</f>
        <v>0.06</v>
      </c>
      <c r="CT522">
        <f>(AF522*BA522*AV522)</f>
        <v>1141.3499999999999</v>
      </c>
      <c r="CU522">
        <f>AG522</f>
        <v>0</v>
      </c>
      <c r="CV522">
        <f>(AH522*AV522)</f>
        <v>1.72</v>
      </c>
      <c r="CW522">
        <f t="shared" si="446"/>
        <v>0</v>
      </c>
      <c r="CX522">
        <f t="shared" si="446"/>
        <v>0</v>
      </c>
      <c r="CY522">
        <f>((S522*BZ522)/100)</f>
        <v>57524.04</v>
      </c>
      <c r="CZ522">
        <f>((S522*CA522)/100)</f>
        <v>8217.7199999999993</v>
      </c>
      <c r="DC522" t="s">
        <v>3</v>
      </c>
      <c r="DD522" t="s">
        <v>3</v>
      </c>
      <c r="DE522" t="s">
        <v>3</v>
      </c>
      <c r="DF522" t="s">
        <v>3</v>
      </c>
      <c r="DG522" t="s">
        <v>3</v>
      </c>
      <c r="DH522" t="s">
        <v>3</v>
      </c>
      <c r="DI522" t="s">
        <v>3</v>
      </c>
      <c r="DJ522" t="s">
        <v>3</v>
      </c>
      <c r="DK522" t="s">
        <v>3</v>
      </c>
      <c r="DL522" t="s">
        <v>3</v>
      </c>
      <c r="DM522" t="s">
        <v>3</v>
      </c>
      <c r="DN522">
        <v>0</v>
      </c>
      <c r="DO522">
        <v>0</v>
      </c>
      <c r="DP522">
        <v>1</v>
      </c>
      <c r="DQ522">
        <v>1</v>
      </c>
      <c r="DU522">
        <v>1013</v>
      </c>
      <c r="DV522" t="s">
        <v>400</v>
      </c>
      <c r="DW522" t="s">
        <v>400</v>
      </c>
      <c r="DX522">
        <v>1</v>
      </c>
      <c r="DZ522" t="s">
        <v>3</v>
      </c>
      <c r="EA522" t="s">
        <v>3</v>
      </c>
      <c r="EB522" t="s">
        <v>3</v>
      </c>
      <c r="EC522" t="s">
        <v>3</v>
      </c>
      <c r="EE522">
        <v>1441815344</v>
      </c>
      <c r="EF522">
        <v>1</v>
      </c>
      <c r="EG522" t="s">
        <v>23</v>
      </c>
      <c r="EH522">
        <v>0</v>
      </c>
      <c r="EI522" t="s">
        <v>3</v>
      </c>
      <c r="EJ522">
        <v>4</v>
      </c>
      <c r="EK522">
        <v>0</v>
      </c>
      <c r="EL522" t="s">
        <v>24</v>
      </c>
      <c r="EM522" t="s">
        <v>25</v>
      </c>
      <c r="EO522" t="s">
        <v>3</v>
      </c>
      <c r="EQ522">
        <v>0</v>
      </c>
      <c r="ER522">
        <v>1149.8900000000001</v>
      </c>
      <c r="ES522">
        <v>4.43</v>
      </c>
      <c r="ET522">
        <v>4.1100000000000003</v>
      </c>
      <c r="EU522">
        <v>0.06</v>
      </c>
      <c r="EV522">
        <v>1141.3499999999999</v>
      </c>
      <c r="EW522">
        <v>1.72</v>
      </c>
      <c r="EX522">
        <v>0</v>
      </c>
      <c r="EY522">
        <v>0</v>
      </c>
      <c r="FQ522">
        <v>0</v>
      </c>
      <c r="FR522">
        <f>ROUND(IF(BI522=3,GM522,0),2)</f>
        <v>0</v>
      </c>
      <c r="FS522">
        <v>0</v>
      </c>
      <c r="FX522">
        <v>70</v>
      </c>
      <c r="FY522">
        <v>10</v>
      </c>
      <c r="GA522" t="s">
        <v>3</v>
      </c>
      <c r="GD522">
        <v>0</v>
      </c>
      <c r="GF522">
        <v>-1515457467</v>
      </c>
      <c r="GG522">
        <v>2</v>
      </c>
      <c r="GH522">
        <v>1</v>
      </c>
      <c r="GI522">
        <v>-2</v>
      </c>
      <c r="GJ522">
        <v>0</v>
      </c>
      <c r="GK522">
        <f>ROUND(R522*(R12)/100,2)</f>
        <v>4.67</v>
      </c>
      <c r="GL522">
        <f>ROUND(IF(AND(BH522=3,BI522=3,FS522&lt;&gt;0),P522,0),2)</f>
        <v>0</v>
      </c>
      <c r="GM522">
        <f>ROUND(O522+X522+Y522+GK522,2)+GX522</f>
        <v>148538.51</v>
      </c>
      <c r="GN522">
        <f>IF(OR(BI522=0,BI522=1),GM522-GX522,0)</f>
        <v>0</v>
      </c>
      <c r="GO522">
        <f>IF(BI522=2,GM522-GX522,0)</f>
        <v>0</v>
      </c>
      <c r="GP522">
        <f>IF(BI522=4,GM522-GX522,0)</f>
        <v>148538.51</v>
      </c>
      <c r="GR522">
        <v>0</v>
      </c>
      <c r="GS522">
        <v>3</v>
      </c>
      <c r="GT522">
        <v>0</v>
      </c>
      <c r="GU522" t="s">
        <v>3</v>
      </c>
      <c r="GV522">
        <f>ROUND((GT522),6)</f>
        <v>0</v>
      </c>
      <c r="GW522">
        <v>1</v>
      </c>
      <c r="GX522">
        <f>ROUND(HC522*I522,2)</f>
        <v>0</v>
      </c>
      <c r="HA522">
        <v>0</v>
      </c>
      <c r="HB522">
        <v>0</v>
      </c>
      <c r="HC522">
        <f>GV522*GW522</f>
        <v>0</v>
      </c>
      <c r="HE522" t="s">
        <v>3</v>
      </c>
      <c r="HF522" t="s">
        <v>3</v>
      </c>
      <c r="HM522" t="s">
        <v>3</v>
      </c>
      <c r="HN522" t="s">
        <v>3</v>
      </c>
      <c r="HO522" t="s">
        <v>3</v>
      </c>
      <c r="HP522" t="s">
        <v>3</v>
      </c>
      <c r="HQ522" t="s">
        <v>3</v>
      </c>
      <c r="IK522">
        <v>0</v>
      </c>
    </row>
    <row r="523" spans="1:245" x14ac:dyDescent="0.2">
      <c r="A523">
        <v>17</v>
      </c>
      <c r="B523">
        <v>1</v>
      </c>
      <c r="D523">
        <f>ROW(EtalonRes!A450)</f>
        <v>450</v>
      </c>
      <c r="E523" t="s">
        <v>3</v>
      </c>
      <c r="F523" t="s">
        <v>402</v>
      </c>
      <c r="G523" t="s">
        <v>403</v>
      </c>
      <c r="H523" t="s">
        <v>400</v>
      </c>
      <c r="I523">
        <f>ROUND((23+1)*3,9)</f>
        <v>72</v>
      </c>
      <c r="J523">
        <v>0</v>
      </c>
      <c r="K523">
        <f>ROUND((23+1)*3,9)</f>
        <v>72</v>
      </c>
      <c r="O523">
        <f>ROUND(CP523,2)</f>
        <v>146402.64000000001</v>
      </c>
      <c r="P523">
        <f>ROUND(CQ523*I523,2)</f>
        <v>203.04</v>
      </c>
      <c r="Q523">
        <f>ROUND(CR523*I523,2)</f>
        <v>0</v>
      </c>
      <c r="R523">
        <f>ROUND(CS523*I523,2)</f>
        <v>0</v>
      </c>
      <c r="S523">
        <f>ROUND(CT523*I523,2)</f>
        <v>146199.6</v>
      </c>
      <c r="T523">
        <f>ROUND(CU523*I523,2)</f>
        <v>0</v>
      </c>
      <c r="U523">
        <f>CV523*I523</f>
        <v>220.32</v>
      </c>
      <c r="V523">
        <f>CW523*I523</f>
        <v>0</v>
      </c>
      <c r="W523">
        <f>ROUND(CX523*I523,2)</f>
        <v>0</v>
      </c>
      <c r="X523">
        <f t="shared" si="445"/>
        <v>102339.72</v>
      </c>
      <c r="Y523">
        <f t="shared" si="445"/>
        <v>14619.96</v>
      </c>
      <c r="AA523">
        <v>-1</v>
      </c>
      <c r="AB523">
        <f>ROUND((AC523+AD523+AF523),6)</f>
        <v>2033.37</v>
      </c>
      <c r="AC523">
        <f>ROUND(((ES523*3)),6)</f>
        <v>2.82</v>
      </c>
      <c r="AD523">
        <f>ROUND(((((ET523*3))-((EU523*3)))+AE523),6)</f>
        <v>0</v>
      </c>
      <c r="AE523">
        <f>ROUND(((EU523*3)),6)</f>
        <v>0</v>
      </c>
      <c r="AF523">
        <f>ROUND(((EV523*3)),6)</f>
        <v>2030.55</v>
      </c>
      <c r="AG523">
        <f>ROUND((AP523),6)</f>
        <v>0</v>
      </c>
      <c r="AH523">
        <f>((EW523*3))</f>
        <v>3.06</v>
      </c>
      <c r="AI523">
        <f>((EX523*3))</f>
        <v>0</v>
      </c>
      <c r="AJ523">
        <f>(AS523)</f>
        <v>0</v>
      </c>
      <c r="AK523">
        <v>677.79</v>
      </c>
      <c r="AL523">
        <v>0.94</v>
      </c>
      <c r="AM523">
        <v>0</v>
      </c>
      <c r="AN523">
        <v>0</v>
      </c>
      <c r="AO523">
        <v>676.85</v>
      </c>
      <c r="AP523">
        <v>0</v>
      </c>
      <c r="AQ523">
        <v>1.02</v>
      </c>
      <c r="AR523">
        <v>0</v>
      </c>
      <c r="AS523">
        <v>0</v>
      </c>
      <c r="AT523">
        <v>70</v>
      </c>
      <c r="AU523">
        <v>10</v>
      </c>
      <c r="AV523">
        <v>1</v>
      </c>
      <c r="AW523">
        <v>1</v>
      </c>
      <c r="AZ523">
        <v>1</v>
      </c>
      <c r="BA523">
        <v>1</v>
      </c>
      <c r="BB523">
        <v>1</v>
      </c>
      <c r="BC523">
        <v>1</v>
      </c>
      <c r="BD523" t="s">
        <v>3</v>
      </c>
      <c r="BE523" t="s">
        <v>3</v>
      </c>
      <c r="BF523" t="s">
        <v>3</v>
      </c>
      <c r="BG523" t="s">
        <v>3</v>
      </c>
      <c r="BH523">
        <v>0</v>
      </c>
      <c r="BI523">
        <v>4</v>
      </c>
      <c r="BJ523" t="s">
        <v>404</v>
      </c>
      <c r="BM523">
        <v>0</v>
      </c>
      <c r="BN523">
        <v>0</v>
      </c>
      <c r="BO523" t="s">
        <v>3</v>
      </c>
      <c r="BP523">
        <v>0</v>
      </c>
      <c r="BQ523">
        <v>1</v>
      </c>
      <c r="BR523">
        <v>0</v>
      </c>
      <c r="BS523">
        <v>1</v>
      </c>
      <c r="BT523">
        <v>1</v>
      </c>
      <c r="BU523">
        <v>1</v>
      </c>
      <c r="BV523">
        <v>1</v>
      </c>
      <c r="BW523">
        <v>1</v>
      </c>
      <c r="BX523">
        <v>1</v>
      </c>
      <c r="BY523" t="s">
        <v>3</v>
      </c>
      <c r="BZ523">
        <v>70</v>
      </c>
      <c r="CA523">
        <v>10</v>
      </c>
      <c r="CB523" t="s">
        <v>3</v>
      </c>
      <c r="CE523">
        <v>0</v>
      </c>
      <c r="CF523">
        <v>0</v>
      </c>
      <c r="CG523">
        <v>0</v>
      </c>
      <c r="CM523">
        <v>0</v>
      </c>
      <c r="CN523" t="s">
        <v>3</v>
      </c>
      <c r="CO523">
        <v>0</v>
      </c>
      <c r="CP523">
        <f>(P523+Q523+S523)</f>
        <v>146402.64000000001</v>
      </c>
      <c r="CQ523">
        <f>(AC523*BC523*AW523)</f>
        <v>2.82</v>
      </c>
      <c r="CR523">
        <f>(((((ET523*3))*BB523-((EU523*3))*BS523)+AE523*BS523)*AV523)</f>
        <v>0</v>
      </c>
      <c r="CS523">
        <f>(AE523*BS523*AV523)</f>
        <v>0</v>
      </c>
      <c r="CT523">
        <f>(AF523*BA523*AV523)</f>
        <v>2030.55</v>
      </c>
      <c r="CU523">
        <f>AG523</f>
        <v>0</v>
      </c>
      <c r="CV523">
        <f>(AH523*AV523)</f>
        <v>3.06</v>
      </c>
      <c r="CW523">
        <f t="shared" si="446"/>
        <v>0</v>
      </c>
      <c r="CX523">
        <f t="shared" si="446"/>
        <v>0</v>
      </c>
      <c r="CY523">
        <f>((S523*BZ523)/100)</f>
        <v>102339.72</v>
      </c>
      <c r="CZ523">
        <f>((S523*CA523)/100)</f>
        <v>14619.96</v>
      </c>
      <c r="DC523" t="s">
        <v>3</v>
      </c>
      <c r="DD523" t="s">
        <v>290</v>
      </c>
      <c r="DE523" t="s">
        <v>290</v>
      </c>
      <c r="DF523" t="s">
        <v>290</v>
      </c>
      <c r="DG523" t="s">
        <v>290</v>
      </c>
      <c r="DH523" t="s">
        <v>3</v>
      </c>
      <c r="DI523" t="s">
        <v>290</v>
      </c>
      <c r="DJ523" t="s">
        <v>290</v>
      </c>
      <c r="DK523" t="s">
        <v>3</v>
      </c>
      <c r="DL523" t="s">
        <v>3</v>
      </c>
      <c r="DM523" t="s">
        <v>3</v>
      </c>
      <c r="DN523">
        <v>0</v>
      </c>
      <c r="DO523">
        <v>0</v>
      </c>
      <c r="DP523">
        <v>1</v>
      </c>
      <c r="DQ523">
        <v>1</v>
      </c>
      <c r="DU523">
        <v>1013</v>
      </c>
      <c r="DV523" t="s">
        <v>400</v>
      </c>
      <c r="DW523" t="s">
        <v>400</v>
      </c>
      <c r="DX523">
        <v>1</v>
      </c>
      <c r="DZ523" t="s">
        <v>3</v>
      </c>
      <c r="EA523" t="s">
        <v>3</v>
      </c>
      <c r="EB523" t="s">
        <v>3</v>
      </c>
      <c r="EC523" t="s">
        <v>3</v>
      </c>
      <c r="EE523">
        <v>1441815344</v>
      </c>
      <c r="EF523">
        <v>1</v>
      </c>
      <c r="EG523" t="s">
        <v>23</v>
      </c>
      <c r="EH523">
        <v>0</v>
      </c>
      <c r="EI523" t="s">
        <v>3</v>
      </c>
      <c r="EJ523">
        <v>4</v>
      </c>
      <c r="EK523">
        <v>0</v>
      </c>
      <c r="EL523" t="s">
        <v>24</v>
      </c>
      <c r="EM523" t="s">
        <v>25</v>
      </c>
      <c r="EO523" t="s">
        <v>3</v>
      </c>
      <c r="EQ523">
        <v>1024</v>
      </c>
      <c r="ER523">
        <v>677.79</v>
      </c>
      <c r="ES523">
        <v>0.94</v>
      </c>
      <c r="ET523">
        <v>0</v>
      </c>
      <c r="EU523">
        <v>0</v>
      </c>
      <c r="EV523">
        <v>676.85</v>
      </c>
      <c r="EW523">
        <v>1.02</v>
      </c>
      <c r="EX523">
        <v>0</v>
      </c>
      <c r="EY523">
        <v>0</v>
      </c>
      <c r="FQ523">
        <v>0</v>
      </c>
      <c r="FR523">
        <f>ROUND(IF(BI523=3,GM523,0),2)</f>
        <v>0</v>
      </c>
      <c r="FS523">
        <v>0</v>
      </c>
      <c r="FX523">
        <v>70</v>
      </c>
      <c r="FY523">
        <v>10</v>
      </c>
      <c r="GA523" t="s">
        <v>3</v>
      </c>
      <c r="GD523">
        <v>0</v>
      </c>
      <c r="GF523">
        <v>-963632619</v>
      </c>
      <c r="GG523">
        <v>2</v>
      </c>
      <c r="GH523">
        <v>1</v>
      </c>
      <c r="GI523">
        <v>-2</v>
      </c>
      <c r="GJ523">
        <v>0</v>
      </c>
      <c r="GK523">
        <f>ROUND(R523*(R12)/100,2)</f>
        <v>0</v>
      </c>
      <c r="GL523">
        <f>ROUND(IF(AND(BH523=3,BI523=3,FS523&lt;&gt;0),P523,0),2)</f>
        <v>0</v>
      </c>
      <c r="GM523">
        <f>ROUND(O523+X523+Y523+GK523,2)+GX523</f>
        <v>263362.32</v>
      </c>
      <c r="GN523">
        <f>IF(OR(BI523=0,BI523=1),GM523-GX523,0)</f>
        <v>0</v>
      </c>
      <c r="GO523">
        <f>IF(BI523=2,GM523-GX523,0)</f>
        <v>0</v>
      </c>
      <c r="GP523">
        <f>IF(BI523=4,GM523-GX523,0)</f>
        <v>263362.32</v>
      </c>
      <c r="GR523">
        <v>0</v>
      </c>
      <c r="GS523">
        <v>3</v>
      </c>
      <c r="GT523">
        <v>0</v>
      </c>
      <c r="GU523" t="s">
        <v>3</v>
      </c>
      <c r="GV523">
        <f>ROUND((GT523),6)</f>
        <v>0</v>
      </c>
      <c r="GW523">
        <v>1</v>
      </c>
      <c r="GX523">
        <f>ROUND(HC523*I523,2)</f>
        <v>0</v>
      </c>
      <c r="HA523">
        <v>0</v>
      </c>
      <c r="HB523">
        <v>0</v>
      </c>
      <c r="HC523">
        <f>GV523*GW523</f>
        <v>0</v>
      </c>
      <c r="HE523" t="s">
        <v>3</v>
      </c>
      <c r="HF523" t="s">
        <v>3</v>
      </c>
      <c r="HM523" t="s">
        <v>3</v>
      </c>
      <c r="HN523" t="s">
        <v>3</v>
      </c>
      <c r="HO523" t="s">
        <v>3</v>
      </c>
      <c r="HP523" t="s">
        <v>3</v>
      </c>
      <c r="HQ523" t="s">
        <v>3</v>
      </c>
      <c r="IK523">
        <v>0</v>
      </c>
    </row>
    <row r="524" spans="1:245" x14ac:dyDescent="0.2">
      <c r="A524">
        <v>19</v>
      </c>
      <c r="B524">
        <v>1</v>
      </c>
      <c r="F524" t="s">
        <v>3</v>
      </c>
      <c r="G524" t="s">
        <v>43</v>
      </c>
      <c r="H524" t="s">
        <v>3</v>
      </c>
      <c r="AA524">
        <v>1</v>
      </c>
      <c r="IK524">
        <v>0</v>
      </c>
    </row>
    <row r="525" spans="1:245" x14ac:dyDescent="0.2">
      <c r="A525">
        <v>17</v>
      </c>
      <c r="B525">
        <v>1</v>
      </c>
      <c r="D525">
        <f>ROW(EtalonRes!A460)</f>
        <v>460</v>
      </c>
      <c r="E525" t="s">
        <v>3</v>
      </c>
      <c r="F525" t="s">
        <v>387</v>
      </c>
      <c r="G525" t="s">
        <v>388</v>
      </c>
      <c r="H525" t="s">
        <v>322</v>
      </c>
      <c r="I525">
        <v>1</v>
      </c>
      <c r="J525">
        <v>0</v>
      </c>
      <c r="K525">
        <v>1</v>
      </c>
      <c r="O525">
        <f t="shared" ref="O525:O534" si="447">ROUND(CP525,2)</f>
        <v>106474.74</v>
      </c>
      <c r="P525">
        <f t="shared" ref="P525:P534" si="448">ROUND(CQ525*I525,2)</f>
        <v>3865.41</v>
      </c>
      <c r="Q525">
        <f t="shared" ref="Q525:Q534" si="449">ROUND(CR525*I525,2)</f>
        <v>0</v>
      </c>
      <c r="R525">
        <f t="shared" ref="R525:R534" si="450">ROUND(CS525*I525,2)</f>
        <v>0</v>
      </c>
      <c r="S525">
        <f t="shared" ref="S525:S534" si="451">ROUND(CT525*I525,2)</f>
        <v>102609.33</v>
      </c>
      <c r="T525">
        <f t="shared" ref="T525:T534" si="452">ROUND(CU525*I525,2)</f>
        <v>0</v>
      </c>
      <c r="U525">
        <f t="shared" ref="U525:U534" si="453">CV525*I525</f>
        <v>133.33333333333334</v>
      </c>
      <c r="V525">
        <f t="shared" ref="V525:V534" si="454">CW525*I525</f>
        <v>0</v>
      </c>
      <c r="W525">
        <f t="shared" ref="W525:W534" si="455">ROUND(CX525*I525,2)</f>
        <v>0</v>
      </c>
      <c r="X525">
        <f t="shared" ref="X525:X534" si="456">ROUND(CY525,2)</f>
        <v>71826.53</v>
      </c>
      <c r="Y525">
        <f t="shared" ref="Y525:Y534" si="457">ROUND(CZ525,2)</f>
        <v>10260.93</v>
      </c>
      <c r="AA525">
        <v>-1</v>
      </c>
      <c r="AB525">
        <f t="shared" ref="AB525:AB534" si="458">ROUND((AC525+AD525+AF525),6)</f>
        <v>106474.74666600001</v>
      </c>
      <c r="AC525">
        <f>ROUND((((ES525/12)*8)),6)</f>
        <v>3865.413333</v>
      </c>
      <c r="AD525">
        <f>ROUND((((((ET525/12)*8))-(((EU525/12)*8)))+AE525),6)</f>
        <v>0</v>
      </c>
      <c r="AE525">
        <f>ROUND((((EU525/12)*8)),6)</f>
        <v>0</v>
      </c>
      <c r="AF525">
        <f>ROUND((((EV525/12)*8)),6)</f>
        <v>102609.333333</v>
      </c>
      <c r="AG525">
        <f t="shared" ref="AG525:AG534" si="459">ROUND((AP525),6)</f>
        <v>0</v>
      </c>
      <c r="AH525">
        <f>(((EW525/12)*8))</f>
        <v>133.33333333333334</v>
      </c>
      <c r="AI525">
        <f>(((EX525/12)*8))</f>
        <v>0</v>
      </c>
      <c r="AJ525">
        <f t="shared" ref="AJ525:AJ534" si="460">(AS525)</f>
        <v>0</v>
      </c>
      <c r="AK525">
        <v>159712.12</v>
      </c>
      <c r="AL525">
        <v>5798.12</v>
      </c>
      <c r="AM525">
        <v>0</v>
      </c>
      <c r="AN525">
        <v>0</v>
      </c>
      <c r="AO525">
        <v>153914</v>
      </c>
      <c r="AP525">
        <v>0</v>
      </c>
      <c r="AQ525">
        <v>200</v>
      </c>
      <c r="AR525">
        <v>0</v>
      </c>
      <c r="AS525">
        <v>0</v>
      </c>
      <c r="AT525">
        <v>70</v>
      </c>
      <c r="AU525">
        <v>10</v>
      </c>
      <c r="AV525">
        <v>1</v>
      </c>
      <c r="AW525">
        <v>1</v>
      </c>
      <c r="AZ525">
        <v>1</v>
      </c>
      <c r="BA525">
        <v>1</v>
      </c>
      <c r="BB525">
        <v>1</v>
      </c>
      <c r="BC525">
        <v>1</v>
      </c>
      <c r="BD525" t="s">
        <v>3</v>
      </c>
      <c r="BE525" t="s">
        <v>3</v>
      </c>
      <c r="BF525" t="s">
        <v>3</v>
      </c>
      <c r="BG525" t="s">
        <v>3</v>
      </c>
      <c r="BH525">
        <v>0</v>
      </c>
      <c r="BI525">
        <v>4</v>
      </c>
      <c r="BJ525" t="s">
        <v>389</v>
      </c>
      <c r="BM525">
        <v>0</v>
      </c>
      <c r="BN525">
        <v>0</v>
      </c>
      <c r="BO525" t="s">
        <v>3</v>
      </c>
      <c r="BP525">
        <v>0</v>
      </c>
      <c r="BQ525">
        <v>1</v>
      </c>
      <c r="BR525">
        <v>0</v>
      </c>
      <c r="BS525">
        <v>1</v>
      </c>
      <c r="BT525">
        <v>1</v>
      </c>
      <c r="BU525">
        <v>1</v>
      </c>
      <c r="BV525">
        <v>1</v>
      </c>
      <c r="BW525">
        <v>1</v>
      </c>
      <c r="BX525">
        <v>1</v>
      </c>
      <c r="BY525" t="s">
        <v>3</v>
      </c>
      <c r="BZ525">
        <v>70</v>
      </c>
      <c r="CA525">
        <v>10</v>
      </c>
      <c r="CB525" t="s">
        <v>3</v>
      </c>
      <c r="CE525">
        <v>0</v>
      </c>
      <c r="CF525">
        <v>0</v>
      </c>
      <c r="CG525">
        <v>0</v>
      </c>
      <c r="CM525">
        <v>0</v>
      </c>
      <c r="CN525" t="s">
        <v>3</v>
      </c>
      <c r="CO525">
        <v>0</v>
      </c>
      <c r="CP525">
        <f t="shared" ref="CP525:CP534" si="461">(P525+Q525+S525)</f>
        <v>106474.74</v>
      </c>
      <c r="CQ525">
        <f t="shared" ref="CQ525:CQ534" si="462">(AC525*BC525*AW525)</f>
        <v>3865.413333</v>
      </c>
      <c r="CR525">
        <f>((((((ET525/12)*8))*BB525-(((EU525/12)*8))*BS525)+AE525*BS525)*AV525)</f>
        <v>0</v>
      </c>
      <c r="CS525">
        <f t="shared" ref="CS525:CS534" si="463">(AE525*BS525*AV525)</f>
        <v>0</v>
      </c>
      <c r="CT525">
        <f t="shared" ref="CT525:CT534" si="464">(AF525*BA525*AV525)</f>
        <v>102609.333333</v>
      </c>
      <c r="CU525">
        <f t="shared" ref="CU525:CU534" si="465">AG525</f>
        <v>0</v>
      </c>
      <c r="CV525">
        <f t="shared" ref="CV525:CV534" si="466">(AH525*AV525)</f>
        <v>133.33333333333334</v>
      </c>
      <c r="CW525">
        <f t="shared" ref="CW525:CW534" si="467">AI525</f>
        <v>0</v>
      </c>
      <c r="CX525">
        <f t="shared" ref="CX525:CX534" si="468">AJ525</f>
        <v>0</v>
      </c>
      <c r="CY525">
        <f t="shared" ref="CY525:CY534" si="469">((S525*BZ525)/100)</f>
        <v>71826.531000000003</v>
      </c>
      <c r="CZ525">
        <f t="shared" ref="CZ525:CZ534" si="470">((S525*CA525)/100)</f>
        <v>10260.933000000001</v>
      </c>
      <c r="DC525" t="s">
        <v>3</v>
      </c>
      <c r="DD525" t="s">
        <v>324</v>
      </c>
      <c r="DE525" t="s">
        <v>324</v>
      </c>
      <c r="DF525" t="s">
        <v>324</v>
      </c>
      <c r="DG525" t="s">
        <v>324</v>
      </c>
      <c r="DH525" t="s">
        <v>3</v>
      </c>
      <c r="DI525" t="s">
        <v>324</v>
      </c>
      <c r="DJ525" t="s">
        <v>324</v>
      </c>
      <c r="DK525" t="s">
        <v>3</v>
      </c>
      <c r="DL525" t="s">
        <v>3</v>
      </c>
      <c r="DM525" t="s">
        <v>3</v>
      </c>
      <c r="DN525">
        <v>0</v>
      </c>
      <c r="DO525">
        <v>0</v>
      </c>
      <c r="DP525">
        <v>1</v>
      </c>
      <c r="DQ525">
        <v>1</v>
      </c>
      <c r="DU525">
        <v>1013</v>
      </c>
      <c r="DV525" t="s">
        <v>322</v>
      </c>
      <c r="DW525" t="s">
        <v>322</v>
      </c>
      <c r="DX525">
        <v>1</v>
      </c>
      <c r="DZ525" t="s">
        <v>3</v>
      </c>
      <c r="EA525" t="s">
        <v>3</v>
      </c>
      <c r="EB525" t="s">
        <v>3</v>
      </c>
      <c r="EC525" t="s">
        <v>3</v>
      </c>
      <c r="EE525">
        <v>1441815344</v>
      </c>
      <c r="EF525">
        <v>1</v>
      </c>
      <c r="EG525" t="s">
        <v>23</v>
      </c>
      <c r="EH525">
        <v>0</v>
      </c>
      <c r="EI525" t="s">
        <v>3</v>
      </c>
      <c r="EJ525">
        <v>4</v>
      </c>
      <c r="EK525">
        <v>0</v>
      </c>
      <c r="EL525" t="s">
        <v>24</v>
      </c>
      <c r="EM525" t="s">
        <v>25</v>
      </c>
      <c r="EO525" t="s">
        <v>3</v>
      </c>
      <c r="EQ525">
        <v>1024</v>
      </c>
      <c r="ER525">
        <v>159712.12</v>
      </c>
      <c r="ES525">
        <v>5798.12</v>
      </c>
      <c r="ET525">
        <v>0</v>
      </c>
      <c r="EU525">
        <v>0</v>
      </c>
      <c r="EV525">
        <v>153914</v>
      </c>
      <c r="EW525">
        <v>200</v>
      </c>
      <c r="EX525">
        <v>0</v>
      </c>
      <c r="EY525">
        <v>0</v>
      </c>
      <c r="FQ525">
        <v>0</v>
      </c>
      <c r="FR525">
        <f t="shared" ref="FR525:FR534" si="471">ROUND(IF(BI525=3,GM525,0),2)</f>
        <v>0</v>
      </c>
      <c r="FS525">
        <v>0</v>
      </c>
      <c r="FX525">
        <v>70</v>
      </c>
      <c r="FY525">
        <v>10</v>
      </c>
      <c r="GA525" t="s">
        <v>3</v>
      </c>
      <c r="GD525">
        <v>0</v>
      </c>
      <c r="GF525">
        <v>843976324</v>
      </c>
      <c r="GG525">
        <v>2</v>
      </c>
      <c r="GH525">
        <v>1</v>
      </c>
      <c r="GI525">
        <v>-2</v>
      </c>
      <c r="GJ525">
        <v>0</v>
      </c>
      <c r="GK525">
        <f>ROUND(R525*(R12)/100,2)</f>
        <v>0</v>
      </c>
      <c r="GL525">
        <f t="shared" ref="GL525:GL534" si="472">ROUND(IF(AND(BH525=3,BI525=3,FS525&lt;&gt;0),P525,0),2)</f>
        <v>0</v>
      </c>
      <c r="GM525">
        <f t="shared" ref="GM525:GM534" si="473">ROUND(O525+X525+Y525+GK525,2)+GX525</f>
        <v>188562.2</v>
      </c>
      <c r="GN525">
        <f t="shared" ref="GN525:GN534" si="474">IF(OR(BI525=0,BI525=1),GM525-GX525,0)</f>
        <v>0</v>
      </c>
      <c r="GO525">
        <f t="shared" ref="GO525:GO534" si="475">IF(BI525=2,GM525-GX525,0)</f>
        <v>0</v>
      </c>
      <c r="GP525">
        <f t="shared" ref="GP525:GP534" si="476">IF(BI525=4,GM525-GX525,0)</f>
        <v>188562.2</v>
      </c>
      <c r="GR525">
        <v>0</v>
      </c>
      <c r="GS525">
        <v>3</v>
      </c>
      <c r="GT525">
        <v>0</v>
      </c>
      <c r="GU525" t="s">
        <v>3</v>
      </c>
      <c r="GV525">
        <f t="shared" ref="GV525:GV534" si="477">ROUND((GT525),6)</f>
        <v>0</v>
      </c>
      <c r="GW525">
        <v>1</v>
      </c>
      <c r="GX525">
        <f t="shared" ref="GX525:GX534" si="478">ROUND(HC525*I525,2)</f>
        <v>0</v>
      </c>
      <c r="HA525">
        <v>0</v>
      </c>
      <c r="HB525">
        <v>0</v>
      </c>
      <c r="HC525">
        <f t="shared" ref="HC525:HC534" si="479">GV525*GW525</f>
        <v>0</v>
      </c>
      <c r="HE525" t="s">
        <v>3</v>
      </c>
      <c r="HF525" t="s">
        <v>3</v>
      </c>
      <c r="HM525" t="s">
        <v>3</v>
      </c>
      <c r="HN525" t="s">
        <v>3</v>
      </c>
      <c r="HO525" t="s">
        <v>3</v>
      </c>
      <c r="HP525" t="s">
        <v>3</v>
      </c>
      <c r="HQ525" t="s">
        <v>3</v>
      </c>
      <c r="IK525">
        <v>0</v>
      </c>
    </row>
    <row r="526" spans="1:245" x14ac:dyDescent="0.2">
      <c r="A526">
        <v>17</v>
      </c>
      <c r="B526">
        <v>1</v>
      </c>
      <c r="D526">
        <f>ROW(EtalonRes!A464)</f>
        <v>464</v>
      </c>
      <c r="E526" t="s">
        <v>405</v>
      </c>
      <c r="F526" t="s">
        <v>391</v>
      </c>
      <c r="G526" t="s">
        <v>392</v>
      </c>
      <c r="H526" t="s">
        <v>322</v>
      </c>
      <c r="I526">
        <v>1</v>
      </c>
      <c r="J526">
        <v>0</v>
      </c>
      <c r="K526">
        <v>1</v>
      </c>
      <c r="O526">
        <f t="shared" si="447"/>
        <v>10840.52</v>
      </c>
      <c r="P526">
        <f t="shared" si="448"/>
        <v>710.32</v>
      </c>
      <c r="Q526">
        <f t="shared" si="449"/>
        <v>1094.52</v>
      </c>
      <c r="R526">
        <f t="shared" si="450"/>
        <v>694</v>
      </c>
      <c r="S526">
        <f t="shared" si="451"/>
        <v>9035.68</v>
      </c>
      <c r="T526">
        <f t="shared" si="452"/>
        <v>0</v>
      </c>
      <c r="U526">
        <f t="shared" si="453"/>
        <v>13.6</v>
      </c>
      <c r="V526">
        <f t="shared" si="454"/>
        <v>0</v>
      </c>
      <c r="W526">
        <f t="shared" si="455"/>
        <v>0</v>
      </c>
      <c r="X526">
        <f t="shared" si="456"/>
        <v>6324.98</v>
      </c>
      <c r="Y526">
        <f t="shared" si="457"/>
        <v>903.57</v>
      </c>
      <c r="AA526">
        <v>1472224561</v>
      </c>
      <c r="AB526">
        <f t="shared" si="458"/>
        <v>10840.52</v>
      </c>
      <c r="AC526">
        <f>ROUND(((ES526*2)),6)</f>
        <v>710.32</v>
      </c>
      <c r="AD526">
        <f>ROUND(((((ET526*2))-((EU526*2)))+AE526),6)</f>
        <v>1094.52</v>
      </c>
      <c r="AE526">
        <f>ROUND(((EU526*2)),6)</f>
        <v>694</v>
      </c>
      <c r="AF526">
        <f>ROUND(((EV526*2)),6)</f>
        <v>9035.68</v>
      </c>
      <c r="AG526">
        <f t="shared" si="459"/>
        <v>0</v>
      </c>
      <c r="AH526">
        <f>((EW526*2))</f>
        <v>13.6</v>
      </c>
      <c r="AI526">
        <f>((EX526*2))</f>
        <v>0</v>
      </c>
      <c r="AJ526">
        <f t="shared" si="460"/>
        <v>0</v>
      </c>
      <c r="AK526">
        <v>5420.26</v>
      </c>
      <c r="AL526">
        <v>355.16</v>
      </c>
      <c r="AM526">
        <v>547.26</v>
      </c>
      <c r="AN526">
        <v>347</v>
      </c>
      <c r="AO526">
        <v>4517.84</v>
      </c>
      <c r="AP526">
        <v>0</v>
      </c>
      <c r="AQ526">
        <v>6.8</v>
      </c>
      <c r="AR526">
        <v>0</v>
      </c>
      <c r="AS526">
        <v>0</v>
      </c>
      <c r="AT526">
        <v>70</v>
      </c>
      <c r="AU526">
        <v>10</v>
      </c>
      <c r="AV526">
        <v>1</v>
      </c>
      <c r="AW526">
        <v>1</v>
      </c>
      <c r="AZ526">
        <v>1</v>
      </c>
      <c r="BA526">
        <v>1</v>
      </c>
      <c r="BB526">
        <v>1</v>
      </c>
      <c r="BC526">
        <v>1</v>
      </c>
      <c r="BD526" t="s">
        <v>3</v>
      </c>
      <c r="BE526" t="s">
        <v>3</v>
      </c>
      <c r="BF526" t="s">
        <v>3</v>
      </c>
      <c r="BG526" t="s">
        <v>3</v>
      </c>
      <c r="BH526">
        <v>0</v>
      </c>
      <c r="BI526">
        <v>4</v>
      </c>
      <c r="BJ526" t="s">
        <v>393</v>
      </c>
      <c r="BM526">
        <v>0</v>
      </c>
      <c r="BN526">
        <v>0</v>
      </c>
      <c r="BO526" t="s">
        <v>3</v>
      </c>
      <c r="BP526">
        <v>0</v>
      </c>
      <c r="BQ526">
        <v>1</v>
      </c>
      <c r="BR526">
        <v>0</v>
      </c>
      <c r="BS526">
        <v>1</v>
      </c>
      <c r="BT526">
        <v>1</v>
      </c>
      <c r="BU526">
        <v>1</v>
      </c>
      <c r="BV526">
        <v>1</v>
      </c>
      <c r="BW526">
        <v>1</v>
      </c>
      <c r="BX526">
        <v>1</v>
      </c>
      <c r="BY526" t="s">
        <v>3</v>
      </c>
      <c r="BZ526">
        <v>70</v>
      </c>
      <c r="CA526">
        <v>10</v>
      </c>
      <c r="CB526" t="s">
        <v>3</v>
      </c>
      <c r="CE526">
        <v>0</v>
      </c>
      <c r="CF526">
        <v>0</v>
      </c>
      <c r="CG526">
        <v>0</v>
      </c>
      <c r="CM526">
        <v>0</v>
      </c>
      <c r="CN526" t="s">
        <v>3</v>
      </c>
      <c r="CO526">
        <v>0</v>
      </c>
      <c r="CP526">
        <f t="shared" si="461"/>
        <v>10840.52</v>
      </c>
      <c r="CQ526">
        <f t="shared" si="462"/>
        <v>710.32</v>
      </c>
      <c r="CR526">
        <f>(((((ET526*2))*BB526-((EU526*2))*BS526)+AE526*BS526)*AV526)</f>
        <v>1094.52</v>
      </c>
      <c r="CS526">
        <f t="shared" si="463"/>
        <v>694</v>
      </c>
      <c r="CT526">
        <f t="shared" si="464"/>
        <v>9035.68</v>
      </c>
      <c r="CU526">
        <f t="shared" si="465"/>
        <v>0</v>
      </c>
      <c r="CV526">
        <f t="shared" si="466"/>
        <v>13.6</v>
      </c>
      <c r="CW526">
        <f t="shared" si="467"/>
        <v>0</v>
      </c>
      <c r="CX526">
        <f t="shared" si="468"/>
        <v>0</v>
      </c>
      <c r="CY526">
        <f t="shared" si="469"/>
        <v>6324.9759999999997</v>
      </c>
      <c r="CZ526">
        <f t="shared" si="470"/>
        <v>903.56799999999998</v>
      </c>
      <c r="DC526" t="s">
        <v>3</v>
      </c>
      <c r="DD526" t="s">
        <v>164</v>
      </c>
      <c r="DE526" t="s">
        <v>164</v>
      </c>
      <c r="DF526" t="s">
        <v>164</v>
      </c>
      <c r="DG526" t="s">
        <v>164</v>
      </c>
      <c r="DH526" t="s">
        <v>3</v>
      </c>
      <c r="DI526" t="s">
        <v>164</v>
      </c>
      <c r="DJ526" t="s">
        <v>164</v>
      </c>
      <c r="DK526" t="s">
        <v>3</v>
      </c>
      <c r="DL526" t="s">
        <v>3</v>
      </c>
      <c r="DM526" t="s">
        <v>3</v>
      </c>
      <c r="DN526">
        <v>0</v>
      </c>
      <c r="DO526">
        <v>0</v>
      </c>
      <c r="DP526">
        <v>1</v>
      </c>
      <c r="DQ526">
        <v>1</v>
      </c>
      <c r="DU526">
        <v>1013</v>
      </c>
      <c r="DV526" t="s">
        <v>322</v>
      </c>
      <c r="DW526" t="s">
        <v>322</v>
      </c>
      <c r="DX526">
        <v>1</v>
      </c>
      <c r="DZ526" t="s">
        <v>3</v>
      </c>
      <c r="EA526" t="s">
        <v>3</v>
      </c>
      <c r="EB526" t="s">
        <v>3</v>
      </c>
      <c r="EC526" t="s">
        <v>3</v>
      </c>
      <c r="EE526">
        <v>1441815344</v>
      </c>
      <c r="EF526">
        <v>1</v>
      </c>
      <c r="EG526" t="s">
        <v>23</v>
      </c>
      <c r="EH526">
        <v>0</v>
      </c>
      <c r="EI526" t="s">
        <v>3</v>
      </c>
      <c r="EJ526">
        <v>4</v>
      </c>
      <c r="EK526">
        <v>0</v>
      </c>
      <c r="EL526" t="s">
        <v>24</v>
      </c>
      <c r="EM526" t="s">
        <v>25</v>
      </c>
      <c r="EO526" t="s">
        <v>3</v>
      </c>
      <c r="EQ526">
        <v>0</v>
      </c>
      <c r="ER526">
        <v>5420.26</v>
      </c>
      <c r="ES526">
        <v>355.16</v>
      </c>
      <c r="ET526">
        <v>547.26</v>
      </c>
      <c r="EU526">
        <v>347</v>
      </c>
      <c r="EV526">
        <v>4517.84</v>
      </c>
      <c r="EW526">
        <v>6.8</v>
      </c>
      <c r="EX526">
        <v>0</v>
      </c>
      <c r="EY526">
        <v>0</v>
      </c>
      <c r="FQ526">
        <v>0</v>
      </c>
      <c r="FR526">
        <f t="shared" si="471"/>
        <v>0</v>
      </c>
      <c r="FS526">
        <v>0</v>
      </c>
      <c r="FX526">
        <v>70</v>
      </c>
      <c r="FY526">
        <v>10</v>
      </c>
      <c r="GA526" t="s">
        <v>3</v>
      </c>
      <c r="GD526">
        <v>0</v>
      </c>
      <c r="GF526">
        <v>1450541404</v>
      </c>
      <c r="GG526">
        <v>2</v>
      </c>
      <c r="GH526">
        <v>1</v>
      </c>
      <c r="GI526">
        <v>-2</v>
      </c>
      <c r="GJ526">
        <v>0</v>
      </c>
      <c r="GK526">
        <f>ROUND(R526*(R12)/100,2)</f>
        <v>749.52</v>
      </c>
      <c r="GL526">
        <f t="shared" si="472"/>
        <v>0</v>
      </c>
      <c r="GM526">
        <f t="shared" si="473"/>
        <v>18818.59</v>
      </c>
      <c r="GN526">
        <f t="shared" si="474"/>
        <v>0</v>
      </c>
      <c r="GO526">
        <f t="shared" si="475"/>
        <v>0</v>
      </c>
      <c r="GP526">
        <f t="shared" si="476"/>
        <v>18818.59</v>
      </c>
      <c r="GR526">
        <v>0</v>
      </c>
      <c r="GS526">
        <v>3</v>
      </c>
      <c r="GT526">
        <v>0</v>
      </c>
      <c r="GU526" t="s">
        <v>3</v>
      </c>
      <c r="GV526">
        <f t="shared" si="477"/>
        <v>0</v>
      </c>
      <c r="GW526">
        <v>1</v>
      </c>
      <c r="GX526">
        <f t="shared" si="478"/>
        <v>0</v>
      </c>
      <c r="HA526">
        <v>0</v>
      </c>
      <c r="HB526">
        <v>0</v>
      </c>
      <c r="HC526">
        <f t="shared" si="479"/>
        <v>0</v>
      </c>
      <c r="HE526" t="s">
        <v>3</v>
      </c>
      <c r="HF526" t="s">
        <v>3</v>
      </c>
      <c r="HM526" t="s">
        <v>3</v>
      </c>
      <c r="HN526" t="s">
        <v>3</v>
      </c>
      <c r="HO526" t="s">
        <v>3</v>
      </c>
      <c r="HP526" t="s">
        <v>3</v>
      </c>
      <c r="HQ526" t="s">
        <v>3</v>
      </c>
      <c r="IK526">
        <v>0</v>
      </c>
    </row>
    <row r="527" spans="1:245" x14ac:dyDescent="0.2">
      <c r="A527">
        <v>17</v>
      </c>
      <c r="B527">
        <v>1</v>
      </c>
      <c r="D527">
        <f>ROW(EtalonRes!A467)</f>
        <v>467</v>
      </c>
      <c r="E527" t="s">
        <v>3</v>
      </c>
      <c r="F527" t="s">
        <v>394</v>
      </c>
      <c r="G527" t="s">
        <v>395</v>
      </c>
      <c r="H527" t="s">
        <v>322</v>
      </c>
      <c r="I527">
        <v>1</v>
      </c>
      <c r="J527">
        <v>0</v>
      </c>
      <c r="K527">
        <v>1</v>
      </c>
      <c r="O527">
        <f t="shared" si="447"/>
        <v>9343.7999999999993</v>
      </c>
      <c r="P527">
        <f t="shared" si="448"/>
        <v>62.98</v>
      </c>
      <c r="Q527">
        <f t="shared" si="449"/>
        <v>1094.52</v>
      </c>
      <c r="R527">
        <f t="shared" si="450"/>
        <v>694</v>
      </c>
      <c r="S527">
        <f t="shared" si="451"/>
        <v>8186.3</v>
      </c>
      <c r="T527">
        <f t="shared" si="452"/>
        <v>0</v>
      </c>
      <c r="U527">
        <f t="shared" si="453"/>
        <v>12.32</v>
      </c>
      <c r="V527">
        <f t="shared" si="454"/>
        <v>0</v>
      </c>
      <c r="W527">
        <f t="shared" si="455"/>
        <v>0</v>
      </c>
      <c r="X527">
        <f t="shared" si="456"/>
        <v>5730.41</v>
      </c>
      <c r="Y527">
        <f t="shared" si="457"/>
        <v>818.63</v>
      </c>
      <c r="AA527">
        <v>-1</v>
      </c>
      <c r="AB527">
        <f t="shared" si="458"/>
        <v>9343.7999999999993</v>
      </c>
      <c r="AC527">
        <f>ROUND(((ES527*2)),6)</f>
        <v>62.98</v>
      </c>
      <c r="AD527">
        <f>ROUND(((((ET527*2))-((EU527*2)))+AE527),6)</f>
        <v>1094.52</v>
      </c>
      <c r="AE527">
        <f>ROUND(((EU527*2)),6)</f>
        <v>694</v>
      </c>
      <c r="AF527">
        <f>ROUND(((EV527*2)),6)</f>
        <v>8186.3</v>
      </c>
      <c r="AG527">
        <f t="shared" si="459"/>
        <v>0</v>
      </c>
      <c r="AH527">
        <f>((EW527*2))</f>
        <v>12.32</v>
      </c>
      <c r="AI527">
        <f>((EX527*2))</f>
        <v>0</v>
      </c>
      <c r="AJ527">
        <f t="shared" si="460"/>
        <v>0</v>
      </c>
      <c r="AK527">
        <v>4671.8999999999996</v>
      </c>
      <c r="AL527">
        <v>31.49</v>
      </c>
      <c r="AM527">
        <v>547.26</v>
      </c>
      <c r="AN527">
        <v>347</v>
      </c>
      <c r="AO527">
        <v>4093.15</v>
      </c>
      <c r="AP527">
        <v>0</v>
      </c>
      <c r="AQ527">
        <v>6.16</v>
      </c>
      <c r="AR527">
        <v>0</v>
      </c>
      <c r="AS527">
        <v>0</v>
      </c>
      <c r="AT527">
        <v>70</v>
      </c>
      <c r="AU527">
        <v>10</v>
      </c>
      <c r="AV527">
        <v>1</v>
      </c>
      <c r="AW527">
        <v>1</v>
      </c>
      <c r="AZ527">
        <v>1</v>
      </c>
      <c r="BA527">
        <v>1</v>
      </c>
      <c r="BB527">
        <v>1</v>
      </c>
      <c r="BC527">
        <v>1</v>
      </c>
      <c r="BD527" t="s">
        <v>3</v>
      </c>
      <c r="BE527" t="s">
        <v>3</v>
      </c>
      <c r="BF527" t="s">
        <v>3</v>
      </c>
      <c r="BG527" t="s">
        <v>3</v>
      </c>
      <c r="BH527">
        <v>0</v>
      </c>
      <c r="BI527">
        <v>4</v>
      </c>
      <c r="BJ527" t="s">
        <v>396</v>
      </c>
      <c r="BM527">
        <v>0</v>
      </c>
      <c r="BN527">
        <v>0</v>
      </c>
      <c r="BO527" t="s">
        <v>3</v>
      </c>
      <c r="BP527">
        <v>0</v>
      </c>
      <c r="BQ527">
        <v>1</v>
      </c>
      <c r="BR527">
        <v>0</v>
      </c>
      <c r="BS527">
        <v>1</v>
      </c>
      <c r="BT527">
        <v>1</v>
      </c>
      <c r="BU527">
        <v>1</v>
      </c>
      <c r="BV527">
        <v>1</v>
      </c>
      <c r="BW527">
        <v>1</v>
      </c>
      <c r="BX527">
        <v>1</v>
      </c>
      <c r="BY527" t="s">
        <v>3</v>
      </c>
      <c r="BZ527">
        <v>70</v>
      </c>
      <c r="CA527">
        <v>10</v>
      </c>
      <c r="CB527" t="s">
        <v>3</v>
      </c>
      <c r="CE527">
        <v>0</v>
      </c>
      <c r="CF527">
        <v>0</v>
      </c>
      <c r="CG527">
        <v>0</v>
      </c>
      <c r="CM527">
        <v>0</v>
      </c>
      <c r="CN527" t="s">
        <v>3</v>
      </c>
      <c r="CO527">
        <v>0</v>
      </c>
      <c r="CP527">
        <f t="shared" si="461"/>
        <v>9343.7999999999993</v>
      </c>
      <c r="CQ527">
        <f t="shared" si="462"/>
        <v>62.98</v>
      </c>
      <c r="CR527">
        <f>(((((ET527*2))*BB527-((EU527*2))*BS527)+AE527*BS527)*AV527)</f>
        <v>1094.52</v>
      </c>
      <c r="CS527">
        <f t="shared" si="463"/>
        <v>694</v>
      </c>
      <c r="CT527">
        <f t="shared" si="464"/>
        <v>8186.3</v>
      </c>
      <c r="CU527">
        <f t="shared" si="465"/>
        <v>0</v>
      </c>
      <c r="CV527">
        <f t="shared" si="466"/>
        <v>12.32</v>
      </c>
      <c r="CW527">
        <f t="shared" si="467"/>
        <v>0</v>
      </c>
      <c r="CX527">
        <f t="shared" si="468"/>
        <v>0</v>
      </c>
      <c r="CY527">
        <f t="shared" si="469"/>
        <v>5730.41</v>
      </c>
      <c r="CZ527">
        <f t="shared" si="470"/>
        <v>818.63</v>
      </c>
      <c r="DC527" t="s">
        <v>3</v>
      </c>
      <c r="DD527" t="s">
        <v>164</v>
      </c>
      <c r="DE527" t="s">
        <v>164</v>
      </c>
      <c r="DF527" t="s">
        <v>164</v>
      </c>
      <c r="DG527" t="s">
        <v>164</v>
      </c>
      <c r="DH527" t="s">
        <v>3</v>
      </c>
      <c r="DI527" t="s">
        <v>164</v>
      </c>
      <c r="DJ527" t="s">
        <v>164</v>
      </c>
      <c r="DK527" t="s">
        <v>3</v>
      </c>
      <c r="DL527" t="s">
        <v>3</v>
      </c>
      <c r="DM527" t="s">
        <v>3</v>
      </c>
      <c r="DN527">
        <v>0</v>
      </c>
      <c r="DO527">
        <v>0</v>
      </c>
      <c r="DP527">
        <v>1</v>
      </c>
      <c r="DQ527">
        <v>1</v>
      </c>
      <c r="DU527">
        <v>1013</v>
      </c>
      <c r="DV527" t="s">
        <v>322</v>
      </c>
      <c r="DW527" t="s">
        <v>322</v>
      </c>
      <c r="DX527">
        <v>1</v>
      </c>
      <c r="DZ527" t="s">
        <v>3</v>
      </c>
      <c r="EA527" t="s">
        <v>3</v>
      </c>
      <c r="EB527" t="s">
        <v>3</v>
      </c>
      <c r="EC527" t="s">
        <v>3</v>
      </c>
      <c r="EE527">
        <v>1441815344</v>
      </c>
      <c r="EF527">
        <v>1</v>
      </c>
      <c r="EG527" t="s">
        <v>23</v>
      </c>
      <c r="EH527">
        <v>0</v>
      </c>
      <c r="EI527" t="s">
        <v>3</v>
      </c>
      <c r="EJ527">
        <v>4</v>
      </c>
      <c r="EK527">
        <v>0</v>
      </c>
      <c r="EL527" t="s">
        <v>24</v>
      </c>
      <c r="EM527" t="s">
        <v>25</v>
      </c>
      <c r="EO527" t="s">
        <v>3</v>
      </c>
      <c r="EQ527">
        <v>1024</v>
      </c>
      <c r="ER527">
        <v>4671.8999999999996</v>
      </c>
      <c r="ES527">
        <v>31.49</v>
      </c>
      <c r="ET527">
        <v>547.26</v>
      </c>
      <c r="EU527">
        <v>347</v>
      </c>
      <c r="EV527">
        <v>4093.15</v>
      </c>
      <c r="EW527">
        <v>6.16</v>
      </c>
      <c r="EX527">
        <v>0</v>
      </c>
      <c r="EY527">
        <v>0</v>
      </c>
      <c r="FQ527">
        <v>0</v>
      </c>
      <c r="FR527">
        <f t="shared" si="471"/>
        <v>0</v>
      </c>
      <c r="FS527">
        <v>0</v>
      </c>
      <c r="FX527">
        <v>70</v>
      </c>
      <c r="FY527">
        <v>10</v>
      </c>
      <c r="GA527" t="s">
        <v>3</v>
      </c>
      <c r="GD527">
        <v>0</v>
      </c>
      <c r="GF527">
        <v>927657290</v>
      </c>
      <c r="GG527">
        <v>2</v>
      </c>
      <c r="GH527">
        <v>1</v>
      </c>
      <c r="GI527">
        <v>-2</v>
      </c>
      <c r="GJ527">
        <v>0</v>
      </c>
      <c r="GK527">
        <f>ROUND(R527*(R12)/100,2)</f>
        <v>749.52</v>
      </c>
      <c r="GL527">
        <f t="shared" si="472"/>
        <v>0</v>
      </c>
      <c r="GM527">
        <f t="shared" si="473"/>
        <v>16642.36</v>
      </c>
      <c r="GN527">
        <f t="shared" si="474"/>
        <v>0</v>
      </c>
      <c r="GO527">
        <f t="shared" si="475"/>
        <v>0</v>
      </c>
      <c r="GP527">
        <f t="shared" si="476"/>
        <v>16642.36</v>
      </c>
      <c r="GR527">
        <v>0</v>
      </c>
      <c r="GS527">
        <v>3</v>
      </c>
      <c r="GT527">
        <v>0</v>
      </c>
      <c r="GU527" t="s">
        <v>3</v>
      </c>
      <c r="GV527">
        <f t="shared" si="477"/>
        <v>0</v>
      </c>
      <c r="GW527">
        <v>1</v>
      </c>
      <c r="GX527">
        <f t="shared" si="478"/>
        <v>0</v>
      </c>
      <c r="HA527">
        <v>0</v>
      </c>
      <c r="HB527">
        <v>0</v>
      </c>
      <c r="HC527">
        <f t="shared" si="479"/>
        <v>0</v>
      </c>
      <c r="HE527" t="s">
        <v>3</v>
      </c>
      <c r="HF527" t="s">
        <v>3</v>
      </c>
      <c r="HM527" t="s">
        <v>3</v>
      </c>
      <c r="HN527" t="s">
        <v>3</v>
      </c>
      <c r="HO527" t="s">
        <v>3</v>
      </c>
      <c r="HP527" t="s">
        <v>3</v>
      </c>
      <c r="HQ527" t="s">
        <v>3</v>
      </c>
      <c r="IK527">
        <v>0</v>
      </c>
    </row>
    <row r="528" spans="1:245" x14ac:dyDescent="0.2">
      <c r="A528">
        <v>17</v>
      </c>
      <c r="B528">
        <v>1</v>
      </c>
      <c r="D528">
        <f>ROW(EtalonRes!A477)</f>
        <v>477</v>
      </c>
      <c r="E528" t="s">
        <v>3</v>
      </c>
      <c r="F528" t="s">
        <v>406</v>
      </c>
      <c r="G528" t="s">
        <v>407</v>
      </c>
      <c r="H528" t="s">
        <v>322</v>
      </c>
      <c r="I528">
        <v>1</v>
      </c>
      <c r="J528">
        <v>0</v>
      </c>
      <c r="K528">
        <v>1</v>
      </c>
      <c r="O528">
        <f t="shared" si="447"/>
        <v>133144.68</v>
      </c>
      <c r="P528">
        <f t="shared" si="448"/>
        <v>4883.01</v>
      </c>
      <c r="Q528">
        <f t="shared" si="449"/>
        <v>0</v>
      </c>
      <c r="R528">
        <f t="shared" si="450"/>
        <v>0</v>
      </c>
      <c r="S528">
        <f t="shared" si="451"/>
        <v>128261.67</v>
      </c>
      <c r="T528">
        <f t="shared" si="452"/>
        <v>0</v>
      </c>
      <c r="U528">
        <f t="shared" si="453"/>
        <v>166.66666666666666</v>
      </c>
      <c r="V528">
        <f t="shared" si="454"/>
        <v>0</v>
      </c>
      <c r="W528">
        <f t="shared" si="455"/>
        <v>0</v>
      </c>
      <c r="X528">
        <f t="shared" si="456"/>
        <v>89783.17</v>
      </c>
      <c r="Y528">
        <f t="shared" si="457"/>
        <v>12826.17</v>
      </c>
      <c r="AA528">
        <v>-1</v>
      </c>
      <c r="AB528">
        <f t="shared" si="458"/>
        <v>133144.67333399999</v>
      </c>
      <c r="AC528">
        <f>ROUND((((ES528/12)*8)),6)</f>
        <v>4883.0066669999997</v>
      </c>
      <c r="AD528">
        <f>ROUND((((((ET528/12)*8))-(((EU528/12)*8)))+AE528),6)</f>
        <v>0</v>
      </c>
      <c r="AE528">
        <f>ROUND((((EU528/12)*8)),6)</f>
        <v>0</v>
      </c>
      <c r="AF528">
        <f>ROUND((((EV528/12)*8)),6)</f>
        <v>128261.666667</v>
      </c>
      <c r="AG528">
        <f t="shared" si="459"/>
        <v>0</v>
      </c>
      <c r="AH528">
        <f>(((EW528/12)*8))</f>
        <v>166.66666666666666</v>
      </c>
      <c r="AI528">
        <f>(((EX528/12)*8))</f>
        <v>0</v>
      </c>
      <c r="AJ528">
        <f t="shared" si="460"/>
        <v>0</v>
      </c>
      <c r="AK528">
        <v>199717.01</v>
      </c>
      <c r="AL528">
        <v>7324.51</v>
      </c>
      <c r="AM528">
        <v>0</v>
      </c>
      <c r="AN528">
        <v>0</v>
      </c>
      <c r="AO528">
        <v>192392.5</v>
      </c>
      <c r="AP528">
        <v>0</v>
      </c>
      <c r="AQ528">
        <v>250</v>
      </c>
      <c r="AR528">
        <v>0</v>
      </c>
      <c r="AS528">
        <v>0</v>
      </c>
      <c r="AT528">
        <v>70</v>
      </c>
      <c r="AU528">
        <v>10</v>
      </c>
      <c r="AV528">
        <v>1</v>
      </c>
      <c r="AW528">
        <v>1</v>
      </c>
      <c r="AZ528">
        <v>1</v>
      </c>
      <c r="BA528">
        <v>1</v>
      </c>
      <c r="BB528">
        <v>1</v>
      </c>
      <c r="BC528">
        <v>1</v>
      </c>
      <c r="BD528" t="s">
        <v>3</v>
      </c>
      <c r="BE528" t="s">
        <v>3</v>
      </c>
      <c r="BF528" t="s">
        <v>3</v>
      </c>
      <c r="BG528" t="s">
        <v>3</v>
      </c>
      <c r="BH528">
        <v>0</v>
      </c>
      <c r="BI528">
        <v>4</v>
      </c>
      <c r="BJ528" t="s">
        <v>408</v>
      </c>
      <c r="BM528">
        <v>0</v>
      </c>
      <c r="BN528">
        <v>0</v>
      </c>
      <c r="BO528" t="s">
        <v>3</v>
      </c>
      <c r="BP528">
        <v>0</v>
      </c>
      <c r="BQ528">
        <v>1</v>
      </c>
      <c r="BR528">
        <v>0</v>
      </c>
      <c r="BS528">
        <v>1</v>
      </c>
      <c r="BT528">
        <v>1</v>
      </c>
      <c r="BU528">
        <v>1</v>
      </c>
      <c r="BV528">
        <v>1</v>
      </c>
      <c r="BW528">
        <v>1</v>
      </c>
      <c r="BX528">
        <v>1</v>
      </c>
      <c r="BY528" t="s">
        <v>3</v>
      </c>
      <c r="BZ528">
        <v>70</v>
      </c>
      <c r="CA528">
        <v>10</v>
      </c>
      <c r="CB528" t="s">
        <v>3</v>
      </c>
      <c r="CE528">
        <v>0</v>
      </c>
      <c r="CF528">
        <v>0</v>
      </c>
      <c r="CG528">
        <v>0</v>
      </c>
      <c r="CM528">
        <v>0</v>
      </c>
      <c r="CN528" t="s">
        <v>3</v>
      </c>
      <c r="CO528">
        <v>0</v>
      </c>
      <c r="CP528">
        <f t="shared" si="461"/>
        <v>133144.68</v>
      </c>
      <c r="CQ528">
        <f t="shared" si="462"/>
        <v>4883.0066669999997</v>
      </c>
      <c r="CR528">
        <f>((((((ET528/12)*8))*BB528-(((EU528/12)*8))*BS528)+AE528*BS528)*AV528)</f>
        <v>0</v>
      </c>
      <c r="CS528">
        <f t="shared" si="463"/>
        <v>0</v>
      </c>
      <c r="CT528">
        <f t="shared" si="464"/>
        <v>128261.666667</v>
      </c>
      <c r="CU528">
        <f t="shared" si="465"/>
        <v>0</v>
      </c>
      <c r="CV528">
        <f t="shared" si="466"/>
        <v>166.66666666666666</v>
      </c>
      <c r="CW528">
        <f t="shared" si="467"/>
        <v>0</v>
      </c>
      <c r="CX528">
        <f t="shared" si="468"/>
        <v>0</v>
      </c>
      <c r="CY528">
        <f t="shared" si="469"/>
        <v>89783.169000000009</v>
      </c>
      <c r="CZ528">
        <f t="shared" si="470"/>
        <v>12826.166999999999</v>
      </c>
      <c r="DC528" t="s">
        <v>3</v>
      </c>
      <c r="DD528" t="s">
        <v>324</v>
      </c>
      <c r="DE528" t="s">
        <v>324</v>
      </c>
      <c r="DF528" t="s">
        <v>324</v>
      </c>
      <c r="DG528" t="s">
        <v>324</v>
      </c>
      <c r="DH528" t="s">
        <v>3</v>
      </c>
      <c r="DI528" t="s">
        <v>324</v>
      </c>
      <c r="DJ528" t="s">
        <v>324</v>
      </c>
      <c r="DK528" t="s">
        <v>3</v>
      </c>
      <c r="DL528" t="s">
        <v>3</v>
      </c>
      <c r="DM528" t="s">
        <v>3</v>
      </c>
      <c r="DN528">
        <v>0</v>
      </c>
      <c r="DO528">
        <v>0</v>
      </c>
      <c r="DP528">
        <v>1</v>
      </c>
      <c r="DQ528">
        <v>1</v>
      </c>
      <c r="DU528">
        <v>1013</v>
      </c>
      <c r="DV528" t="s">
        <v>322</v>
      </c>
      <c r="DW528" t="s">
        <v>322</v>
      </c>
      <c r="DX528">
        <v>1</v>
      </c>
      <c r="DZ528" t="s">
        <v>3</v>
      </c>
      <c r="EA528" t="s">
        <v>3</v>
      </c>
      <c r="EB528" t="s">
        <v>3</v>
      </c>
      <c r="EC528" t="s">
        <v>3</v>
      </c>
      <c r="EE528">
        <v>1441815344</v>
      </c>
      <c r="EF528">
        <v>1</v>
      </c>
      <c r="EG528" t="s">
        <v>23</v>
      </c>
      <c r="EH528">
        <v>0</v>
      </c>
      <c r="EI528" t="s">
        <v>3</v>
      </c>
      <c r="EJ528">
        <v>4</v>
      </c>
      <c r="EK528">
        <v>0</v>
      </c>
      <c r="EL528" t="s">
        <v>24</v>
      </c>
      <c r="EM528" t="s">
        <v>25</v>
      </c>
      <c r="EO528" t="s">
        <v>3</v>
      </c>
      <c r="EQ528">
        <v>1024</v>
      </c>
      <c r="ER528">
        <v>199717.01</v>
      </c>
      <c r="ES528">
        <v>7324.51</v>
      </c>
      <c r="ET528">
        <v>0</v>
      </c>
      <c r="EU528">
        <v>0</v>
      </c>
      <c r="EV528">
        <v>192392.5</v>
      </c>
      <c r="EW528">
        <v>250</v>
      </c>
      <c r="EX528">
        <v>0</v>
      </c>
      <c r="EY528">
        <v>0</v>
      </c>
      <c r="FQ528">
        <v>0</v>
      </c>
      <c r="FR528">
        <f t="shared" si="471"/>
        <v>0</v>
      </c>
      <c r="FS528">
        <v>0</v>
      </c>
      <c r="FX528">
        <v>70</v>
      </c>
      <c r="FY528">
        <v>10</v>
      </c>
      <c r="GA528" t="s">
        <v>3</v>
      </c>
      <c r="GD528">
        <v>0</v>
      </c>
      <c r="GF528">
        <v>1066617714</v>
      </c>
      <c r="GG528">
        <v>2</v>
      </c>
      <c r="GH528">
        <v>1</v>
      </c>
      <c r="GI528">
        <v>-2</v>
      </c>
      <c r="GJ528">
        <v>0</v>
      </c>
      <c r="GK528">
        <f>ROUND(R528*(R12)/100,2)</f>
        <v>0</v>
      </c>
      <c r="GL528">
        <f t="shared" si="472"/>
        <v>0</v>
      </c>
      <c r="GM528">
        <f t="shared" si="473"/>
        <v>235754.02</v>
      </c>
      <c r="GN528">
        <f t="shared" si="474"/>
        <v>0</v>
      </c>
      <c r="GO528">
        <f t="shared" si="475"/>
        <v>0</v>
      </c>
      <c r="GP528">
        <f t="shared" si="476"/>
        <v>235754.02</v>
      </c>
      <c r="GR528">
        <v>0</v>
      </c>
      <c r="GS528">
        <v>3</v>
      </c>
      <c r="GT528">
        <v>0</v>
      </c>
      <c r="GU528" t="s">
        <v>3</v>
      </c>
      <c r="GV528">
        <f t="shared" si="477"/>
        <v>0</v>
      </c>
      <c r="GW528">
        <v>1</v>
      </c>
      <c r="GX528">
        <f t="shared" si="478"/>
        <v>0</v>
      </c>
      <c r="HA528">
        <v>0</v>
      </c>
      <c r="HB528">
        <v>0</v>
      </c>
      <c r="HC528">
        <f t="shared" si="479"/>
        <v>0</v>
      </c>
      <c r="HE528" t="s">
        <v>3</v>
      </c>
      <c r="HF528" t="s">
        <v>3</v>
      </c>
      <c r="HM528" t="s">
        <v>3</v>
      </c>
      <c r="HN528" t="s">
        <v>3</v>
      </c>
      <c r="HO528" t="s">
        <v>3</v>
      </c>
      <c r="HP528" t="s">
        <v>3</v>
      </c>
      <c r="HQ528" t="s">
        <v>3</v>
      </c>
      <c r="IK528">
        <v>0</v>
      </c>
    </row>
    <row r="529" spans="1:245" x14ac:dyDescent="0.2">
      <c r="A529">
        <v>17</v>
      </c>
      <c r="B529">
        <v>1</v>
      </c>
      <c r="D529">
        <f>ROW(EtalonRes!A481)</f>
        <v>481</v>
      </c>
      <c r="E529" t="s">
        <v>409</v>
      </c>
      <c r="F529" t="s">
        <v>391</v>
      </c>
      <c r="G529" t="s">
        <v>410</v>
      </c>
      <c r="H529" t="s">
        <v>322</v>
      </c>
      <c r="I529">
        <v>1</v>
      </c>
      <c r="J529">
        <v>0</v>
      </c>
      <c r="K529">
        <v>1</v>
      </c>
      <c r="O529">
        <f t="shared" si="447"/>
        <v>10840.52</v>
      </c>
      <c r="P529">
        <f t="shared" si="448"/>
        <v>710.32</v>
      </c>
      <c r="Q529">
        <f t="shared" si="449"/>
        <v>1094.52</v>
      </c>
      <c r="R529">
        <f t="shared" si="450"/>
        <v>694</v>
      </c>
      <c r="S529">
        <f t="shared" si="451"/>
        <v>9035.68</v>
      </c>
      <c r="T529">
        <f t="shared" si="452"/>
        <v>0</v>
      </c>
      <c r="U529">
        <f t="shared" si="453"/>
        <v>13.6</v>
      </c>
      <c r="V529">
        <f t="shared" si="454"/>
        <v>0</v>
      </c>
      <c r="W529">
        <f t="shared" si="455"/>
        <v>0</v>
      </c>
      <c r="X529">
        <f t="shared" si="456"/>
        <v>6324.98</v>
      </c>
      <c r="Y529">
        <f t="shared" si="457"/>
        <v>903.57</v>
      </c>
      <c r="AA529">
        <v>1472224561</v>
      </c>
      <c r="AB529">
        <f t="shared" si="458"/>
        <v>10840.52</v>
      </c>
      <c r="AC529">
        <f>ROUND(((ES529*2)),6)</f>
        <v>710.32</v>
      </c>
      <c r="AD529">
        <f>ROUND(((((ET529*2))-((EU529*2)))+AE529),6)</f>
        <v>1094.52</v>
      </c>
      <c r="AE529">
        <f>ROUND(((EU529*2)),6)</f>
        <v>694</v>
      </c>
      <c r="AF529">
        <f>ROUND(((EV529*2)),6)</f>
        <v>9035.68</v>
      </c>
      <c r="AG529">
        <f t="shared" si="459"/>
        <v>0</v>
      </c>
      <c r="AH529">
        <f>((EW529*2))</f>
        <v>13.6</v>
      </c>
      <c r="AI529">
        <f>((EX529*2))</f>
        <v>0</v>
      </c>
      <c r="AJ529">
        <f t="shared" si="460"/>
        <v>0</v>
      </c>
      <c r="AK529">
        <v>5420.26</v>
      </c>
      <c r="AL529">
        <v>355.16</v>
      </c>
      <c r="AM529">
        <v>547.26</v>
      </c>
      <c r="AN529">
        <v>347</v>
      </c>
      <c r="AO529">
        <v>4517.84</v>
      </c>
      <c r="AP529">
        <v>0</v>
      </c>
      <c r="AQ529">
        <v>6.8</v>
      </c>
      <c r="AR529">
        <v>0</v>
      </c>
      <c r="AS529">
        <v>0</v>
      </c>
      <c r="AT529">
        <v>70</v>
      </c>
      <c r="AU529">
        <v>10</v>
      </c>
      <c r="AV529">
        <v>1</v>
      </c>
      <c r="AW529">
        <v>1</v>
      </c>
      <c r="AZ529">
        <v>1</v>
      </c>
      <c r="BA529">
        <v>1</v>
      </c>
      <c r="BB529">
        <v>1</v>
      </c>
      <c r="BC529">
        <v>1</v>
      </c>
      <c r="BD529" t="s">
        <v>3</v>
      </c>
      <c r="BE529" t="s">
        <v>3</v>
      </c>
      <c r="BF529" t="s">
        <v>3</v>
      </c>
      <c r="BG529" t="s">
        <v>3</v>
      </c>
      <c r="BH529">
        <v>0</v>
      </c>
      <c r="BI529">
        <v>4</v>
      </c>
      <c r="BJ529" t="s">
        <v>393</v>
      </c>
      <c r="BM529">
        <v>0</v>
      </c>
      <c r="BN529">
        <v>0</v>
      </c>
      <c r="BO529" t="s">
        <v>3</v>
      </c>
      <c r="BP529">
        <v>0</v>
      </c>
      <c r="BQ529">
        <v>1</v>
      </c>
      <c r="BR529">
        <v>0</v>
      </c>
      <c r="BS529">
        <v>1</v>
      </c>
      <c r="BT529">
        <v>1</v>
      </c>
      <c r="BU529">
        <v>1</v>
      </c>
      <c r="BV529">
        <v>1</v>
      </c>
      <c r="BW529">
        <v>1</v>
      </c>
      <c r="BX529">
        <v>1</v>
      </c>
      <c r="BY529" t="s">
        <v>3</v>
      </c>
      <c r="BZ529">
        <v>70</v>
      </c>
      <c r="CA529">
        <v>10</v>
      </c>
      <c r="CB529" t="s">
        <v>3</v>
      </c>
      <c r="CE529">
        <v>0</v>
      </c>
      <c r="CF529">
        <v>0</v>
      </c>
      <c r="CG529">
        <v>0</v>
      </c>
      <c r="CM529">
        <v>0</v>
      </c>
      <c r="CN529" t="s">
        <v>3</v>
      </c>
      <c r="CO529">
        <v>0</v>
      </c>
      <c r="CP529">
        <f t="shared" si="461"/>
        <v>10840.52</v>
      </c>
      <c r="CQ529">
        <f t="shared" si="462"/>
        <v>710.32</v>
      </c>
      <c r="CR529">
        <f>(((((ET529*2))*BB529-((EU529*2))*BS529)+AE529*BS529)*AV529)</f>
        <v>1094.52</v>
      </c>
      <c r="CS529">
        <f t="shared" si="463"/>
        <v>694</v>
      </c>
      <c r="CT529">
        <f t="shared" si="464"/>
        <v>9035.68</v>
      </c>
      <c r="CU529">
        <f t="shared" si="465"/>
        <v>0</v>
      </c>
      <c r="CV529">
        <f t="shared" si="466"/>
        <v>13.6</v>
      </c>
      <c r="CW529">
        <f t="shared" si="467"/>
        <v>0</v>
      </c>
      <c r="CX529">
        <f t="shared" si="468"/>
        <v>0</v>
      </c>
      <c r="CY529">
        <f t="shared" si="469"/>
        <v>6324.9759999999997</v>
      </c>
      <c r="CZ529">
        <f t="shared" si="470"/>
        <v>903.56799999999998</v>
      </c>
      <c r="DC529" t="s">
        <v>3</v>
      </c>
      <c r="DD529" t="s">
        <v>164</v>
      </c>
      <c r="DE529" t="s">
        <v>164</v>
      </c>
      <c r="DF529" t="s">
        <v>164</v>
      </c>
      <c r="DG529" t="s">
        <v>164</v>
      </c>
      <c r="DH529" t="s">
        <v>3</v>
      </c>
      <c r="DI529" t="s">
        <v>164</v>
      </c>
      <c r="DJ529" t="s">
        <v>164</v>
      </c>
      <c r="DK529" t="s">
        <v>3</v>
      </c>
      <c r="DL529" t="s">
        <v>3</v>
      </c>
      <c r="DM529" t="s">
        <v>3</v>
      </c>
      <c r="DN529">
        <v>0</v>
      </c>
      <c r="DO529">
        <v>0</v>
      </c>
      <c r="DP529">
        <v>1</v>
      </c>
      <c r="DQ529">
        <v>1</v>
      </c>
      <c r="DU529">
        <v>1013</v>
      </c>
      <c r="DV529" t="s">
        <v>322</v>
      </c>
      <c r="DW529" t="s">
        <v>322</v>
      </c>
      <c r="DX529">
        <v>1</v>
      </c>
      <c r="DZ529" t="s">
        <v>3</v>
      </c>
      <c r="EA529" t="s">
        <v>3</v>
      </c>
      <c r="EB529" t="s">
        <v>3</v>
      </c>
      <c r="EC529" t="s">
        <v>3</v>
      </c>
      <c r="EE529">
        <v>1441815344</v>
      </c>
      <c r="EF529">
        <v>1</v>
      </c>
      <c r="EG529" t="s">
        <v>23</v>
      </c>
      <c r="EH529">
        <v>0</v>
      </c>
      <c r="EI529" t="s">
        <v>3</v>
      </c>
      <c r="EJ529">
        <v>4</v>
      </c>
      <c r="EK529">
        <v>0</v>
      </c>
      <c r="EL529" t="s">
        <v>24</v>
      </c>
      <c r="EM529" t="s">
        <v>25</v>
      </c>
      <c r="EO529" t="s">
        <v>3</v>
      </c>
      <c r="EQ529">
        <v>0</v>
      </c>
      <c r="ER529">
        <v>5420.26</v>
      </c>
      <c r="ES529">
        <v>355.16</v>
      </c>
      <c r="ET529">
        <v>547.26</v>
      </c>
      <c r="EU529">
        <v>347</v>
      </c>
      <c r="EV529">
        <v>4517.84</v>
      </c>
      <c r="EW529">
        <v>6.8</v>
      </c>
      <c r="EX529">
        <v>0</v>
      </c>
      <c r="EY529">
        <v>0</v>
      </c>
      <c r="FQ529">
        <v>0</v>
      </c>
      <c r="FR529">
        <f t="shared" si="471"/>
        <v>0</v>
      </c>
      <c r="FS529">
        <v>0</v>
      </c>
      <c r="FX529">
        <v>70</v>
      </c>
      <c r="FY529">
        <v>10</v>
      </c>
      <c r="GA529" t="s">
        <v>3</v>
      </c>
      <c r="GD529">
        <v>0</v>
      </c>
      <c r="GF529">
        <v>-935651537</v>
      </c>
      <c r="GG529">
        <v>2</v>
      </c>
      <c r="GH529">
        <v>1</v>
      </c>
      <c r="GI529">
        <v>-2</v>
      </c>
      <c r="GJ529">
        <v>0</v>
      </c>
      <c r="GK529">
        <f>ROUND(R529*(R12)/100,2)</f>
        <v>749.52</v>
      </c>
      <c r="GL529">
        <f t="shared" si="472"/>
        <v>0</v>
      </c>
      <c r="GM529">
        <f t="shared" si="473"/>
        <v>18818.59</v>
      </c>
      <c r="GN529">
        <f t="shared" si="474"/>
        <v>0</v>
      </c>
      <c r="GO529">
        <f t="shared" si="475"/>
        <v>0</v>
      </c>
      <c r="GP529">
        <f t="shared" si="476"/>
        <v>18818.59</v>
      </c>
      <c r="GR529">
        <v>0</v>
      </c>
      <c r="GS529">
        <v>3</v>
      </c>
      <c r="GT529">
        <v>0</v>
      </c>
      <c r="GU529" t="s">
        <v>3</v>
      </c>
      <c r="GV529">
        <f t="shared" si="477"/>
        <v>0</v>
      </c>
      <c r="GW529">
        <v>1</v>
      </c>
      <c r="GX529">
        <f t="shared" si="478"/>
        <v>0</v>
      </c>
      <c r="HA529">
        <v>0</v>
      </c>
      <c r="HB529">
        <v>0</v>
      </c>
      <c r="HC529">
        <f t="shared" si="479"/>
        <v>0</v>
      </c>
      <c r="HE529" t="s">
        <v>3</v>
      </c>
      <c r="HF529" t="s">
        <v>3</v>
      </c>
      <c r="HM529" t="s">
        <v>3</v>
      </c>
      <c r="HN529" t="s">
        <v>3</v>
      </c>
      <c r="HO529" t="s">
        <v>3</v>
      </c>
      <c r="HP529" t="s">
        <v>3</v>
      </c>
      <c r="HQ529" t="s">
        <v>3</v>
      </c>
      <c r="IK529">
        <v>0</v>
      </c>
    </row>
    <row r="530" spans="1:245" x14ac:dyDescent="0.2">
      <c r="A530">
        <v>17</v>
      </c>
      <c r="B530">
        <v>1</v>
      </c>
      <c r="D530">
        <f>ROW(EtalonRes!A484)</f>
        <v>484</v>
      </c>
      <c r="E530" t="s">
        <v>3</v>
      </c>
      <c r="F530" t="s">
        <v>394</v>
      </c>
      <c r="G530" t="s">
        <v>411</v>
      </c>
      <c r="H530" t="s">
        <v>322</v>
      </c>
      <c r="I530">
        <v>1</v>
      </c>
      <c r="J530">
        <v>0</v>
      </c>
      <c r="K530">
        <v>1</v>
      </c>
      <c r="O530">
        <f t="shared" si="447"/>
        <v>9343.7999999999993</v>
      </c>
      <c r="P530">
        <f t="shared" si="448"/>
        <v>62.98</v>
      </c>
      <c r="Q530">
        <f t="shared" si="449"/>
        <v>1094.52</v>
      </c>
      <c r="R530">
        <f t="shared" si="450"/>
        <v>694</v>
      </c>
      <c r="S530">
        <f t="shared" si="451"/>
        <v>8186.3</v>
      </c>
      <c r="T530">
        <f t="shared" si="452"/>
        <v>0</v>
      </c>
      <c r="U530">
        <f t="shared" si="453"/>
        <v>12.32</v>
      </c>
      <c r="V530">
        <f t="shared" si="454"/>
        <v>0</v>
      </c>
      <c r="W530">
        <f t="shared" si="455"/>
        <v>0</v>
      </c>
      <c r="X530">
        <f t="shared" si="456"/>
        <v>5730.41</v>
      </c>
      <c r="Y530">
        <f t="shared" si="457"/>
        <v>818.63</v>
      </c>
      <c r="AA530">
        <v>-1</v>
      </c>
      <c r="AB530">
        <f t="shared" si="458"/>
        <v>9343.7999999999993</v>
      </c>
      <c r="AC530">
        <f>ROUND(((ES530*2)),6)</f>
        <v>62.98</v>
      </c>
      <c r="AD530">
        <f>ROUND(((((ET530*2))-((EU530*2)))+AE530),6)</f>
        <v>1094.52</v>
      </c>
      <c r="AE530">
        <f>ROUND(((EU530*2)),6)</f>
        <v>694</v>
      </c>
      <c r="AF530">
        <f>ROUND(((EV530*2)),6)</f>
        <v>8186.3</v>
      </c>
      <c r="AG530">
        <f t="shared" si="459"/>
        <v>0</v>
      </c>
      <c r="AH530">
        <f>((EW530*2))</f>
        <v>12.32</v>
      </c>
      <c r="AI530">
        <f>((EX530*2))</f>
        <v>0</v>
      </c>
      <c r="AJ530">
        <f t="shared" si="460"/>
        <v>0</v>
      </c>
      <c r="AK530">
        <v>4671.8999999999996</v>
      </c>
      <c r="AL530">
        <v>31.49</v>
      </c>
      <c r="AM530">
        <v>547.26</v>
      </c>
      <c r="AN530">
        <v>347</v>
      </c>
      <c r="AO530">
        <v>4093.15</v>
      </c>
      <c r="AP530">
        <v>0</v>
      </c>
      <c r="AQ530">
        <v>6.16</v>
      </c>
      <c r="AR530">
        <v>0</v>
      </c>
      <c r="AS530">
        <v>0</v>
      </c>
      <c r="AT530">
        <v>70</v>
      </c>
      <c r="AU530">
        <v>10</v>
      </c>
      <c r="AV530">
        <v>1</v>
      </c>
      <c r="AW530">
        <v>1</v>
      </c>
      <c r="AZ530">
        <v>1</v>
      </c>
      <c r="BA530">
        <v>1</v>
      </c>
      <c r="BB530">
        <v>1</v>
      </c>
      <c r="BC530">
        <v>1</v>
      </c>
      <c r="BD530" t="s">
        <v>3</v>
      </c>
      <c r="BE530" t="s">
        <v>3</v>
      </c>
      <c r="BF530" t="s">
        <v>3</v>
      </c>
      <c r="BG530" t="s">
        <v>3</v>
      </c>
      <c r="BH530">
        <v>0</v>
      </c>
      <c r="BI530">
        <v>4</v>
      </c>
      <c r="BJ530" t="s">
        <v>396</v>
      </c>
      <c r="BM530">
        <v>0</v>
      </c>
      <c r="BN530">
        <v>0</v>
      </c>
      <c r="BO530" t="s">
        <v>3</v>
      </c>
      <c r="BP530">
        <v>0</v>
      </c>
      <c r="BQ530">
        <v>1</v>
      </c>
      <c r="BR530">
        <v>0</v>
      </c>
      <c r="BS530">
        <v>1</v>
      </c>
      <c r="BT530">
        <v>1</v>
      </c>
      <c r="BU530">
        <v>1</v>
      </c>
      <c r="BV530">
        <v>1</v>
      </c>
      <c r="BW530">
        <v>1</v>
      </c>
      <c r="BX530">
        <v>1</v>
      </c>
      <c r="BY530" t="s">
        <v>3</v>
      </c>
      <c r="BZ530">
        <v>70</v>
      </c>
      <c r="CA530">
        <v>10</v>
      </c>
      <c r="CB530" t="s">
        <v>3</v>
      </c>
      <c r="CE530">
        <v>0</v>
      </c>
      <c r="CF530">
        <v>0</v>
      </c>
      <c r="CG530">
        <v>0</v>
      </c>
      <c r="CM530">
        <v>0</v>
      </c>
      <c r="CN530" t="s">
        <v>3</v>
      </c>
      <c r="CO530">
        <v>0</v>
      </c>
      <c r="CP530">
        <f t="shared" si="461"/>
        <v>9343.7999999999993</v>
      </c>
      <c r="CQ530">
        <f t="shared" si="462"/>
        <v>62.98</v>
      </c>
      <c r="CR530">
        <f>(((((ET530*2))*BB530-((EU530*2))*BS530)+AE530*BS530)*AV530)</f>
        <v>1094.52</v>
      </c>
      <c r="CS530">
        <f t="shared" si="463"/>
        <v>694</v>
      </c>
      <c r="CT530">
        <f t="shared" si="464"/>
        <v>8186.3</v>
      </c>
      <c r="CU530">
        <f t="shared" si="465"/>
        <v>0</v>
      </c>
      <c r="CV530">
        <f t="shared" si="466"/>
        <v>12.32</v>
      </c>
      <c r="CW530">
        <f t="shared" si="467"/>
        <v>0</v>
      </c>
      <c r="CX530">
        <f t="shared" si="468"/>
        <v>0</v>
      </c>
      <c r="CY530">
        <f t="shared" si="469"/>
        <v>5730.41</v>
      </c>
      <c r="CZ530">
        <f t="shared" si="470"/>
        <v>818.63</v>
      </c>
      <c r="DC530" t="s">
        <v>3</v>
      </c>
      <c r="DD530" t="s">
        <v>164</v>
      </c>
      <c r="DE530" t="s">
        <v>164</v>
      </c>
      <c r="DF530" t="s">
        <v>164</v>
      </c>
      <c r="DG530" t="s">
        <v>164</v>
      </c>
      <c r="DH530" t="s">
        <v>3</v>
      </c>
      <c r="DI530" t="s">
        <v>164</v>
      </c>
      <c r="DJ530" t="s">
        <v>164</v>
      </c>
      <c r="DK530" t="s">
        <v>3</v>
      </c>
      <c r="DL530" t="s">
        <v>3</v>
      </c>
      <c r="DM530" t="s">
        <v>3</v>
      </c>
      <c r="DN530">
        <v>0</v>
      </c>
      <c r="DO530">
        <v>0</v>
      </c>
      <c r="DP530">
        <v>1</v>
      </c>
      <c r="DQ530">
        <v>1</v>
      </c>
      <c r="DU530">
        <v>1013</v>
      </c>
      <c r="DV530" t="s">
        <v>322</v>
      </c>
      <c r="DW530" t="s">
        <v>322</v>
      </c>
      <c r="DX530">
        <v>1</v>
      </c>
      <c r="DZ530" t="s">
        <v>3</v>
      </c>
      <c r="EA530" t="s">
        <v>3</v>
      </c>
      <c r="EB530" t="s">
        <v>3</v>
      </c>
      <c r="EC530" t="s">
        <v>3</v>
      </c>
      <c r="EE530">
        <v>1441815344</v>
      </c>
      <c r="EF530">
        <v>1</v>
      </c>
      <c r="EG530" t="s">
        <v>23</v>
      </c>
      <c r="EH530">
        <v>0</v>
      </c>
      <c r="EI530" t="s">
        <v>3</v>
      </c>
      <c r="EJ530">
        <v>4</v>
      </c>
      <c r="EK530">
        <v>0</v>
      </c>
      <c r="EL530" t="s">
        <v>24</v>
      </c>
      <c r="EM530" t="s">
        <v>25</v>
      </c>
      <c r="EO530" t="s">
        <v>3</v>
      </c>
      <c r="EQ530">
        <v>1024</v>
      </c>
      <c r="ER530">
        <v>4671.8999999999996</v>
      </c>
      <c r="ES530">
        <v>31.49</v>
      </c>
      <c r="ET530">
        <v>547.26</v>
      </c>
      <c r="EU530">
        <v>347</v>
      </c>
      <c r="EV530">
        <v>4093.15</v>
      </c>
      <c r="EW530">
        <v>6.16</v>
      </c>
      <c r="EX530">
        <v>0</v>
      </c>
      <c r="EY530">
        <v>0</v>
      </c>
      <c r="FQ530">
        <v>0</v>
      </c>
      <c r="FR530">
        <f t="shared" si="471"/>
        <v>0</v>
      </c>
      <c r="FS530">
        <v>0</v>
      </c>
      <c r="FX530">
        <v>70</v>
      </c>
      <c r="FY530">
        <v>10</v>
      </c>
      <c r="GA530" t="s">
        <v>3</v>
      </c>
      <c r="GD530">
        <v>0</v>
      </c>
      <c r="GF530">
        <v>1819393446</v>
      </c>
      <c r="GG530">
        <v>2</v>
      </c>
      <c r="GH530">
        <v>1</v>
      </c>
      <c r="GI530">
        <v>-2</v>
      </c>
      <c r="GJ530">
        <v>0</v>
      </c>
      <c r="GK530">
        <f>ROUND(R530*(R12)/100,2)</f>
        <v>749.52</v>
      </c>
      <c r="GL530">
        <f t="shared" si="472"/>
        <v>0</v>
      </c>
      <c r="GM530">
        <f t="shared" si="473"/>
        <v>16642.36</v>
      </c>
      <c r="GN530">
        <f t="shared" si="474"/>
        <v>0</v>
      </c>
      <c r="GO530">
        <f t="shared" si="475"/>
        <v>0</v>
      </c>
      <c r="GP530">
        <f t="shared" si="476"/>
        <v>16642.36</v>
      </c>
      <c r="GR530">
        <v>0</v>
      </c>
      <c r="GS530">
        <v>3</v>
      </c>
      <c r="GT530">
        <v>0</v>
      </c>
      <c r="GU530" t="s">
        <v>3</v>
      </c>
      <c r="GV530">
        <f t="shared" si="477"/>
        <v>0</v>
      </c>
      <c r="GW530">
        <v>1</v>
      </c>
      <c r="GX530">
        <f t="shared" si="478"/>
        <v>0</v>
      </c>
      <c r="HA530">
        <v>0</v>
      </c>
      <c r="HB530">
        <v>0</v>
      </c>
      <c r="HC530">
        <f t="shared" si="479"/>
        <v>0</v>
      </c>
      <c r="HE530" t="s">
        <v>3</v>
      </c>
      <c r="HF530" t="s">
        <v>3</v>
      </c>
      <c r="HM530" t="s">
        <v>3</v>
      </c>
      <c r="HN530" t="s">
        <v>3</v>
      </c>
      <c r="HO530" t="s">
        <v>3</v>
      </c>
      <c r="HP530" t="s">
        <v>3</v>
      </c>
      <c r="HQ530" t="s">
        <v>3</v>
      </c>
      <c r="IK530">
        <v>0</v>
      </c>
    </row>
    <row r="531" spans="1:245" x14ac:dyDescent="0.2">
      <c r="A531">
        <v>17</v>
      </c>
      <c r="B531">
        <v>1</v>
      </c>
      <c r="D531">
        <f>ROW(EtalonRes!A488)</f>
        <v>488</v>
      </c>
      <c r="E531" t="s">
        <v>412</v>
      </c>
      <c r="F531" t="s">
        <v>413</v>
      </c>
      <c r="G531" t="s">
        <v>414</v>
      </c>
      <c r="H531" t="s">
        <v>400</v>
      </c>
      <c r="I531">
        <v>1</v>
      </c>
      <c r="J531">
        <v>0</v>
      </c>
      <c r="K531">
        <v>1</v>
      </c>
      <c r="O531">
        <f t="shared" si="447"/>
        <v>893.26</v>
      </c>
      <c r="P531">
        <f t="shared" si="448"/>
        <v>2.2200000000000002</v>
      </c>
      <c r="Q531">
        <f t="shared" si="449"/>
        <v>1.85</v>
      </c>
      <c r="R531">
        <f t="shared" si="450"/>
        <v>0.03</v>
      </c>
      <c r="S531">
        <f t="shared" si="451"/>
        <v>889.19</v>
      </c>
      <c r="T531">
        <f t="shared" si="452"/>
        <v>0</v>
      </c>
      <c r="U531">
        <f t="shared" si="453"/>
        <v>1.34</v>
      </c>
      <c r="V531">
        <f t="shared" si="454"/>
        <v>0</v>
      </c>
      <c r="W531">
        <f t="shared" si="455"/>
        <v>0</v>
      </c>
      <c r="X531">
        <f t="shared" si="456"/>
        <v>622.42999999999995</v>
      </c>
      <c r="Y531">
        <f t="shared" si="457"/>
        <v>88.92</v>
      </c>
      <c r="AA531">
        <v>1472224561</v>
      </c>
      <c r="AB531">
        <f t="shared" si="458"/>
        <v>893.26</v>
      </c>
      <c r="AC531">
        <f>ROUND((ES531),6)</f>
        <v>2.2200000000000002</v>
      </c>
      <c r="AD531">
        <f>ROUND((((ET531)-(EU531))+AE531),6)</f>
        <v>1.85</v>
      </c>
      <c r="AE531">
        <f>ROUND((EU531),6)</f>
        <v>0.03</v>
      </c>
      <c r="AF531">
        <f>ROUND((EV531),6)</f>
        <v>889.19</v>
      </c>
      <c r="AG531">
        <f t="shared" si="459"/>
        <v>0</v>
      </c>
      <c r="AH531">
        <f>(EW531)</f>
        <v>1.34</v>
      </c>
      <c r="AI531">
        <f>(EX531)</f>
        <v>0</v>
      </c>
      <c r="AJ531">
        <f t="shared" si="460"/>
        <v>0</v>
      </c>
      <c r="AK531">
        <v>893.26</v>
      </c>
      <c r="AL531">
        <v>2.2200000000000002</v>
      </c>
      <c r="AM531">
        <v>1.85</v>
      </c>
      <c r="AN531">
        <v>0.03</v>
      </c>
      <c r="AO531">
        <v>889.19</v>
      </c>
      <c r="AP531">
        <v>0</v>
      </c>
      <c r="AQ531">
        <v>1.34</v>
      </c>
      <c r="AR531">
        <v>0</v>
      </c>
      <c r="AS531">
        <v>0</v>
      </c>
      <c r="AT531">
        <v>70</v>
      </c>
      <c r="AU531">
        <v>10</v>
      </c>
      <c r="AV531">
        <v>1</v>
      </c>
      <c r="AW531">
        <v>1</v>
      </c>
      <c r="AZ531">
        <v>1</v>
      </c>
      <c r="BA531">
        <v>1</v>
      </c>
      <c r="BB531">
        <v>1</v>
      </c>
      <c r="BC531">
        <v>1</v>
      </c>
      <c r="BD531" t="s">
        <v>3</v>
      </c>
      <c r="BE531" t="s">
        <v>3</v>
      </c>
      <c r="BF531" t="s">
        <v>3</v>
      </c>
      <c r="BG531" t="s">
        <v>3</v>
      </c>
      <c r="BH531">
        <v>0</v>
      </c>
      <c r="BI531">
        <v>4</v>
      </c>
      <c r="BJ531" t="s">
        <v>415</v>
      </c>
      <c r="BM531">
        <v>0</v>
      </c>
      <c r="BN531">
        <v>0</v>
      </c>
      <c r="BO531" t="s">
        <v>3</v>
      </c>
      <c r="BP531">
        <v>0</v>
      </c>
      <c r="BQ531">
        <v>1</v>
      </c>
      <c r="BR531">
        <v>0</v>
      </c>
      <c r="BS531">
        <v>1</v>
      </c>
      <c r="BT531">
        <v>1</v>
      </c>
      <c r="BU531">
        <v>1</v>
      </c>
      <c r="BV531">
        <v>1</v>
      </c>
      <c r="BW531">
        <v>1</v>
      </c>
      <c r="BX531">
        <v>1</v>
      </c>
      <c r="BY531" t="s">
        <v>3</v>
      </c>
      <c r="BZ531">
        <v>70</v>
      </c>
      <c r="CA531">
        <v>10</v>
      </c>
      <c r="CB531" t="s">
        <v>3</v>
      </c>
      <c r="CE531">
        <v>0</v>
      </c>
      <c r="CF531">
        <v>0</v>
      </c>
      <c r="CG531">
        <v>0</v>
      </c>
      <c r="CM531">
        <v>0</v>
      </c>
      <c r="CN531" t="s">
        <v>3</v>
      </c>
      <c r="CO531">
        <v>0</v>
      </c>
      <c r="CP531">
        <f t="shared" si="461"/>
        <v>893.2600000000001</v>
      </c>
      <c r="CQ531">
        <f t="shared" si="462"/>
        <v>2.2200000000000002</v>
      </c>
      <c r="CR531">
        <f>((((ET531)*BB531-(EU531)*BS531)+AE531*BS531)*AV531)</f>
        <v>1.85</v>
      </c>
      <c r="CS531">
        <f t="shared" si="463"/>
        <v>0.03</v>
      </c>
      <c r="CT531">
        <f t="shared" si="464"/>
        <v>889.19</v>
      </c>
      <c r="CU531">
        <f t="shared" si="465"/>
        <v>0</v>
      </c>
      <c r="CV531">
        <f t="shared" si="466"/>
        <v>1.34</v>
      </c>
      <c r="CW531">
        <f t="shared" si="467"/>
        <v>0</v>
      </c>
      <c r="CX531">
        <f t="shared" si="468"/>
        <v>0</v>
      </c>
      <c r="CY531">
        <f t="shared" si="469"/>
        <v>622.43299999999999</v>
      </c>
      <c r="CZ531">
        <f t="shared" si="470"/>
        <v>88.919000000000011</v>
      </c>
      <c r="DC531" t="s">
        <v>3</v>
      </c>
      <c r="DD531" t="s">
        <v>3</v>
      </c>
      <c r="DE531" t="s">
        <v>3</v>
      </c>
      <c r="DF531" t="s">
        <v>3</v>
      </c>
      <c r="DG531" t="s">
        <v>3</v>
      </c>
      <c r="DH531" t="s">
        <v>3</v>
      </c>
      <c r="DI531" t="s">
        <v>3</v>
      </c>
      <c r="DJ531" t="s">
        <v>3</v>
      </c>
      <c r="DK531" t="s">
        <v>3</v>
      </c>
      <c r="DL531" t="s">
        <v>3</v>
      </c>
      <c r="DM531" t="s">
        <v>3</v>
      </c>
      <c r="DN531">
        <v>0</v>
      </c>
      <c r="DO531">
        <v>0</v>
      </c>
      <c r="DP531">
        <v>1</v>
      </c>
      <c r="DQ531">
        <v>1</v>
      </c>
      <c r="DU531">
        <v>1013</v>
      </c>
      <c r="DV531" t="s">
        <v>400</v>
      </c>
      <c r="DW531" t="s">
        <v>400</v>
      </c>
      <c r="DX531">
        <v>1</v>
      </c>
      <c r="DZ531" t="s">
        <v>3</v>
      </c>
      <c r="EA531" t="s">
        <v>3</v>
      </c>
      <c r="EB531" t="s">
        <v>3</v>
      </c>
      <c r="EC531" t="s">
        <v>3</v>
      </c>
      <c r="EE531">
        <v>1441815344</v>
      </c>
      <c r="EF531">
        <v>1</v>
      </c>
      <c r="EG531" t="s">
        <v>23</v>
      </c>
      <c r="EH531">
        <v>0</v>
      </c>
      <c r="EI531" t="s">
        <v>3</v>
      </c>
      <c r="EJ531">
        <v>4</v>
      </c>
      <c r="EK531">
        <v>0</v>
      </c>
      <c r="EL531" t="s">
        <v>24</v>
      </c>
      <c r="EM531" t="s">
        <v>25</v>
      </c>
      <c r="EO531" t="s">
        <v>3</v>
      </c>
      <c r="EQ531">
        <v>0</v>
      </c>
      <c r="ER531">
        <v>893.26</v>
      </c>
      <c r="ES531">
        <v>2.2200000000000002</v>
      </c>
      <c r="ET531">
        <v>1.85</v>
      </c>
      <c r="EU531">
        <v>0.03</v>
      </c>
      <c r="EV531">
        <v>889.19</v>
      </c>
      <c r="EW531">
        <v>1.34</v>
      </c>
      <c r="EX531">
        <v>0</v>
      </c>
      <c r="EY531">
        <v>0</v>
      </c>
      <c r="FQ531">
        <v>0</v>
      </c>
      <c r="FR531">
        <f t="shared" si="471"/>
        <v>0</v>
      </c>
      <c r="FS531">
        <v>0</v>
      </c>
      <c r="FX531">
        <v>70</v>
      </c>
      <c r="FY531">
        <v>10</v>
      </c>
      <c r="GA531" t="s">
        <v>3</v>
      </c>
      <c r="GD531">
        <v>0</v>
      </c>
      <c r="GF531">
        <v>211604864</v>
      </c>
      <c r="GG531">
        <v>2</v>
      </c>
      <c r="GH531">
        <v>1</v>
      </c>
      <c r="GI531">
        <v>-2</v>
      </c>
      <c r="GJ531">
        <v>0</v>
      </c>
      <c r="GK531">
        <f>ROUND(R531*(R12)/100,2)</f>
        <v>0.03</v>
      </c>
      <c r="GL531">
        <f t="shared" si="472"/>
        <v>0</v>
      </c>
      <c r="GM531">
        <f t="shared" si="473"/>
        <v>1604.64</v>
      </c>
      <c r="GN531">
        <f t="shared" si="474"/>
        <v>0</v>
      </c>
      <c r="GO531">
        <f t="shared" si="475"/>
        <v>0</v>
      </c>
      <c r="GP531">
        <f t="shared" si="476"/>
        <v>1604.64</v>
      </c>
      <c r="GR531">
        <v>0</v>
      </c>
      <c r="GS531">
        <v>3</v>
      </c>
      <c r="GT531">
        <v>0</v>
      </c>
      <c r="GU531" t="s">
        <v>3</v>
      </c>
      <c r="GV531">
        <f t="shared" si="477"/>
        <v>0</v>
      </c>
      <c r="GW531">
        <v>1</v>
      </c>
      <c r="GX531">
        <f t="shared" si="478"/>
        <v>0</v>
      </c>
      <c r="HA531">
        <v>0</v>
      </c>
      <c r="HB531">
        <v>0</v>
      </c>
      <c r="HC531">
        <f t="shared" si="479"/>
        <v>0</v>
      </c>
      <c r="HE531" t="s">
        <v>3</v>
      </c>
      <c r="HF531" t="s">
        <v>3</v>
      </c>
      <c r="HM531" t="s">
        <v>3</v>
      </c>
      <c r="HN531" t="s">
        <v>3</v>
      </c>
      <c r="HO531" t="s">
        <v>3</v>
      </c>
      <c r="HP531" t="s">
        <v>3</v>
      </c>
      <c r="HQ531" t="s">
        <v>3</v>
      </c>
      <c r="IK531">
        <v>0</v>
      </c>
    </row>
    <row r="532" spans="1:245" x14ac:dyDescent="0.2">
      <c r="A532">
        <v>17</v>
      </c>
      <c r="B532">
        <v>1</v>
      </c>
      <c r="D532">
        <f>ROW(EtalonRes!A490)</f>
        <v>490</v>
      </c>
      <c r="E532" t="s">
        <v>3</v>
      </c>
      <c r="F532" t="s">
        <v>416</v>
      </c>
      <c r="G532" t="s">
        <v>417</v>
      </c>
      <c r="H532" t="s">
        <v>400</v>
      </c>
      <c r="I532">
        <v>1</v>
      </c>
      <c r="J532">
        <v>0</v>
      </c>
      <c r="K532">
        <v>1</v>
      </c>
      <c r="O532">
        <f t="shared" si="447"/>
        <v>1474.05</v>
      </c>
      <c r="P532">
        <f t="shared" si="448"/>
        <v>0.93</v>
      </c>
      <c r="Q532">
        <f t="shared" si="449"/>
        <v>0</v>
      </c>
      <c r="R532">
        <f t="shared" si="450"/>
        <v>0</v>
      </c>
      <c r="S532">
        <f t="shared" si="451"/>
        <v>1473.12</v>
      </c>
      <c r="T532">
        <f t="shared" si="452"/>
        <v>0</v>
      </c>
      <c r="U532">
        <f t="shared" si="453"/>
        <v>2.2199999999999998</v>
      </c>
      <c r="V532">
        <f t="shared" si="454"/>
        <v>0</v>
      </c>
      <c r="W532">
        <f t="shared" si="455"/>
        <v>0</v>
      </c>
      <c r="X532">
        <f t="shared" si="456"/>
        <v>1031.18</v>
      </c>
      <c r="Y532">
        <f t="shared" si="457"/>
        <v>147.31</v>
      </c>
      <c r="AA532">
        <v>-1</v>
      </c>
      <c r="AB532">
        <f t="shared" si="458"/>
        <v>1474.05</v>
      </c>
      <c r="AC532">
        <f>ROUND(((ES532*3)),6)</f>
        <v>0.93</v>
      </c>
      <c r="AD532">
        <f>ROUND(((((ET532*3))-((EU532*3)))+AE532),6)</f>
        <v>0</v>
      </c>
      <c r="AE532">
        <f>ROUND(((EU532*3)),6)</f>
        <v>0</v>
      </c>
      <c r="AF532">
        <f>ROUND(((EV532*3)),6)</f>
        <v>1473.12</v>
      </c>
      <c r="AG532">
        <f t="shared" si="459"/>
        <v>0</v>
      </c>
      <c r="AH532">
        <f>((EW532*3))</f>
        <v>2.2199999999999998</v>
      </c>
      <c r="AI532">
        <f>((EX532*3))</f>
        <v>0</v>
      </c>
      <c r="AJ532">
        <f t="shared" si="460"/>
        <v>0</v>
      </c>
      <c r="AK532">
        <v>491.35</v>
      </c>
      <c r="AL532">
        <v>0.31</v>
      </c>
      <c r="AM532">
        <v>0</v>
      </c>
      <c r="AN532">
        <v>0</v>
      </c>
      <c r="AO532">
        <v>491.04</v>
      </c>
      <c r="AP532">
        <v>0</v>
      </c>
      <c r="AQ532">
        <v>0.74</v>
      </c>
      <c r="AR532">
        <v>0</v>
      </c>
      <c r="AS532">
        <v>0</v>
      </c>
      <c r="AT532">
        <v>70</v>
      </c>
      <c r="AU532">
        <v>10</v>
      </c>
      <c r="AV532">
        <v>1</v>
      </c>
      <c r="AW532">
        <v>1</v>
      </c>
      <c r="AZ532">
        <v>1</v>
      </c>
      <c r="BA532">
        <v>1</v>
      </c>
      <c r="BB532">
        <v>1</v>
      </c>
      <c r="BC532">
        <v>1</v>
      </c>
      <c r="BD532" t="s">
        <v>3</v>
      </c>
      <c r="BE532" t="s">
        <v>3</v>
      </c>
      <c r="BF532" t="s">
        <v>3</v>
      </c>
      <c r="BG532" t="s">
        <v>3</v>
      </c>
      <c r="BH532">
        <v>0</v>
      </c>
      <c r="BI532">
        <v>4</v>
      </c>
      <c r="BJ532" t="s">
        <v>418</v>
      </c>
      <c r="BM532">
        <v>0</v>
      </c>
      <c r="BN532">
        <v>0</v>
      </c>
      <c r="BO532" t="s">
        <v>3</v>
      </c>
      <c r="BP532">
        <v>0</v>
      </c>
      <c r="BQ532">
        <v>1</v>
      </c>
      <c r="BR532">
        <v>0</v>
      </c>
      <c r="BS532">
        <v>1</v>
      </c>
      <c r="BT532">
        <v>1</v>
      </c>
      <c r="BU532">
        <v>1</v>
      </c>
      <c r="BV532">
        <v>1</v>
      </c>
      <c r="BW532">
        <v>1</v>
      </c>
      <c r="BX532">
        <v>1</v>
      </c>
      <c r="BY532" t="s">
        <v>3</v>
      </c>
      <c r="BZ532">
        <v>70</v>
      </c>
      <c r="CA532">
        <v>10</v>
      </c>
      <c r="CB532" t="s">
        <v>3</v>
      </c>
      <c r="CE532">
        <v>0</v>
      </c>
      <c r="CF532">
        <v>0</v>
      </c>
      <c r="CG532">
        <v>0</v>
      </c>
      <c r="CM532">
        <v>0</v>
      </c>
      <c r="CN532" t="s">
        <v>3</v>
      </c>
      <c r="CO532">
        <v>0</v>
      </c>
      <c r="CP532">
        <f t="shared" si="461"/>
        <v>1474.05</v>
      </c>
      <c r="CQ532">
        <f t="shared" si="462"/>
        <v>0.93</v>
      </c>
      <c r="CR532">
        <f>(((((ET532*3))*BB532-((EU532*3))*BS532)+AE532*BS532)*AV532)</f>
        <v>0</v>
      </c>
      <c r="CS532">
        <f t="shared" si="463"/>
        <v>0</v>
      </c>
      <c r="CT532">
        <f t="shared" si="464"/>
        <v>1473.12</v>
      </c>
      <c r="CU532">
        <f t="shared" si="465"/>
        <v>0</v>
      </c>
      <c r="CV532">
        <f t="shared" si="466"/>
        <v>2.2199999999999998</v>
      </c>
      <c r="CW532">
        <f t="shared" si="467"/>
        <v>0</v>
      </c>
      <c r="CX532">
        <f t="shared" si="468"/>
        <v>0</v>
      </c>
      <c r="CY532">
        <f t="shared" si="469"/>
        <v>1031.184</v>
      </c>
      <c r="CZ532">
        <f t="shared" si="470"/>
        <v>147.31199999999998</v>
      </c>
      <c r="DC532" t="s">
        <v>3</v>
      </c>
      <c r="DD532" t="s">
        <v>290</v>
      </c>
      <c r="DE532" t="s">
        <v>290</v>
      </c>
      <c r="DF532" t="s">
        <v>290</v>
      </c>
      <c r="DG532" t="s">
        <v>290</v>
      </c>
      <c r="DH532" t="s">
        <v>3</v>
      </c>
      <c r="DI532" t="s">
        <v>290</v>
      </c>
      <c r="DJ532" t="s">
        <v>290</v>
      </c>
      <c r="DK532" t="s">
        <v>3</v>
      </c>
      <c r="DL532" t="s">
        <v>3</v>
      </c>
      <c r="DM532" t="s">
        <v>3</v>
      </c>
      <c r="DN532">
        <v>0</v>
      </c>
      <c r="DO532">
        <v>0</v>
      </c>
      <c r="DP532">
        <v>1</v>
      </c>
      <c r="DQ532">
        <v>1</v>
      </c>
      <c r="DU532">
        <v>1013</v>
      </c>
      <c r="DV532" t="s">
        <v>400</v>
      </c>
      <c r="DW532" t="s">
        <v>400</v>
      </c>
      <c r="DX532">
        <v>1</v>
      </c>
      <c r="DZ532" t="s">
        <v>3</v>
      </c>
      <c r="EA532" t="s">
        <v>3</v>
      </c>
      <c r="EB532" t="s">
        <v>3</v>
      </c>
      <c r="EC532" t="s">
        <v>3</v>
      </c>
      <c r="EE532">
        <v>1441815344</v>
      </c>
      <c r="EF532">
        <v>1</v>
      </c>
      <c r="EG532" t="s">
        <v>23</v>
      </c>
      <c r="EH532">
        <v>0</v>
      </c>
      <c r="EI532" t="s">
        <v>3</v>
      </c>
      <c r="EJ532">
        <v>4</v>
      </c>
      <c r="EK532">
        <v>0</v>
      </c>
      <c r="EL532" t="s">
        <v>24</v>
      </c>
      <c r="EM532" t="s">
        <v>25</v>
      </c>
      <c r="EO532" t="s">
        <v>3</v>
      </c>
      <c r="EQ532">
        <v>1024</v>
      </c>
      <c r="ER532">
        <v>491.35</v>
      </c>
      <c r="ES532">
        <v>0.31</v>
      </c>
      <c r="ET532">
        <v>0</v>
      </c>
      <c r="EU532">
        <v>0</v>
      </c>
      <c r="EV532">
        <v>491.04</v>
      </c>
      <c r="EW532">
        <v>0.74</v>
      </c>
      <c r="EX532">
        <v>0</v>
      </c>
      <c r="EY532">
        <v>0</v>
      </c>
      <c r="FQ532">
        <v>0</v>
      </c>
      <c r="FR532">
        <f t="shared" si="471"/>
        <v>0</v>
      </c>
      <c r="FS532">
        <v>0</v>
      </c>
      <c r="FX532">
        <v>70</v>
      </c>
      <c r="FY532">
        <v>10</v>
      </c>
      <c r="GA532" t="s">
        <v>3</v>
      </c>
      <c r="GD532">
        <v>0</v>
      </c>
      <c r="GF532">
        <v>1972185064</v>
      </c>
      <c r="GG532">
        <v>2</v>
      </c>
      <c r="GH532">
        <v>1</v>
      </c>
      <c r="GI532">
        <v>-2</v>
      </c>
      <c r="GJ532">
        <v>0</v>
      </c>
      <c r="GK532">
        <f>ROUND(R532*(R12)/100,2)</f>
        <v>0</v>
      </c>
      <c r="GL532">
        <f t="shared" si="472"/>
        <v>0</v>
      </c>
      <c r="GM532">
        <f t="shared" si="473"/>
        <v>2652.54</v>
      </c>
      <c r="GN532">
        <f t="shared" si="474"/>
        <v>0</v>
      </c>
      <c r="GO532">
        <f t="shared" si="475"/>
        <v>0</v>
      </c>
      <c r="GP532">
        <f t="shared" si="476"/>
        <v>2652.54</v>
      </c>
      <c r="GR532">
        <v>0</v>
      </c>
      <c r="GS532">
        <v>3</v>
      </c>
      <c r="GT532">
        <v>0</v>
      </c>
      <c r="GU532" t="s">
        <v>3</v>
      </c>
      <c r="GV532">
        <f t="shared" si="477"/>
        <v>0</v>
      </c>
      <c r="GW532">
        <v>1</v>
      </c>
      <c r="GX532">
        <f t="shared" si="478"/>
        <v>0</v>
      </c>
      <c r="HA532">
        <v>0</v>
      </c>
      <c r="HB532">
        <v>0</v>
      </c>
      <c r="HC532">
        <f t="shared" si="479"/>
        <v>0</v>
      </c>
      <c r="HE532" t="s">
        <v>3</v>
      </c>
      <c r="HF532" t="s">
        <v>3</v>
      </c>
      <c r="HM532" t="s">
        <v>3</v>
      </c>
      <c r="HN532" t="s">
        <v>3</v>
      </c>
      <c r="HO532" t="s">
        <v>3</v>
      </c>
      <c r="HP532" t="s">
        <v>3</v>
      </c>
      <c r="HQ532" t="s">
        <v>3</v>
      </c>
      <c r="IK532">
        <v>0</v>
      </c>
    </row>
    <row r="533" spans="1:245" x14ac:dyDescent="0.2">
      <c r="A533">
        <v>17</v>
      </c>
      <c r="B533">
        <v>1</v>
      </c>
      <c r="D533">
        <f>ROW(EtalonRes!A494)</f>
        <v>494</v>
      </c>
      <c r="E533" t="s">
        <v>419</v>
      </c>
      <c r="F533" t="s">
        <v>398</v>
      </c>
      <c r="G533" t="s">
        <v>399</v>
      </c>
      <c r="H533" t="s">
        <v>400</v>
      </c>
      <c r="I533">
        <f>ROUND(11+9,9)</f>
        <v>20</v>
      </c>
      <c r="J533">
        <v>0</v>
      </c>
      <c r="K533">
        <f>ROUND(11+9,9)</f>
        <v>20</v>
      </c>
      <c r="O533">
        <f t="shared" si="447"/>
        <v>22997.8</v>
      </c>
      <c r="P533">
        <f t="shared" si="448"/>
        <v>88.6</v>
      </c>
      <c r="Q533">
        <f t="shared" si="449"/>
        <v>82.2</v>
      </c>
      <c r="R533">
        <f t="shared" si="450"/>
        <v>1.2</v>
      </c>
      <c r="S533">
        <f t="shared" si="451"/>
        <v>22827</v>
      </c>
      <c r="T533">
        <f t="shared" si="452"/>
        <v>0</v>
      </c>
      <c r="U533">
        <f t="shared" si="453"/>
        <v>34.4</v>
      </c>
      <c r="V533">
        <f t="shared" si="454"/>
        <v>0</v>
      </c>
      <c r="W533">
        <f t="shared" si="455"/>
        <v>0</v>
      </c>
      <c r="X533">
        <f t="shared" si="456"/>
        <v>15978.9</v>
      </c>
      <c r="Y533">
        <f t="shared" si="457"/>
        <v>2282.6999999999998</v>
      </c>
      <c r="AA533">
        <v>1472224561</v>
      </c>
      <c r="AB533">
        <f t="shared" si="458"/>
        <v>1149.8900000000001</v>
      </c>
      <c r="AC533">
        <f>ROUND((ES533),6)</f>
        <v>4.43</v>
      </c>
      <c r="AD533">
        <f>ROUND((((ET533)-(EU533))+AE533),6)</f>
        <v>4.1100000000000003</v>
      </c>
      <c r="AE533">
        <f>ROUND((EU533),6)</f>
        <v>0.06</v>
      </c>
      <c r="AF533">
        <f>ROUND((EV533),6)</f>
        <v>1141.3499999999999</v>
      </c>
      <c r="AG533">
        <f t="shared" si="459"/>
        <v>0</v>
      </c>
      <c r="AH533">
        <f>(EW533)</f>
        <v>1.72</v>
      </c>
      <c r="AI533">
        <f>(EX533)</f>
        <v>0</v>
      </c>
      <c r="AJ533">
        <f t="shared" si="460"/>
        <v>0</v>
      </c>
      <c r="AK533">
        <v>1149.8900000000001</v>
      </c>
      <c r="AL533">
        <v>4.43</v>
      </c>
      <c r="AM533">
        <v>4.1100000000000003</v>
      </c>
      <c r="AN533">
        <v>0.06</v>
      </c>
      <c r="AO533">
        <v>1141.3499999999999</v>
      </c>
      <c r="AP533">
        <v>0</v>
      </c>
      <c r="AQ533">
        <v>1.72</v>
      </c>
      <c r="AR533">
        <v>0</v>
      </c>
      <c r="AS533">
        <v>0</v>
      </c>
      <c r="AT533">
        <v>70</v>
      </c>
      <c r="AU533">
        <v>10</v>
      </c>
      <c r="AV533">
        <v>1</v>
      </c>
      <c r="AW533">
        <v>1</v>
      </c>
      <c r="AZ533">
        <v>1</v>
      </c>
      <c r="BA533">
        <v>1</v>
      </c>
      <c r="BB533">
        <v>1</v>
      </c>
      <c r="BC533">
        <v>1</v>
      </c>
      <c r="BD533" t="s">
        <v>3</v>
      </c>
      <c r="BE533" t="s">
        <v>3</v>
      </c>
      <c r="BF533" t="s">
        <v>3</v>
      </c>
      <c r="BG533" t="s">
        <v>3</v>
      </c>
      <c r="BH533">
        <v>0</v>
      </c>
      <c r="BI533">
        <v>4</v>
      </c>
      <c r="BJ533" t="s">
        <v>401</v>
      </c>
      <c r="BM533">
        <v>0</v>
      </c>
      <c r="BN533">
        <v>0</v>
      </c>
      <c r="BO533" t="s">
        <v>3</v>
      </c>
      <c r="BP533">
        <v>0</v>
      </c>
      <c r="BQ533">
        <v>1</v>
      </c>
      <c r="BR533">
        <v>0</v>
      </c>
      <c r="BS533">
        <v>1</v>
      </c>
      <c r="BT533">
        <v>1</v>
      </c>
      <c r="BU533">
        <v>1</v>
      </c>
      <c r="BV533">
        <v>1</v>
      </c>
      <c r="BW533">
        <v>1</v>
      </c>
      <c r="BX533">
        <v>1</v>
      </c>
      <c r="BY533" t="s">
        <v>3</v>
      </c>
      <c r="BZ533">
        <v>70</v>
      </c>
      <c r="CA533">
        <v>10</v>
      </c>
      <c r="CB533" t="s">
        <v>3</v>
      </c>
      <c r="CE533">
        <v>0</v>
      </c>
      <c r="CF533">
        <v>0</v>
      </c>
      <c r="CG533">
        <v>0</v>
      </c>
      <c r="CM533">
        <v>0</v>
      </c>
      <c r="CN533" t="s">
        <v>3</v>
      </c>
      <c r="CO533">
        <v>0</v>
      </c>
      <c r="CP533">
        <f t="shared" si="461"/>
        <v>22997.8</v>
      </c>
      <c r="CQ533">
        <f t="shared" si="462"/>
        <v>4.43</v>
      </c>
      <c r="CR533">
        <f>((((ET533)*BB533-(EU533)*BS533)+AE533*BS533)*AV533)</f>
        <v>4.1100000000000003</v>
      </c>
      <c r="CS533">
        <f t="shared" si="463"/>
        <v>0.06</v>
      </c>
      <c r="CT533">
        <f t="shared" si="464"/>
        <v>1141.3499999999999</v>
      </c>
      <c r="CU533">
        <f t="shared" si="465"/>
        <v>0</v>
      </c>
      <c r="CV533">
        <f t="shared" si="466"/>
        <v>1.72</v>
      </c>
      <c r="CW533">
        <f t="shared" si="467"/>
        <v>0</v>
      </c>
      <c r="CX533">
        <f t="shared" si="468"/>
        <v>0</v>
      </c>
      <c r="CY533">
        <f t="shared" si="469"/>
        <v>15978.9</v>
      </c>
      <c r="CZ533">
        <f t="shared" si="470"/>
        <v>2282.6999999999998</v>
      </c>
      <c r="DC533" t="s">
        <v>3</v>
      </c>
      <c r="DD533" t="s">
        <v>3</v>
      </c>
      <c r="DE533" t="s">
        <v>3</v>
      </c>
      <c r="DF533" t="s">
        <v>3</v>
      </c>
      <c r="DG533" t="s">
        <v>3</v>
      </c>
      <c r="DH533" t="s">
        <v>3</v>
      </c>
      <c r="DI533" t="s">
        <v>3</v>
      </c>
      <c r="DJ533" t="s">
        <v>3</v>
      </c>
      <c r="DK533" t="s">
        <v>3</v>
      </c>
      <c r="DL533" t="s">
        <v>3</v>
      </c>
      <c r="DM533" t="s">
        <v>3</v>
      </c>
      <c r="DN533">
        <v>0</v>
      </c>
      <c r="DO533">
        <v>0</v>
      </c>
      <c r="DP533">
        <v>1</v>
      </c>
      <c r="DQ533">
        <v>1</v>
      </c>
      <c r="DU533">
        <v>1013</v>
      </c>
      <c r="DV533" t="s">
        <v>400</v>
      </c>
      <c r="DW533" t="s">
        <v>400</v>
      </c>
      <c r="DX533">
        <v>1</v>
      </c>
      <c r="DZ533" t="s">
        <v>3</v>
      </c>
      <c r="EA533" t="s">
        <v>3</v>
      </c>
      <c r="EB533" t="s">
        <v>3</v>
      </c>
      <c r="EC533" t="s">
        <v>3</v>
      </c>
      <c r="EE533">
        <v>1441815344</v>
      </c>
      <c r="EF533">
        <v>1</v>
      </c>
      <c r="EG533" t="s">
        <v>23</v>
      </c>
      <c r="EH533">
        <v>0</v>
      </c>
      <c r="EI533" t="s">
        <v>3</v>
      </c>
      <c r="EJ533">
        <v>4</v>
      </c>
      <c r="EK533">
        <v>0</v>
      </c>
      <c r="EL533" t="s">
        <v>24</v>
      </c>
      <c r="EM533" t="s">
        <v>25</v>
      </c>
      <c r="EO533" t="s">
        <v>3</v>
      </c>
      <c r="EQ533">
        <v>0</v>
      </c>
      <c r="ER533">
        <v>1149.8900000000001</v>
      </c>
      <c r="ES533">
        <v>4.43</v>
      </c>
      <c r="ET533">
        <v>4.1100000000000003</v>
      </c>
      <c r="EU533">
        <v>0.06</v>
      </c>
      <c r="EV533">
        <v>1141.3499999999999</v>
      </c>
      <c r="EW533">
        <v>1.72</v>
      </c>
      <c r="EX533">
        <v>0</v>
      </c>
      <c r="EY533">
        <v>0</v>
      </c>
      <c r="FQ533">
        <v>0</v>
      </c>
      <c r="FR533">
        <f t="shared" si="471"/>
        <v>0</v>
      </c>
      <c r="FS533">
        <v>0</v>
      </c>
      <c r="FX533">
        <v>70</v>
      </c>
      <c r="FY533">
        <v>10</v>
      </c>
      <c r="GA533" t="s">
        <v>3</v>
      </c>
      <c r="GD533">
        <v>0</v>
      </c>
      <c r="GF533">
        <v>-1515457467</v>
      </c>
      <c r="GG533">
        <v>2</v>
      </c>
      <c r="GH533">
        <v>1</v>
      </c>
      <c r="GI533">
        <v>-2</v>
      </c>
      <c r="GJ533">
        <v>0</v>
      </c>
      <c r="GK533">
        <f>ROUND(R533*(R12)/100,2)</f>
        <v>1.3</v>
      </c>
      <c r="GL533">
        <f t="shared" si="472"/>
        <v>0</v>
      </c>
      <c r="GM533">
        <f t="shared" si="473"/>
        <v>41260.699999999997</v>
      </c>
      <c r="GN533">
        <f t="shared" si="474"/>
        <v>0</v>
      </c>
      <c r="GO533">
        <f t="shared" si="475"/>
        <v>0</v>
      </c>
      <c r="GP533">
        <f t="shared" si="476"/>
        <v>41260.699999999997</v>
      </c>
      <c r="GR533">
        <v>0</v>
      </c>
      <c r="GS533">
        <v>3</v>
      </c>
      <c r="GT533">
        <v>0</v>
      </c>
      <c r="GU533" t="s">
        <v>3</v>
      </c>
      <c r="GV533">
        <f t="shared" si="477"/>
        <v>0</v>
      </c>
      <c r="GW533">
        <v>1</v>
      </c>
      <c r="GX533">
        <f t="shared" si="478"/>
        <v>0</v>
      </c>
      <c r="HA533">
        <v>0</v>
      </c>
      <c r="HB533">
        <v>0</v>
      </c>
      <c r="HC533">
        <f t="shared" si="479"/>
        <v>0</v>
      </c>
      <c r="HE533" t="s">
        <v>3</v>
      </c>
      <c r="HF533" t="s">
        <v>3</v>
      </c>
      <c r="HM533" t="s">
        <v>3</v>
      </c>
      <c r="HN533" t="s">
        <v>3</v>
      </c>
      <c r="HO533" t="s">
        <v>3</v>
      </c>
      <c r="HP533" t="s">
        <v>3</v>
      </c>
      <c r="HQ533" t="s">
        <v>3</v>
      </c>
      <c r="IK533">
        <v>0</v>
      </c>
    </row>
    <row r="534" spans="1:245" x14ac:dyDescent="0.2">
      <c r="A534">
        <v>17</v>
      </c>
      <c r="B534">
        <v>1</v>
      </c>
      <c r="D534">
        <f>ROW(EtalonRes!A496)</f>
        <v>496</v>
      </c>
      <c r="E534" t="s">
        <v>3</v>
      </c>
      <c r="F534" t="s">
        <v>402</v>
      </c>
      <c r="G534" t="s">
        <v>403</v>
      </c>
      <c r="H534" t="s">
        <v>400</v>
      </c>
      <c r="I534">
        <f>ROUND(11+9,9)</f>
        <v>20</v>
      </c>
      <c r="J534">
        <v>0</v>
      </c>
      <c r="K534">
        <f>ROUND(11+9,9)</f>
        <v>20</v>
      </c>
      <c r="O534">
        <f t="shared" si="447"/>
        <v>40667.4</v>
      </c>
      <c r="P534">
        <f t="shared" si="448"/>
        <v>56.4</v>
      </c>
      <c r="Q534">
        <f t="shared" si="449"/>
        <v>0</v>
      </c>
      <c r="R534">
        <f t="shared" si="450"/>
        <v>0</v>
      </c>
      <c r="S534">
        <f t="shared" si="451"/>
        <v>40611</v>
      </c>
      <c r="T534">
        <f t="shared" si="452"/>
        <v>0</v>
      </c>
      <c r="U534">
        <f t="shared" si="453"/>
        <v>61.2</v>
      </c>
      <c r="V534">
        <f t="shared" si="454"/>
        <v>0</v>
      </c>
      <c r="W534">
        <f t="shared" si="455"/>
        <v>0</v>
      </c>
      <c r="X534">
        <f t="shared" si="456"/>
        <v>28427.7</v>
      </c>
      <c r="Y534">
        <f t="shared" si="457"/>
        <v>4061.1</v>
      </c>
      <c r="AA534">
        <v>-1</v>
      </c>
      <c r="AB534">
        <f t="shared" si="458"/>
        <v>2033.37</v>
      </c>
      <c r="AC534">
        <f>ROUND(((ES534*3)),6)</f>
        <v>2.82</v>
      </c>
      <c r="AD534">
        <f>ROUND(((((ET534*3))-((EU534*3)))+AE534),6)</f>
        <v>0</v>
      </c>
      <c r="AE534">
        <f>ROUND(((EU534*3)),6)</f>
        <v>0</v>
      </c>
      <c r="AF534">
        <f>ROUND(((EV534*3)),6)</f>
        <v>2030.55</v>
      </c>
      <c r="AG534">
        <f t="shared" si="459"/>
        <v>0</v>
      </c>
      <c r="AH534">
        <f>((EW534*3))</f>
        <v>3.06</v>
      </c>
      <c r="AI534">
        <f>((EX534*3))</f>
        <v>0</v>
      </c>
      <c r="AJ534">
        <f t="shared" si="460"/>
        <v>0</v>
      </c>
      <c r="AK534">
        <v>677.79</v>
      </c>
      <c r="AL534">
        <v>0.94</v>
      </c>
      <c r="AM534">
        <v>0</v>
      </c>
      <c r="AN534">
        <v>0</v>
      </c>
      <c r="AO534">
        <v>676.85</v>
      </c>
      <c r="AP534">
        <v>0</v>
      </c>
      <c r="AQ534">
        <v>1.02</v>
      </c>
      <c r="AR534">
        <v>0</v>
      </c>
      <c r="AS534">
        <v>0</v>
      </c>
      <c r="AT534">
        <v>70</v>
      </c>
      <c r="AU534">
        <v>10</v>
      </c>
      <c r="AV534">
        <v>1</v>
      </c>
      <c r="AW534">
        <v>1</v>
      </c>
      <c r="AZ534">
        <v>1</v>
      </c>
      <c r="BA534">
        <v>1</v>
      </c>
      <c r="BB534">
        <v>1</v>
      </c>
      <c r="BC534">
        <v>1</v>
      </c>
      <c r="BD534" t="s">
        <v>3</v>
      </c>
      <c r="BE534" t="s">
        <v>3</v>
      </c>
      <c r="BF534" t="s">
        <v>3</v>
      </c>
      <c r="BG534" t="s">
        <v>3</v>
      </c>
      <c r="BH534">
        <v>0</v>
      </c>
      <c r="BI534">
        <v>4</v>
      </c>
      <c r="BJ534" t="s">
        <v>404</v>
      </c>
      <c r="BM534">
        <v>0</v>
      </c>
      <c r="BN534">
        <v>0</v>
      </c>
      <c r="BO534" t="s">
        <v>3</v>
      </c>
      <c r="BP534">
        <v>0</v>
      </c>
      <c r="BQ534">
        <v>1</v>
      </c>
      <c r="BR534">
        <v>0</v>
      </c>
      <c r="BS534">
        <v>1</v>
      </c>
      <c r="BT534">
        <v>1</v>
      </c>
      <c r="BU534">
        <v>1</v>
      </c>
      <c r="BV534">
        <v>1</v>
      </c>
      <c r="BW534">
        <v>1</v>
      </c>
      <c r="BX534">
        <v>1</v>
      </c>
      <c r="BY534" t="s">
        <v>3</v>
      </c>
      <c r="BZ534">
        <v>70</v>
      </c>
      <c r="CA534">
        <v>10</v>
      </c>
      <c r="CB534" t="s">
        <v>3</v>
      </c>
      <c r="CE534">
        <v>0</v>
      </c>
      <c r="CF534">
        <v>0</v>
      </c>
      <c r="CG534">
        <v>0</v>
      </c>
      <c r="CM534">
        <v>0</v>
      </c>
      <c r="CN534" t="s">
        <v>3</v>
      </c>
      <c r="CO534">
        <v>0</v>
      </c>
      <c r="CP534">
        <f t="shared" si="461"/>
        <v>40667.4</v>
      </c>
      <c r="CQ534">
        <f t="shared" si="462"/>
        <v>2.82</v>
      </c>
      <c r="CR534">
        <f>(((((ET534*3))*BB534-((EU534*3))*BS534)+AE534*BS534)*AV534)</f>
        <v>0</v>
      </c>
      <c r="CS534">
        <f t="shared" si="463"/>
        <v>0</v>
      </c>
      <c r="CT534">
        <f t="shared" si="464"/>
        <v>2030.55</v>
      </c>
      <c r="CU534">
        <f t="shared" si="465"/>
        <v>0</v>
      </c>
      <c r="CV534">
        <f t="shared" si="466"/>
        <v>3.06</v>
      </c>
      <c r="CW534">
        <f t="shared" si="467"/>
        <v>0</v>
      </c>
      <c r="CX534">
        <f t="shared" si="468"/>
        <v>0</v>
      </c>
      <c r="CY534">
        <f t="shared" si="469"/>
        <v>28427.7</v>
      </c>
      <c r="CZ534">
        <f t="shared" si="470"/>
        <v>4061.1</v>
      </c>
      <c r="DC534" t="s">
        <v>3</v>
      </c>
      <c r="DD534" t="s">
        <v>290</v>
      </c>
      <c r="DE534" t="s">
        <v>290</v>
      </c>
      <c r="DF534" t="s">
        <v>290</v>
      </c>
      <c r="DG534" t="s">
        <v>290</v>
      </c>
      <c r="DH534" t="s">
        <v>3</v>
      </c>
      <c r="DI534" t="s">
        <v>290</v>
      </c>
      <c r="DJ534" t="s">
        <v>290</v>
      </c>
      <c r="DK534" t="s">
        <v>3</v>
      </c>
      <c r="DL534" t="s">
        <v>3</v>
      </c>
      <c r="DM534" t="s">
        <v>3</v>
      </c>
      <c r="DN534">
        <v>0</v>
      </c>
      <c r="DO534">
        <v>0</v>
      </c>
      <c r="DP534">
        <v>1</v>
      </c>
      <c r="DQ534">
        <v>1</v>
      </c>
      <c r="DU534">
        <v>1013</v>
      </c>
      <c r="DV534" t="s">
        <v>400</v>
      </c>
      <c r="DW534" t="s">
        <v>400</v>
      </c>
      <c r="DX534">
        <v>1</v>
      </c>
      <c r="DZ534" t="s">
        <v>3</v>
      </c>
      <c r="EA534" t="s">
        <v>3</v>
      </c>
      <c r="EB534" t="s">
        <v>3</v>
      </c>
      <c r="EC534" t="s">
        <v>3</v>
      </c>
      <c r="EE534">
        <v>1441815344</v>
      </c>
      <c r="EF534">
        <v>1</v>
      </c>
      <c r="EG534" t="s">
        <v>23</v>
      </c>
      <c r="EH534">
        <v>0</v>
      </c>
      <c r="EI534" t="s">
        <v>3</v>
      </c>
      <c r="EJ534">
        <v>4</v>
      </c>
      <c r="EK534">
        <v>0</v>
      </c>
      <c r="EL534" t="s">
        <v>24</v>
      </c>
      <c r="EM534" t="s">
        <v>25</v>
      </c>
      <c r="EO534" t="s">
        <v>3</v>
      </c>
      <c r="EQ534">
        <v>1024</v>
      </c>
      <c r="ER534">
        <v>677.79</v>
      </c>
      <c r="ES534">
        <v>0.94</v>
      </c>
      <c r="ET534">
        <v>0</v>
      </c>
      <c r="EU534">
        <v>0</v>
      </c>
      <c r="EV534">
        <v>676.85</v>
      </c>
      <c r="EW534">
        <v>1.02</v>
      </c>
      <c r="EX534">
        <v>0</v>
      </c>
      <c r="EY534">
        <v>0</v>
      </c>
      <c r="FQ534">
        <v>0</v>
      </c>
      <c r="FR534">
        <f t="shared" si="471"/>
        <v>0</v>
      </c>
      <c r="FS534">
        <v>0</v>
      </c>
      <c r="FX534">
        <v>70</v>
      </c>
      <c r="FY534">
        <v>10</v>
      </c>
      <c r="GA534" t="s">
        <v>3</v>
      </c>
      <c r="GD534">
        <v>0</v>
      </c>
      <c r="GF534">
        <v>-963632619</v>
      </c>
      <c r="GG534">
        <v>2</v>
      </c>
      <c r="GH534">
        <v>1</v>
      </c>
      <c r="GI534">
        <v>-2</v>
      </c>
      <c r="GJ534">
        <v>0</v>
      </c>
      <c r="GK534">
        <f>ROUND(R534*(R12)/100,2)</f>
        <v>0</v>
      </c>
      <c r="GL534">
        <f t="shared" si="472"/>
        <v>0</v>
      </c>
      <c r="GM534">
        <f t="shared" si="473"/>
        <v>73156.2</v>
      </c>
      <c r="GN534">
        <f t="shared" si="474"/>
        <v>0</v>
      </c>
      <c r="GO534">
        <f t="shared" si="475"/>
        <v>0</v>
      </c>
      <c r="GP534">
        <f t="shared" si="476"/>
        <v>73156.2</v>
      </c>
      <c r="GR534">
        <v>0</v>
      </c>
      <c r="GS534">
        <v>3</v>
      </c>
      <c r="GT534">
        <v>0</v>
      </c>
      <c r="GU534" t="s">
        <v>3</v>
      </c>
      <c r="GV534">
        <f t="shared" si="477"/>
        <v>0</v>
      </c>
      <c r="GW534">
        <v>1</v>
      </c>
      <c r="GX534">
        <f t="shared" si="478"/>
        <v>0</v>
      </c>
      <c r="HA534">
        <v>0</v>
      </c>
      <c r="HB534">
        <v>0</v>
      </c>
      <c r="HC534">
        <f t="shared" si="479"/>
        <v>0</v>
      </c>
      <c r="HE534" t="s">
        <v>3</v>
      </c>
      <c r="HF534" t="s">
        <v>3</v>
      </c>
      <c r="HM534" t="s">
        <v>3</v>
      </c>
      <c r="HN534" t="s">
        <v>3</v>
      </c>
      <c r="HO534" t="s">
        <v>3</v>
      </c>
      <c r="HP534" t="s">
        <v>3</v>
      </c>
      <c r="HQ534" t="s">
        <v>3</v>
      </c>
      <c r="IK534">
        <v>0</v>
      </c>
    </row>
    <row r="536" spans="1:245" x14ac:dyDescent="0.2">
      <c r="A536" s="2">
        <v>51</v>
      </c>
      <c r="B536" s="2">
        <f>B514</f>
        <v>1</v>
      </c>
      <c r="C536" s="2">
        <f>A514</f>
        <v>5</v>
      </c>
      <c r="D536" s="2">
        <f>ROW(A514)</f>
        <v>514</v>
      </c>
      <c r="E536" s="2"/>
      <c r="F536" s="2" t="str">
        <f>IF(F514&lt;&gt;"",F514,"")</f>
        <v>Новый подраздел</v>
      </c>
      <c r="G536" s="2" t="str">
        <f>IF(G514&lt;&gt;"",G514,"")</f>
        <v>Кондиционирование</v>
      </c>
      <c r="H536" s="2">
        <v>0</v>
      </c>
      <c r="I536" s="2"/>
      <c r="J536" s="2"/>
      <c r="K536" s="2"/>
      <c r="L536" s="2"/>
      <c r="M536" s="2"/>
      <c r="N536" s="2"/>
      <c r="O536" s="2">
        <f t="shared" ref="O536:T536" si="480">ROUND(AB536,2)</f>
        <v>193407.3</v>
      </c>
      <c r="P536" s="2">
        <f t="shared" si="480"/>
        <v>6092.34</v>
      </c>
      <c r="Q536" s="2">
        <f t="shared" si="480"/>
        <v>9136.1299999999992</v>
      </c>
      <c r="R536" s="2">
        <f t="shared" si="480"/>
        <v>5557.55</v>
      </c>
      <c r="S536" s="2">
        <f t="shared" si="480"/>
        <v>178178.83</v>
      </c>
      <c r="T536" s="2">
        <f t="shared" si="480"/>
        <v>0</v>
      </c>
      <c r="U536" s="2">
        <f>AH536</f>
        <v>268.38</v>
      </c>
      <c r="V536" s="2">
        <f>AI536</f>
        <v>0</v>
      </c>
      <c r="W536" s="2">
        <f>ROUND(AJ536,2)</f>
        <v>0</v>
      </c>
      <c r="X536" s="2">
        <f>ROUND(AK536,2)</f>
        <v>124725.19</v>
      </c>
      <c r="Y536" s="2">
        <f>ROUND(AL536,2)</f>
        <v>17817.89</v>
      </c>
      <c r="Z536" s="2"/>
      <c r="AA536" s="2"/>
      <c r="AB536" s="2">
        <f>ROUND(SUMIF(AA518:AA534,"=1472224561",O518:O534),2)</f>
        <v>193407.3</v>
      </c>
      <c r="AC536" s="2">
        <f>ROUND(SUMIF(AA518:AA534,"=1472224561",P518:P534),2)</f>
        <v>6092.34</v>
      </c>
      <c r="AD536" s="2">
        <f>ROUND(SUMIF(AA518:AA534,"=1472224561",Q518:Q534),2)</f>
        <v>9136.1299999999992</v>
      </c>
      <c r="AE536" s="2">
        <f>ROUND(SUMIF(AA518:AA534,"=1472224561",R518:R534),2)</f>
        <v>5557.55</v>
      </c>
      <c r="AF536" s="2">
        <f>ROUND(SUMIF(AA518:AA534,"=1472224561",S518:S534),2)</f>
        <v>178178.83</v>
      </c>
      <c r="AG536" s="2">
        <f>ROUND(SUMIF(AA518:AA534,"=1472224561",T518:T534),2)</f>
        <v>0</v>
      </c>
      <c r="AH536" s="2">
        <f>SUMIF(AA518:AA534,"=1472224561",U518:U534)</f>
        <v>268.38</v>
      </c>
      <c r="AI536" s="2">
        <f>SUMIF(AA518:AA534,"=1472224561",V518:V534)</f>
        <v>0</v>
      </c>
      <c r="AJ536" s="2">
        <f>ROUND(SUMIF(AA518:AA534,"=1472224561",W518:W534),2)</f>
        <v>0</v>
      </c>
      <c r="AK536" s="2">
        <f>ROUND(SUMIF(AA518:AA534,"=1472224561",X518:X534),2)</f>
        <v>124725.19</v>
      </c>
      <c r="AL536" s="2">
        <f>ROUND(SUMIF(AA518:AA534,"=1472224561",Y518:Y534),2)</f>
        <v>17817.89</v>
      </c>
      <c r="AM536" s="2"/>
      <c r="AN536" s="2"/>
      <c r="AO536" s="2">
        <f t="shared" ref="AO536:BD536" si="481">ROUND(BX536,2)</f>
        <v>0</v>
      </c>
      <c r="AP536" s="2">
        <f t="shared" si="481"/>
        <v>0</v>
      </c>
      <c r="AQ536" s="2">
        <f t="shared" si="481"/>
        <v>0</v>
      </c>
      <c r="AR536" s="2">
        <f t="shared" si="481"/>
        <v>341952.54</v>
      </c>
      <c r="AS536" s="2">
        <f t="shared" si="481"/>
        <v>0</v>
      </c>
      <c r="AT536" s="2">
        <f t="shared" si="481"/>
        <v>0</v>
      </c>
      <c r="AU536" s="2">
        <f t="shared" si="481"/>
        <v>341952.54</v>
      </c>
      <c r="AV536" s="2">
        <f t="shared" si="481"/>
        <v>6092.34</v>
      </c>
      <c r="AW536" s="2">
        <f t="shared" si="481"/>
        <v>6092.34</v>
      </c>
      <c r="AX536" s="2">
        <f t="shared" si="481"/>
        <v>0</v>
      </c>
      <c r="AY536" s="2">
        <f t="shared" si="481"/>
        <v>6092.34</v>
      </c>
      <c r="AZ536" s="2">
        <f t="shared" si="481"/>
        <v>0</v>
      </c>
      <c r="BA536" s="2">
        <f t="shared" si="481"/>
        <v>0</v>
      </c>
      <c r="BB536" s="2">
        <f t="shared" si="481"/>
        <v>0</v>
      </c>
      <c r="BC536" s="2">
        <f t="shared" si="481"/>
        <v>0</v>
      </c>
      <c r="BD536" s="2">
        <f t="shared" si="481"/>
        <v>0</v>
      </c>
      <c r="BE536" s="2"/>
      <c r="BF536" s="2"/>
      <c r="BG536" s="2"/>
      <c r="BH536" s="2"/>
      <c r="BI536" s="2"/>
      <c r="BJ536" s="2"/>
      <c r="BK536" s="2"/>
      <c r="BL536" s="2"/>
      <c r="BM536" s="2"/>
      <c r="BN536" s="2"/>
      <c r="BO536" s="2"/>
      <c r="BP536" s="2"/>
      <c r="BQ536" s="2"/>
      <c r="BR536" s="2"/>
      <c r="BS536" s="2"/>
      <c r="BT536" s="2"/>
      <c r="BU536" s="2"/>
      <c r="BV536" s="2"/>
      <c r="BW536" s="2"/>
      <c r="BX536" s="2">
        <f>ROUND(SUMIF(AA518:AA534,"=1472224561",FQ518:FQ534),2)</f>
        <v>0</v>
      </c>
      <c r="BY536" s="2">
        <f>ROUND(SUMIF(AA518:AA534,"=1472224561",FR518:FR534),2)</f>
        <v>0</v>
      </c>
      <c r="BZ536" s="2">
        <f>ROUND(SUMIF(AA518:AA534,"=1472224561",GL518:GL534),2)</f>
        <v>0</v>
      </c>
      <c r="CA536" s="2">
        <f>ROUND(SUMIF(AA518:AA534,"=1472224561",GM518:GM534),2)</f>
        <v>341952.54</v>
      </c>
      <c r="CB536" s="2">
        <f>ROUND(SUMIF(AA518:AA534,"=1472224561",GN518:GN534),2)</f>
        <v>0</v>
      </c>
      <c r="CC536" s="2">
        <f>ROUND(SUMIF(AA518:AA534,"=1472224561",GO518:GO534),2)</f>
        <v>0</v>
      </c>
      <c r="CD536" s="2">
        <f>ROUND(SUMIF(AA518:AA534,"=1472224561",GP518:GP534),2)</f>
        <v>341952.54</v>
      </c>
      <c r="CE536" s="2">
        <f>AC536-BX536</f>
        <v>6092.34</v>
      </c>
      <c r="CF536" s="2">
        <f>AC536-BY536</f>
        <v>6092.34</v>
      </c>
      <c r="CG536" s="2">
        <f>BX536-BZ536</f>
        <v>0</v>
      </c>
      <c r="CH536" s="2">
        <f>AC536-BX536-BY536+BZ536</f>
        <v>6092.34</v>
      </c>
      <c r="CI536" s="2">
        <f>BY536-BZ536</f>
        <v>0</v>
      </c>
      <c r="CJ536" s="2">
        <f>ROUND(SUMIF(AA518:AA534,"=1472224561",GX518:GX534),2)</f>
        <v>0</v>
      </c>
      <c r="CK536" s="2">
        <f>ROUND(SUMIF(AA518:AA534,"=1472224561",GY518:GY534),2)</f>
        <v>0</v>
      </c>
      <c r="CL536" s="2">
        <f>ROUND(SUMIF(AA518:AA534,"=1472224561",GZ518:GZ534),2)</f>
        <v>0</v>
      </c>
      <c r="CM536" s="2">
        <f>ROUND(SUMIF(AA518:AA534,"=1472224561",HD518:HD534),2)</f>
        <v>0</v>
      </c>
      <c r="CN536" s="2"/>
      <c r="CO536" s="2"/>
      <c r="CP536" s="2"/>
      <c r="CQ536" s="2"/>
      <c r="CR536" s="2"/>
      <c r="CS536" s="2"/>
      <c r="CT536" s="2"/>
      <c r="CU536" s="2"/>
      <c r="CV536" s="2"/>
      <c r="CW536" s="2"/>
      <c r="CX536" s="2"/>
      <c r="CY536" s="2"/>
      <c r="CZ536" s="2"/>
      <c r="DA536" s="2"/>
      <c r="DB536" s="2"/>
      <c r="DC536" s="2"/>
      <c r="DD536" s="2"/>
      <c r="DE536" s="2"/>
      <c r="DF536" s="2"/>
      <c r="DG536" s="3"/>
      <c r="DH536" s="3"/>
      <c r="DI536" s="3"/>
      <c r="DJ536" s="3"/>
      <c r="DK536" s="3"/>
      <c r="DL536" s="3"/>
      <c r="DM536" s="3"/>
      <c r="DN536" s="3"/>
      <c r="DO536" s="3"/>
      <c r="DP536" s="3"/>
      <c r="DQ536" s="3"/>
      <c r="DR536" s="3"/>
      <c r="DS536" s="3"/>
      <c r="DT536" s="3"/>
      <c r="DU536" s="3"/>
      <c r="DV536" s="3"/>
      <c r="DW536" s="3"/>
      <c r="DX536" s="3"/>
      <c r="DY536" s="3"/>
      <c r="DZ536" s="3"/>
      <c r="EA536" s="3"/>
      <c r="EB536" s="3"/>
      <c r="EC536" s="3"/>
      <c r="ED536" s="3"/>
      <c r="EE536" s="3"/>
      <c r="EF536" s="3"/>
      <c r="EG536" s="3"/>
      <c r="EH536" s="3"/>
      <c r="EI536" s="3"/>
      <c r="EJ536" s="3"/>
      <c r="EK536" s="3"/>
      <c r="EL536" s="3"/>
      <c r="EM536" s="3"/>
      <c r="EN536" s="3"/>
      <c r="EO536" s="3"/>
      <c r="EP536" s="3"/>
      <c r="EQ536" s="3"/>
      <c r="ER536" s="3"/>
      <c r="ES536" s="3"/>
      <c r="ET536" s="3"/>
      <c r="EU536" s="3"/>
      <c r="EV536" s="3"/>
      <c r="EW536" s="3"/>
      <c r="EX536" s="3"/>
      <c r="EY536" s="3"/>
      <c r="EZ536" s="3"/>
      <c r="FA536" s="3"/>
      <c r="FB536" s="3"/>
      <c r="FC536" s="3"/>
      <c r="FD536" s="3"/>
      <c r="FE536" s="3"/>
      <c r="FF536" s="3"/>
      <c r="FG536" s="3"/>
      <c r="FH536" s="3"/>
      <c r="FI536" s="3"/>
      <c r="FJ536" s="3"/>
      <c r="FK536" s="3"/>
      <c r="FL536" s="3"/>
      <c r="FM536" s="3"/>
      <c r="FN536" s="3"/>
      <c r="FO536" s="3"/>
      <c r="FP536" s="3"/>
      <c r="FQ536" s="3"/>
      <c r="FR536" s="3"/>
      <c r="FS536" s="3"/>
      <c r="FT536" s="3"/>
      <c r="FU536" s="3"/>
      <c r="FV536" s="3"/>
      <c r="FW536" s="3"/>
      <c r="FX536" s="3"/>
      <c r="FY536" s="3"/>
      <c r="FZ536" s="3"/>
      <c r="GA536" s="3"/>
      <c r="GB536" s="3"/>
      <c r="GC536" s="3"/>
      <c r="GD536" s="3"/>
      <c r="GE536" s="3"/>
      <c r="GF536" s="3"/>
      <c r="GG536" s="3"/>
      <c r="GH536" s="3"/>
      <c r="GI536" s="3"/>
      <c r="GJ536" s="3"/>
      <c r="GK536" s="3"/>
      <c r="GL536" s="3"/>
      <c r="GM536" s="3"/>
      <c r="GN536" s="3"/>
      <c r="GO536" s="3"/>
      <c r="GP536" s="3"/>
      <c r="GQ536" s="3"/>
      <c r="GR536" s="3"/>
      <c r="GS536" s="3"/>
      <c r="GT536" s="3"/>
      <c r="GU536" s="3"/>
      <c r="GV536" s="3"/>
      <c r="GW536" s="3"/>
      <c r="GX536" s="3">
        <v>0</v>
      </c>
    </row>
    <row r="538" spans="1:245" x14ac:dyDescent="0.2">
      <c r="A538" s="4">
        <v>50</v>
      </c>
      <c r="B538" s="4">
        <v>0</v>
      </c>
      <c r="C538" s="4">
        <v>0</v>
      </c>
      <c r="D538" s="4">
        <v>1</v>
      </c>
      <c r="E538" s="4">
        <v>201</v>
      </c>
      <c r="F538" s="4">
        <f>ROUND(Source!O536,O538)</f>
        <v>193407.3</v>
      </c>
      <c r="G538" s="4" t="s">
        <v>46</v>
      </c>
      <c r="H538" s="4" t="s">
        <v>47</v>
      </c>
      <c r="I538" s="4"/>
      <c r="J538" s="4"/>
      <c r="K538" s="4">
        <v>201</v>
      </c>
      <c r="L538" s="4">
        <v>1</v>
      </c>
      <c r="M538" s="4">
        <v>3</v>
      </c>
      <c r="N538" s="4" t="s">
        <v>3</v>
      </c>
      <c r="O538" s="4">
        <v>2</v>
      </c>
      <c r="P538" s="4"/>
      <c r="Q538" s="4"/>
      <c r="R538" s="4"/>
      <c r="S538" s="4"/>
      <c r="T538" s="4"/>
      <c r="U538" s="4"/>
      <c r="V538" s="4"/>
      <c r="W538" s="4">
        <v>45572.1</v>
      </c>
      <c r="X538" s="4">
        <v>1</v>
      </c>
      <c r="Y538" s="4">
        <v>45572.1</v>
      </c>
      <c r="Z538" s="4"/>
      <c r="AA538" s="4"/>
      <c r="AB538" s="4"/>
    </row>
    <row r="539" spans="1:245" x14ac:dyDescent="0.2">
      <c r="A539" s="4">
        <v>50</v>
      </c>
      <c r="B539" s="4">
        <v>0</v>
      </c>
      <c r="C539" s="4">
        <v>0</v>
      </c>
      <c r="D539" s="4">
        <v>1</v>
      </c>
      <c r="E539" s="4">
        <v>202</v>
      </c>
      <c r="F539" s="4">
        <f>ROUND(Source!P536,O539)</f>
        <v>6092.34</v>
      </c>
      <c r="G539" s="4" t="s">
        <v>48</v>
      </c>
      <c r="H539" s="4" t="s">
        <v>49</v>
      </c>
      <c r="I539" s="4"/>
      <c r="J539" s="4"/>
      <c r="K539" s="4">
        <v>202</v>
      </c>
      <c r="L539" s="4">
        <v>2</v>
      </c>
      <c r="M539" s="4">
        <v>3</v>
      </c>
      <c r="N539" s="4" t="s">
        <v>3</v>
      </c>
      <c r="O539" s="4">
        <v>2</v>
      </c>
      <c r="P539" s="4"/>
      <c r="Q539" s="4"/>
      <c r="R539" s="4"/>
      <c r="S539" s="4"/>
      <c r="T539" s="4"/>
      <c r="U539" s="4"/>
      <c r="V539" s="4"/>
      <c r="W539" s="4">
        <v>1511.46</v>
      </c>
      <c r="X539" s="4">
        <v>1</v>
      </c>
      <c r="Y539" s="4">
        <v>1511.46</v>
      </c>
      <c r="Z539" s="4"/>
      <c r="AA539" s="4"/>
      <c r="AB539" s="4"/>
    </row>
    <row r="540" spans="1:245" x14ac:dyDescent="0.2">
      <c r="A540" s="4">
        <v>50</v>
      </c>
      <c r="B540" s="4">
        <v>0</v>
      </c>
      <c r="C540" s="4">
        <v>0</v>
      </c>
      <c r="D540" s="4">
        <v>1</v>
      </c>
      <c r="E540" s="4">
        <v>222</v>
      </c>
      <c r="F540" s="4">
        <f>ROUND(Source!AO536,O540)</f>
        <v>0</v>
      </c>
      <c r="G540" s="4" t="s">
        <v>50</v>
      </c>
      <c r="H540" s="4" t="s">
        <v>51</v>
      </c>
      <c r="I540" s="4"/>
      <c r="J540" s="4"/>
      <c r="K540" s="4">
        <v>222</v>
      </c>
      <c r="L540" s="4">
        <v>3</v>
      </c>
      <c r="M540" s="4">
        <v>3</v>
      </c>
      <c r="N540" s="4" t="s">
        <v>3</v>
      </c>
      <c r="O540" s="4">
        <v>2</v>
      </c>
      <c r="P540" s="4"/>
      <c r="Q540" s="4"/>
      <c r="R540" s="4"/>
      <c r="S540" s="4"/>
      <c r="T540" s="4"/>
      <c r="U540" s="4"/>
      <c r="V540" s="4"/>
      <c r="W540" s="4">
        <v>0</v>
      </c>
      <c r="X540" s="4">
        <v>1</v>
      </c>
      <c r="Y540" s="4">
        <v>0</v>
      </c>
      <c r="Z540" s="4"/>
      <c r="AA540" s="4"/>
      <c r="AB540" s="4"/>
    </row>
    <row r="541" spans="1:245" x14ac:dyDescent="0.2">
      <c r="A541" s="4">
        <v>50</v>
      </c>
      <c r="B541" s="4">
        <v>0</v>
      </c>
      <c r="C541" s="4">
        <v>0</v>
      </c>
      <c r="D541" s="4">
        <v>1</v>
      </c>
      <c r="E541" s="4">
        <v>225</v>
      </c>
      <c r="F541" s="4">
        <f>ROUND(Source!AV536,O541)</f>
        <v>6092.34</v>
      </c>
      <c r="G541" s="4" t="s">
        <v>52</v>
      </c>
      <c r="H541" s="4" t="s">
        <v>53</v>
      </c>
      <c r="I541" s="4"/>
      <c r="J541" s="4"/>
      <c r="K541" s="4">
        <v>225</v>
      </c>
      <c r="L541" s="4">
        <v>4</v>
      </c>
      <c r="M541" s="4">
        <v>3</v>
      </c>
      <c r="N541" s="4" t="s">
        <v>3</v>
      </c>
      <c r="O541" s="4">
        <v>2</v>
      </c>
      <c r="P541" s="4"/>
      <c r="Q541" s="4"/>
      <c r="R541" s="4"/>
      <c r="S541" s="4"/>
      <c r="T541" s="4"/>
      <c r="U541" s="4"/>
      <c r="V541" s="4"/>
      <c r="W541" s="4">
        <v>1511.46</v>
      </c>
      <c r="X541" s="4">
        <v>1</v>
      </c>
      <c r="Y541" s="4">
        <v>1511.46</v>
      </c>
      <c r="Z541" s="4"/>
      <c r="AA541" s="4"/>
      <c r="AB541" s="4"/>
    </row>
    <row r="542" spans="1:245" x14ac:dyDescent="0.2">
      <c r="A542" s="4">
        <v>50</v>
      </c>
      <c r="B542" s="4">
        <v>0</v>
      </c>
      <c r="C542" s="4">
        <v>0</v>
      </c>
      <c r="D542" s="4">
        <v>1</v>
      </c>
      <c r="E542" s="4">
        <v>226</v>
      </c>
      <c r="F542" s="4">
        <f>ROUND(Source!AW536,O542)</f>
        <v>6092.34</v>
      </c>
      <c r="G542" s="4" t="s">
        <v>54</v>
      </c>
      <c r="H542" s="4" t="s">
        <v>55</v>
      </c>
      <c r="I542" s="4"/>
      <c r="J542" s="4"/>
      <c r="K542" s="4">
        <v>226</v>
      </c>
      <c r="L542" s="4">
        <v>5</v>
      </c>
      <c r="M542" s="4">
        <v>3</v>
      </c>
      <c r="N542" s="4" t="s">
        <v>3</v>
      </c>
      <c r="O542" s="4">
        <v>2</v>
      </c>
      <c r="P542" s="4"/>
      <c r="Q542" s="4"/>
      <c r="R542" s="4"/>
      <c r="S542" s="4"/>
      <c r="T542" s="4"/>
      <c r="U542" s="4"/>
      <c r="V542" s="4"/>
      <c r="W542" s="4">
        <v>1511.46</v>
      </c>
      <c r="X542" s="4">
        <v>1</v>
      </c>
      <c r="Y542" s="4">
        <v>1511.46</v>
      </c>
      <c r="Z542" s="4"/>
      <c r="AA542" s="4"/>
      <c r="AB542" s="4"/>
    </row>
    <row r="543" spans="1:245" x14ac:dyDescent="0.2">
      <c r="A543" s="4">
        <v>50</v>
      </c>
      <c r="B543" s="4">
        <v>0</v>
      </c>
      <c r="C543" s="4">
        <v>0</v>
      </c>
      <c r="D543" s="4">
        <v>1</v>
      </c>
      <c r="E543" s="4">
        <v>227</v>
      </c>
      <c r="F543" s="4">
        <f>ROUND(Source!AX536,O543)</f>
        <v>0</v>
      </c>
      <c r="G543" s="4" t="s">
        <v>56</v>
      </c>
      <c r="H543" s="4" t="s">
        <v>57</v>
      </c>
      <c r="I543" s="4"/>
      <c r="J543" s="4"/>
      <c r="K543" s="4">
        <v>227</v>
      </c>
      <c r="L543" s="4">
        <v>6</v>
      </c>
      <c r="M543" s="4">
        <v>3</v>
      </c>
      <c r="N543" s="4" t="s">
        <v>3</v>
      </c>
      <c r="O543" s="4">
        <v>2</v>
      </c>
      <c r="P543" s="4"/>
      <c r="Q543" s="4"/>
      <c r="R543" s="4"/>
      <c r="S543" s="4"/>
      <c r="T543" s="4"/>
      <c r="U543" s="4"/>
      <c r="V543" s="4"/>
      <c r="W543" s="4">
        <v>0</v>
      </c>
      <c r="X543" s="4">
        <v>1</v>
      </c>
      <c r="Y543" s="4">
        <v>0</v>
      </c>
      <c r="Z543" s="4"/>
      <c r="AA543" s="4"/>
      <c r="AB543" s="4"/>
    </row>
    <row r="544" spans="1:245" x14ac:dyDescent="0.2">
      <c r="A544" s="4">
        <v>50</v>
      </c>
      <c r="B544" s="4">
        <v>0</v>
      </c>
      <c r="C544" s="4">
        <v>0</v>
      </c>
      <c r="D544" s="4">
        <v>1</v>
      </c>
      <c r="E544" s="4">
        <v>228</v>
      </c>
      <c r="F544" s="4">
        <f>ROUND(Source!AY536,O544)</f>
        <v>6092.34</v>
      </c>
      <c r="G544" s="4" t="s">
        <v>58</v>
      </c>
      <c r="H544" s="4" t="s">
        <v>59</v>
      </c>
      <c r="I544" s="4"/>
      <c r="J544" s="4"/>
      <c r="K544" s="4">
        <v>228</v>
      </c>
      <c r="L544" s="4">
        <v>7</v>
      </c>
      <c r="M544" s="4">
        <v>3</v>
      </c>
      <c r="N544" s="4" t="s">
        <v>3</v>
      </c>
      <c r="O544" s="4">
        <v>2</v>
      </c>
      <c r="P544" s="4"/>
      <c r="Q544" s="4"/>
      <c r="R544" s="4"/>
      <c r="S544" s="4"/>
      <c r="T544" s="4"/>
      <c r="U544" s="4"/>
      <c r="V544" s="4"/>
      <c r="W544" s="4">
        <v>1511.46</v>
      </c>
      <c r="X544" s="4">
        <v>1</v>
      </c>
      <c r="Y544" s="4">
        <v>1511.46</v>
      </c>
      <c r="Z544" s="4"/>
      <c r="AA544" s="4"/>
      <c r="AB544" s="4"/>
    </row>
    <row r="545" spans="1:28" x14ac:dyDescent="0.2">
      <c r="A545" s="4">
        <v>50</v>
      </c>
      <c r="B545" s="4">
        <v>0</v>
      </c>
      <c r="C545" s="4">
        <v>0</v>
      </c>
      <c r="D545" s="4">
        <v>1</v>
      </c>
      <c r="E545" s="4">
        <v>216</v>
      </c>
      <c r="F545" s="4">
        <f>ROUND(Source!AP536,O545)</f>
        <v>0</v>
      </c>
      <c r="G545" s="4" t="s">
        <v>60</v>
      </c>
      <c r="H545" s="4" t="s">
        <v>61</v>
      </c>
      <c r="I545" s="4"/>
      <c r="J545" s="4"/>
      <c r="K545" s="4">
        <v>216</v>
      </c>
      <c r="L545" s="4">
        <v>8</v>
      </c>
      <c r="M545" s="4">
        <v>3</v>
      </c>
      <c r="N545" s="4" t="s">
        <v>3</v>
      </c>
      <c r="O545" s="4">
        <v>2</v>
      </c>
      <c r="P545" s="4"/>
      <c r="Q545" s="4"/>
      <c r="R545" s="4"/>
      <c r="S545" s="4"/>
      <c r="T545" s="4"/>
      <c r="U545" s="4"/>
      <c r="V545" s="4"/>
      <c r="W545" s="4">
        <v>0</v>
      </c>
      <c r="X545" s="4">
        <v>1</v>
      </c>
      <c r="Y545" s="4">
        <v>0</v>
      </c>
      <c r="Z545" s="4"/>
      <c r="AA545" s="4"/>
      <c r="AB545" s="4"/>
    </row>
    <row r="546" spans="1:28" x14ac:dyDescent="0.2">
      <c r="A546" s="4">
        <v>50</v>
      </c>
      <c r="B546" s="4">
        <v>0</v>
      </c>
      <c r="C546" s="4">
        <v>0</v>
      </c>
      <c r="D546" s="4">
        <v>1</v>
      </c>
      <c r="E546" s="4">
        <v>223</v>
      </c>
      <c r="F546" s="4">
        <f>ROUND(Source!AQ536,O546)</f>
        <v>0</v>
      </c>
      <c r="G546" s="4" t="s">
        <v>62</v>
      </c>
      <c r="H546" s="4" t="s">
        <v>63</v>
      </c>
      <c r="I546" s="4"/>
      <c r="J546" s="4"/>
      <c r="K546" s="4">
        <v>223</v>
      </c>
      <c r="L546" s="4">
        <v>9</v>
      </c>
      <c r="M546" s="4">
        <v>3</v>
      </c>
      <c r="N546" s="4" t="s">
        <v>3</v>
      </c>
      <c r="O546" s="4">
        <v>2</v>
      </c>
      <c r="P546" s="4"/>
      <c r="Q546" s="4"/>
      <c r="R546" s="4"/>
      <c r="S546" s="4"/>
      <c r="T546" s="4"/>
      <c r="U546" s="4"/>
      <c r="V546" s="4"/>
      <c r="W546" s="4">
        <v>0</v>
      </c>
      <c r="X546" s="4">
        <v>1</v>
      </c>
      <c r="Y546" s="4">
        <v>0</v>
      </c>
      <c r="Z546" s="4"/>
      <c r="AA546" s="4"/>
      <c r="AB546" s="4"/>
    </row>
    <row r="547" spans="1:28" x14ac:dyDescent="0.2">
      <c r="A547" s="4">
        <v>50</v>
      </c>
      <c r="B547" s="4">
        <v>0</v>
      </c>
      <c r="C547" s="4">
        <v>0</v>
      </c>
      <c r="D547" s="4">
        <v>1</v>
      </c>
      <c r="E547" s="4">
        <v>229</v>
      </c>
      <c r="F547" s="4">
        <f>ROUND(Source!AZ536,O547)</f>
        <v>0</v>
      </c>
      <c r="G547" s="4" t="s">
        <v>64</v>
      </c>
      <c r="H547" s="4" t="s">
        <v>65</v>
      </c>
      <c r="I547" s="4"/>
      <c r="J547" s="4"/>
      <c r="K547" s="4">
        <v>229</v>
      </c>
      <c r="L547" s="4">
        <v>10</v>
      </c>
      <c r="M547" s="4">
        <v>3</v>
      </c>
      <c r="N547" s="4" t="s">
        <v>3</v>
      </c>
      <c r="O547" s="4">
        <v>2</v>
      </c>
      <c r="P547" s="4"/>
      <c r="Q547" s="4"/>
      <c r="R547" s="4"/>
      <c r="S547" s="4"/>
      <c r="T547" s="4"/>
      <c r="U547" s="4"/>
      <c r="V547" s="4"/>
      <c r="W547" s="4">
        <v>0</v>
      </c>
      <c r="X547" s="4">
        <v>1</v>
      </c>
      <c r="Y547" s="4">
        <v>0</v>
      </c>
      <c r="Z547" s="4"/>
      <c r="AA547" s="4"/>
      <c r="AB547" s="4"/>
    </row>
    <row r="548" spans="1:28" x14ac:dyDescent="0.2">
      <c r="A548" s="4">
        <v>50</v>
      </c>
      <c r="B548" s="4">
        <v>0</v>
      </c>
      <c r="C548" s="4">
        <v>0</v>
      </c>
      <c r="D548" s="4">
        <v>1</v>
      </c>
      <c r="E548" s="4">
        <v>203</v>
      </c>
      <c r="F548" s="4">
        <f>ROUND(Source!Q536,O548)</f>
        <v>9136.1299999999992</v>
      </c>
      <c r="G548" s="4" t="s">
        <v>66</v>
      </c>
      <c r="H548" s="4" t="s">
        <v>67</v>
      </c>
      <c r="I548" s="4"/>
      <c r="J548" s="4"/>
      <c r="K548" s="4">
        <v>203</v>
      </c>
      <c r="L548" s="4">
        <v>11</v>
      </c>
      <c r="M548" s="4">
        <v>3</v>
      </c>
      <c r="N548" s="4" t="s">
        <v>3</v>
      </c>
      <c r="O548" s="4">
        <v>2</v>
      </c>
      <c r="P548" s="4"/>
      <c r="Q548" s="4"/>
      <c r="R548" s="4"/>
      <c r="S548" s="4"/>
      <c r="T548" s="4"/>
      <c r="U548" s="4"/>
      <c r="V548" s="4"/>
      <c r="W548" s="4">
        <v>2273.09</v>
      </c>
      <c r="X548" s="4">
        <v>1</v>
      </c>
      <c r="Y548" s="4">
        <v>2273.09</v>
      </c>
      <c r="Z548" s="4"/>
      <c r="AA548" s="4"/>
      <c r="AB548" s="4"/>
    </row>
    <row r="549" spans="1:28" x14ac:dyDescent="0.2">
      <c r="A549" s="4">
        <v>50</v>
      </c>
      <c r="B549" s="4">
        <v>0</v>
      </c>
      <c r="C549" s="4">
        <v>0</v>
      </c>
      <c r="D549" s="4">
        <v>1</v>
      </c>
      <c r="E549" s="4">
        <v>231</v>
      </c>
      <c r="F549" s="4">
        <f>ROUND(Source!BB536,O549)</f>
        <v>0</v>
      </c>
      <c r="G549" s="4" t="s">
        <v>68</v>
      </c>
      <c r="H549" s="4" t="s">
        <v>69</v>
      </c>
      <c r="I549" s="4"/>
      <c r="J549" s="4"/>
      <c r="K549" s="4">
        <v>231</v>
      </c>
      <c r="L549" s="4">
        <v>12</v>
      </c>
      <c r="M549" s="4">
        <v>3</v>
      </c>
      <c r="N549" s="4" t="s">
        <v>3</v>
      </c>
      <c r="O549" s="4">
        <v>2</v>
      </c>
      <c r="P549" s="4"/>
      <c r="Q549" s="4"/>
      <c r="R549" s="4"/>
      <c r="S549" s="4"/>
      <c r="T549" s="4"/>
      <c r="U549" s="4"/>
      <c r="V549" s="4"/>
      <c r="W549" s="4">
        <v>0</v>
      </c>
      <c r="X549" s="4">
        <v>1</v>
      </c>
      <c r="Y549" s="4">
        <v>0</v>
      </c>
      <c r="Z549" s="4"/>
      <c r="AA549" s="4"/>
      <c r="AB549" s="4"/>
    </row>
    <row r="550" spans="1:28" x14ac:dyDescent="0.2">
      <c r="A550" s="4">
        <v>50</v>
      </c>
      <c r="B550" s="4">
        <v>0</v>
      </c>
      <c r="C550" s="4">
        <v>0</v>
      </c>
      <c r="D550" s="4">
        <v>1</v>
      </c>
      <c r="E550" s="4">
        <v>204</v>
      </c>
      <c r="F550" s="4">
        <f>ROUND(Source!R536,O550)</f>
        <v>5557.55</v>
      </c>
      <c r="G550" s="4" t="s">
        <v>70</v>
      </c>
      <c r="H550" s="4" t="s">
        <v>71</v>
      </c>
      <c r="I550" s="4"/>
      <c r="J550" s="4"/>
      <c r="K550" s="4">
        <v>204</v>
      </c>
      <c r="L550" s="4">
        <v>13</v>
      </c>
      <c r="M550" s="4">
        <v>3</v>
      </c>
      <c r="N550" s="4" t="s">
        <v>3</v>
      </c>
      <c r="O550" s="4">
        <v>2</v>
      </c>
      <c r="P550" s="4"/>
      <c r="Q550" s="4"/>
      <c r="R550" s="4"/>
      <c r="S550" s="4"/>
      <c r="T550" s="4"/>
      <c r="U550" s="4"/>
      <c r="V550" s="4"/>
      <c r="W550" s="4">
        <v>1389.23</v>
      </c>
      <c r="X550" s="4">
        <v>1</v>
      </c>
      <c r="Y550" s="4">
        <v>1389.23</v>
      </c>
      <c r="Z550" s="4"/>
      <c r="AA550" s="4"/>
      <c r="AB550" s="4"/>
    </row>
    <row r="551" spans="1:28" x14ac:dyDescent="0.2">
      <c r="A551" s="4">
        <v>50</v>
      </c>
      <c r="B551" s="4">
        <v>0</v>
      </c>
      <c r="C551" s="4">
        <v>0</v>
      </c>
      <c r="D551" s="4">
        <v>1</v>
      </c>
      <c r="E551" s="4">
        <v>205</v>
      </c>
      <c r="F551" s="4">
        <f>ROUND(Source!S536,O551)</f>
        <v>178178.83</v>
      </c>
      <c r="G551" s="4" t="s">
        <v>72</v>
      </c>
      <c r="H551" s="4" t="s">
        <v>73</v>
      </c>
      <c r="I551" s="4"/>
      <c r="J551" s="4"/>
      <c r="K551" s="4">
        <v>205</v>
      </c>
      <c r="L551" s="4">
        <v>14</v>
      </c>
      <c r="M551" s="4">
        <v>3</v>
      </c>
      <c r="N551" s="4" t="s">
        <v>3</v>
      </c>
      <c r="O551" s="4">
        <v>2</v>
      </c>
      <c r="P551" s="4"/>
      <c r="Q551" s="4"/>
      <c r="R551" s="4"/>
      <c r="S551" s="4"/>
      <c r="T551" s="4"/>
      <c r="U551" s="4"/>
      <c r="V551" s="4"/>
      <c r="W551" s="4">
        <v>41787.550000000003</v>
      </c>
      <c r="X551" s="4">
        <v>1</v>
      </c>
      <c r="Y551" s="4">
        <v>41787.550000000003</v>
      </c>
      <c r="Z551" s="4"/>
      <c r="AA551" s="4"/>
      <c r="AB551" s="4"/>
    </row>
    <row r="552" spans="1:28" x14ac:dyDescent="0.2">
      <c r="A552" s="4">
        <v>50</v>
      </c>
      <c r="B552" s="4">
        <v>0</v>
      </c>
      <c r="C552" s="4">
        <v>0</v>
      </c>
      <c r="D552" s="4">
        <v>1</v>
      </c>
      <c r="E552" s="4">
        <v>232</v>
      </c>
      <c r="F552" s="4">
        <f>ROUND(Source!BC536,O552)</f>
        <v>0</v>
      </c>
      <c r="G552" s="4" t="s">
        <v>74</v>
      </c>
      <c r="H552" s="4" t="s">
        <v>75</v>
      </c>
      <c r="I552" s="4"/>
      <c r="J552" s="4"/>
      <c r="K552" s="4">
        <v>232</v>
      </c>
      <c r="L552" s="4">
        <v>15</v>
      </c>
      <c r="M552" s="4">
        <v>3</v>
      </c>
      <c r="N552" s="4" t="s">
        <v>3</v>
      </c>
      <c r="O552" s="4">
        <v>2</v>
      </c>
      <c r="P552" s="4"/>
      <c r="Q552" s="4"/>
      <c r="R552" s="4"/>
      <c r="S552" s="4"/>
      <c r="T552" s="4"/>
      <c r="U552" s="4"/>
      <c r="V552" s="4"/>
      <c r="W552" s="4">
        <v>0</v>
      </c>
      <c r="X552" s="4">
        <v>1</v>
      </c>
      <c r="Y552" s="4">
        <v>0</v>
      </c>
      <c r="Z552" s="4"/>
      <c r="AA552" s="4"/>
      <c r="AB552" s="4"/>
    </row>
    <row r="553" spans="1:28" x14ac:dyDescent="0.2">
      <c r="A553" s="4">
        <v>50</v>
      </c>
      <c r="B553" s="4">
        <v>0</v>
      </c>
      <c r="C553" s="4">
        <v>0</v>
      </c>
      <c r="D553" s="4">
        <v>1</v>
      </c>
      <c r="E553" s="4">
        <v>214</v>
      </c>
      <c r="F553" s="4">
        <f>ROUND(Source!AS536,O553)</f>
        <v>0</v>
      </c>
      <c r="G553" s="4" t="s">
        <v>76</v>
      </c>
      <c r="H553" s="4" t="s">
        <v>77</v>
      </c>
      <c r="I553" s="4"/>
      <c r="J553" s="4"/>
      <c r="K553" s="4">
        <v>214</v>
      </c>
      <c r="L553" s="4">
        <v>16</v>
      </c>
      <c r="M553" s="4">
        <v>3</v>
      </c>
      <c r="N553" s="4" t="s">
        <v>3</v>
      </c>
      <c r="O553" s="4">
        <v>2</v>
      </c>
      <c r="P553" s="4"/>
      <c r="Q553" s="4"/>
      <c r="R553" s="4"/>
      <c r="S553" s="4"/>
      <c r="T553" s="4"/>
      <c r="U553" s="4"/>
      <c r="V553" s="4"/>
      <c r="W553" s="4">
        <v>0</v>
      </c>
      <c r="X553" s="4">
        <v>1</v>
      </c>
      <c r="Y553" s="4">
        <v>0</v>
      </c>
      <c r="Z553" s="4"/>
      <c r="AA553" s="4"/>
      <c r="AB553" s="4"/>
    </row>
    <row r="554" spans="1:28" x14ac:dyDescent="0.2">
      <c r="A554" s="4">
        <v>50</v>
      </c>
      <c r="B554" s="4">
        <v>0</v>
      </c>
      <c r="C554" s="4">
        <v>0</v>
      </c>
      <c r="D554" s="4">
        <v>1</v>
      </c>
      <c r="E554" s="4">
        <v>215</v>
      </c>
      <c r="F554" s="4">
        <f>ROUND(Source!AT536,O554)</f>
        <v>0</v>
      </c>
      <c r="G554" s="4" t="s">
        <v>78</v>
      </c>
      <c r="H554" s="4" t="s">
        <v>79</v>
      </c>
      <c r="I554" s="4"/>
      <c r="J554" s="4"/>
      <c r="K554" s="4">
        <v>215</v>
      </c>
      <c r="L554" s="4">
        <v>17</v>
      </c>
      <c r="M554" s="4">
        <v>3</v>
      </c>
      <c r="N554" s="4" t="s">
        <v>3</v>
      </c>
      <c r="O554" s="4">
        <v>2</v>
      </c>
      <c r="P554" s="4"/>
      <c r="Q554" s="4"/>
      <c r="R554" s="4"/>
      <c r="S554" s="4"/>
      <c r="T554" s="4"/>
      <c r="U554" s="4"/>
      <c r="V554" s="4"/>
      <c r="W554" s="4">
        <v>0</v>
      </c>
      <c r="X554" s="4">
        <v>1</v>
      </c>
      <c r="Y554" s="4">
        <v>0</v>
      </c>
      <c r="Z554" s="4"/>
      <c r="AA554" s="4"/>
      <c r="AB554" s="4"/>
    </row>
    <row r="555" spans="1:28" x14ac:dyDescent="0.2">
      <c r="A555" s="4">
        <v>50</v>
      </c>
      <c r="B555" s="4">
        <v>0</v>
      </c>
      <c r="C555" s="4">
        <v>0</v>
      </c>
      <c r="D555" s="4">
        <v>1</v>
      </c>
      <c r="E555" s="4">
        <v>217</v>
      </c>
      <c r="F555" s="4">
        <f>ROUND(Source!AU536,O555)</f>
        <v>341952.54</v>
      </c>
      <c r="G555" s="4" t="s">
        <v>80</v>
      </c>
      <c r="H555" s="4" t="s">
        <v>81</v>
      </c>
      <c r="I555" s="4"/>
      <c r="J555" s="4"/>
      <c r="K555" s="4">
        <v>217</v>
      </c>
      <c r="L555" s="4">
        <v>18</v>
      </c>
      <c r="M555" s="4">
        <v>3</v>
      </c>
      <c r="N555" s="4" t="s">
        <v>3</v>
      </c>
      <c r="O555" s="4">
        <v>2</v>
      </c>
      <c r="P555" s="4"/>
      <c r="Q555" s="4"/>
      <c r="R555" s="4"/>
      <c r="S555" s="4"/>
      <c r="T555" s="4"/>
      <c r="U555" s="4"/>
      <c r="V555" s="4"/>
      <c r="W555" s="4">
        <v>80502.52</v>
      </c>
      <c r="X555" s="4">
        <v>1</v>
      </c>
      <c r="Y555" s="4">
        <v>80502.52</v>
      </c>
      <c r="Z555" s="4"/>
      <c r="AA555" s="4"/>
      <c r="AB555" s="4"/>
    </row>
    <row r="556" spans="1:28" x14ac:dyDescent="0.2">
      <c r="A556" s="4">
        <v>50</v>
      </c>
      <c r="B556" s="4">
        <v>0</v>
      </c>
      <c r="C556" s="4">
        <v>0</v>
      </c>
      <c r="D556" s="4">
        <v>1</v>
      </c>
      <c r="E556" s="4">
        <v>230</v>
      </c>
      <c r="F556" s="4">
        <f>ROUND(Source!BA536,O556)</f>
        <v>0</v>
      </c>
      <c r="G556" s="4" t="s">
        <v>82</v>
      </c>
      <c r="H556" s="4" t="s">
        <v>83</v>
      </c>
      <c r="I556" s="4"/>
      <c r="J556" s="4"/>
      <c r="K556" s="4">
        <v>230</v>
      </c>
      <c r="L556" s="4">
        <v>19</v>
      </c>
      <c r="M556" s="4">
        <v>3</v>
      </c>
      <c r="N556" s="4" t="s">
        <v>3</v>
      </c>
      <c r="O556" s="4">
        <v>2</v>
      </c>
      <c r="P556" s="4"/>
      <c r="Q556" s="4"/>
      <c r="R556" s="4"/>
      <c r="S556" s="4"/>
      <c r="T556" s="4"/>
      <c r="U556" s="4"/>
      <c r="V556" s="4"/>
      <c r="W556" s="4">
        <v>0</v>
      </c>
      <c r="X556" s="4">
        <v>1</v>
      </c>
      <c r="Y556" s="4">
        <v>0</v>
      </c>
      <c r="Z556" s="4"/>
      <c r="AA556" s="4"/>
      <c r="AB556" s="4"/>
    </row>
    <row r="557" spans="1:28" x14ac:dyDescent="0.2">
      <c r="A557" s="4">
        <v>50</v>
      </c>
      <c r="B557" s="4">
        <v>0</v>
      </c>
      <c r="C557" s="4">
        <v>0</v>
      </c>
      <c r="D557" s="4">
        <v>1</v>
      </c>
      <c r="E557" s="4">
        <v>206</v>
      </c>
      <c r="F557" s="4">
        <f>ROUND(Source!T536,O557)</f>
        <v>0</v>
      </c>
      <c r="G557" s="4" t="s">
        <v>84</v>
      </c>
      <c r="H557" s="4" t="s">
        <v>85</v>
      </c>
      <c r="I557" s="4"/>
      <c r="J557" s="4"/>
      <c r="K557" s="4">
        <v>206</v>
      </c>
      <c r="L557" s="4">
        <v>20</v>
      </c>
      <c r="M557" s="4">
        <v>3</v>
      </c>
      <c r="N557" s="4" t="s">
        <v>3</v>
      </c>
      <c r="O557" s="4">
        <v>2</v>
      </c>
      <c r="P557" s="4"/>
      <c r="Q557" s="4"/>
      <c r="R557" s="4"/>
      <c r="S557" s="4"/>
      <c r="T557" s="4"/>
      <c r="U557" s="4"/>
      <c r="V557" s="4"/>
      <c r="W557" s="4">
        <v>0</v>
      </c>
      <c r="X557" s="4">
        <v>1</v>
      </c>
      <c r="Y557" s="4">
        <v>0</v>
      </c>
      <c r="Z557" s="4"/>
      <c r="AA557" s="4"/>
      <c r="AB557" s="4"/>
    </row>
    <row r="558" spans="1:28" x14ac:dyDescent="0.2">
      <c r="A558" s="4">
        <v>50</v>
      </c>
      <c r="B558" s="4">
        <v>0</v>
      </c>
      <c r="C558" s="4">
        <v>0</v>
      </c>
      <c r="D558" s="4">
        <v>1</v>
      </c>
      <c r="E558" s="4">
        <v>207</v>
      </c>
      <c r="F558" s="4">
        <f>Source!U536</f>
        <v>268.38</v>
      </c>
      <c r="G558" s="4" t="s">
        <v>86</v>
      </c>
      <c r="H558" s="4" t="s">
        <v>87</v>
      </c>
      <c r="I558" s="4"/>
      <c r="J558" s="4"/>
      <c r="K558" s="4">
        <v>207</v>
      </c>
      <c r="L558" s="4">
        <v>21</v>
      </c>
      <c r="M558" s="4">
        <v>3</v>
      </c>
      <c r="N558" s="4" t="s">
        <v>3</v>
      </c>
      <c r="O558" s="4">
        <v>-1</v>
      </c>
      <c r="P558" s="4"/>
      <c r="Q558" s="4"/>
      <c r="R558" s="4"/>
      <c r="S558" s="4"/>
      <c r="T558" s="4"/>
      <c r="U558" s="4"/>
      <c r="V558" s="4"/>
      <c r="W558" s="4">
        <v>62.94</v>
      </c>
      <c r="X558" s="4">
        <v>1</v>
      </c>
      <c r="Y558" s="4">
        <v>62.94</v>
      </c>
      <c r="Z558" s="4"/>
      <c r="AA558" s="4"/>
      <c r="AB558" s="4"/>
    </row>
    <row r="559" spans="1:28" x14ac:dyDescent="0.2">
      <c r="A559" s="4">
        <v>50</v>
      </c>
      <c r="B559" s="4">
        <v>0</v>
      </c>
      <c r="C559" s="4">
        <v>0</v>
      </c>
      <c r="D559" s="4">
        <v>1</v>
      </c>
      <c r="E559" s="4">
        <v>208</v>
      </c>
      <c r="F559" s="4">
        <f>Source!V536</f>
        <v>0</v>
      </c>
      <c r="G559" s="4" t="s">
        <v>88</v>
      </c>
      <c r="H559" s="4" t="s">
        <v>89</v>
      </c>
      <c r="I559" s="4"/>
      <c r="J559" s="4"/>
      <c r="K559" s="4">
        <v>208</v>
      </c>
      <c r="L559" s="4">
        <v>22</v>
      </c>
      <c r="M559" s="4">
        <v>3</v>
      </c>
      <c r="N559" s="4" t="s">
        <v>3</v>
      </c>
      <c r="O559" s="4">
        <v>-1</v>
      </c>
      <c r="P559" s="4"/>
      <c r="Q559" s="4"/>
      <c r="R559" s="4"/>
      <c r="S559" s="4"/>
      <c r="T559" s="4"/>
      <c r="U559" s="4"/>
      <c r="V559" s="4"/>
      <c r="W559" s="4">
        <v>0</v>
      </c>
      <c r="X559" s="4">
        <v>1</v>
      </c>
      <c r="Y559" s="4">
        <v>0</v>
      </c>
      <c r="Z559" s="4"/>
      <c r="AA559" s="4"/>
      <c r="AB559" s="4"/>
    </row>
    <row r="560" spans="1:28" x14ac:dyDescent="0.2">
      <c r="A560" s="4">
        <v>50</v>
      </c>
      <c r="B560" s="4">
        <v>0</v>
      </c>
      <c r="C560" s="4">
        <v>0</v>
      </c>
      <c r="D560" s="4">
        <v>1</v>
      </c>
      <c r="E560" s="4">
        <v>209</v>
      </c>
      <c r="F560" s="4">
        <f>ROUND(Source!W536,O560)</f>
        <v>0</v>
      </c>
      <c r="G560" s="4" t="s">
        <v>90</v>
      </c>
      <c r="H560" s="4" t="s">
        <v>91</v>
      </c>
      <c r="I560" s="4"/>
      <c r="J560" s="4"/>
      <c r="K560" s="4">
        <v>209</v>
      </c>
      <c r="L560" s="4">
        <v>23</v>
      </c>
      <c r="M560" s="4">
        <v>3</v>
      </c>
      <c r="N560" s="4" t="s">
        <v>3</v>
      </c>
      <c r="O560" s="4">
        <v>2</v>
      </c>
      <c r="P560" s="4"/>
      <c r="Q560" s="4"/>
      <c r="R560" s="4"/>
      <c r="S560" s="4"/>
      <c r="T560" s="4"/>
      <c r="U560" s="4"/>
      <c r="V560" s="4"/>
      <c r="W560" s="4">
        <v>0</v>
      </c>
      <c r="X560" s="4">
        <v>1</v>
      </c>
      <c r="Y560" s="4">
        <v>0</v>
      </c>
      <c r="Z560" s="4"/>
      <c r="AA560" s="4"/>
      <c r="AB560" s="4"/>
    </row>
    <row r="561" spans="1:206" x14ac:dyDescent="0.2">
      <c r="A561" s="4">
        <v>50</v>
      </c>
      <c r="B561" s="4">
        <v>0</v>
      </c>
      <c r="C561" s="4">
        <v>0</v>
      </c>
      <c r="D561" s="4">
        <v>1</v>
      </c>
      <c r="E561" s="4">
        <v>233</v>
      </c>
      <c r="F561" s="4">
        <f>ROUND(Source!BD536,O561)</f>
        <v>0</v>
      </c>
      <c r="G561" s="4" t="s">
        <v>92</v>
      </c>
      <c r="H561" s="4" t="s">
        <v>93</v>
      </c>
      <c r="I561" s="4"/>
      <c r="J561" s="4"/>
      <c r="K561" s="4">
        <v>233</v>
      </c>
      <c r="L561" s="4">
        <v>24</v>
      </c>
      <c r="M561" s="4">
        <v>3</v>
      </c>
      <c r="N561" s="4" t="s">
        <v>3</v>
      </c>
      <c r="O561" s="4">
        <v>2</v>
      </c>
      <c r="P561" s="4"/>
      <c r="Q561" s="4"/>
      <c r="R561" s="4"/>
      <c r="S561" s="4"/>
      <c r="T561" s="4"/>
      <c r="U561" s="4"/>
      <c r="V561" s="4"/>
      <c r="W561" s="4">
        <v>0</v>
      </c>
      <c r="X561" s="4">
        <v>1</v>
      </c>
      <c r="Y561" s="4">
        <v>0</v>
      </c>
      <c r="Z561" s="4"/>
      <c r="AA561" s="4"/>
      <c r="AB561" s="4"/>
    </row>
    <row r="562" spans="1:206" x14ac:dyDescent="0.2">
      <c r="A562" s="4">
        <v>50</v>
      </c>
      <c r="B562" s="4">
        <v>0</v>
      </c>
      <c r="C562" s="4">
        <v>0</v>
      </c>
      <c r="D562" s="4">
        <v>1</v>
      </c>
      <c r="E562" s="4">
        <v>210</v>
      </c>
      <c r="F562" s="4">
        <f>ROUND(Source!X536,O562)</f>
        <v>124725.19</v>
      </c>
      <c r="G562" s="4" t="s">
        <v>94</v>
      </c>
      <c r="H562" s="4" t="s">
        <v>95</v>
      </c>
      <c r="I562" s="4"/>
      <c r="J562" s="4"/>
      <c r="K562" s="4">
        <v>210</v>
      </c>
      <c r="L562" s="4">
        <v>25</v>
      </c>
      <c r="M562" s="4">
        <v>3</v>
      </c>
      <c r="N562" s="4" t="s">
        <v>3</v>
      </c>
      <c r="O562" s="4">
        <v>2</v>
      </c>
      <c r="P562" s="4"/>
      <c r="Q562" s="4"/>
      <c r="R562" s="4"/>
      <c r="S562" s="4"/>
      <c r="T562" s="4"/>
      <c r="U562" s="4"/>
      <c r="V562" s="4"/>
      <c r="W562" s="4">
        <v>29251.29</v>
      </c>
      <c r="X562" s="4">
        <v>1</v>
      </c>
      <c r="Y562" s="4">
        <v>29251.29</v>
      </c>
      <c r="Z562" s="4"/>
      <c r="AA562" s="4"/>
      <c r="AB562" s="4"/>
    </row>
    <row r="563" spans="1:206" x14ac:dyDescent="0.2">
      <c r="A563" s="4">
        <v>50</v>
      </c>
      <c r="B563" s="4">
        <v>0</v>
      </c>
      <c r="C563" s="4">
        <v>0</v>
      </c>
      <c r="D563" s="4">
        <v>1</v>
      </c>
      <c r="E563" s="4">
        <v>211</v>
      </c>
      <c r="F563" s="4">
        <f>ROUND(Source!Y536,O563)</f>
        <v>17817.89</v>
      </c>
      <c r="G563" s="4" t="s">
        <v>96</v>
      </c>
      <c r="H563" s="4" t="s">
        <v>97</v>
      </c>
      <c r="I563" s="4"/>
      <c r="J563" s="4"/>
      <c r="K563" s="4">
        <v>211</v>
      </c>
      <c r="L563" s="4">
        <v>26</v>
      </c>
      <c r="M563" s="4">
        <v>3</v>
      </c>
      <c r="N563" s="4" t="s">
        <v>3</v>
      </c>
      <c r="O563" s="4">
        <v>2</v>
      </c>
      <c r="P563" s="4"/>
      <c r="Q563" s="4"/>
      <c r="R563" s="4"/>
      <c r="S563" s="4"/>
      <c r="T563" s="4"/>
      <c r="U563" s="4"/>
      <c r="V563" s="4"/>
      <c r="W563" s="4">
        <v>4178.76</v>
      </c>
      <c r="X563" s="4">
        <v>1</v>
      </c>
      <c r="Y563" s="4">
        <v>4178.76</v>
      </c>
      <c r="Z563" s="4"/>
      <c r="AA563" s="4"/>
      <c r="AB563" s="4"/>
    </row>
    <row r="564" spans="1:206" x14ac:dyDescent="0.2">
      <c r="A564" s="4">
        <v>50</v>
      </c>
      <c r="B564" s="4">
        <v>0</v>
      </c>
      <c r="C564" s="4">
        <v>0</v>
      </c>
      <c r="D564" s="4">
        <v>1</v>
      </c>
      <c r="E564" s="4">
        <v>224</v>
      </c>
      <c r="F564" s="4">
        <f>ROUND(Source!AR536,O564)</f>
        <v>341952.54</v>
      </c>
      <c r="G564" s="4" t="s">
        <v>98</v>
      </c>
      <c r="H564" s="4" t="s">
        <v>99</v>
      </c>
      <c r="I564" s="4"/>
      <c r="J564" s="4"/>
      <c r="K564" s="4">
        <v>224</v>
      </c>
      <c r="L564" s="4">
        <v>27</v>
      </c>
      <c r="M564" s="4">
        <v>3</v>
      </c>
      <c r="N564" s="4" t="s">
        <v>3</v>
      </c>
      <c r="O564" s="4">
        <v>2</v>
      </c>
      <c r="P564" s="4"/>
      <c r="Q564" s="4"/>
      <c r="R564" s="4"/>
      <c r="S564" s="4"/>
      <c r="T564" s="4"/>
      <c r="U564" s="4"/>
      <c r="V564" s="4"/>
      <c r="W564" s="4">
        <v>80502.52</v>
      </c>
      <c r="X564" s="4">
        <v>1</v>
      </c>
      <c r="Y564" s="4">
        <v>80502.52</v>
      </c>
      <c r="Z564" s="4"/>
      <c r="AA564" s="4"/>
      <c r="AB564" s="4"/>
    </row>
    <row r="566" spans="1:206" x14ac:dyDescent="0.2">
      <c r="A566" s="2">
        <v>51</v>
      </c>
      <c r="B566" s="2">
        <f>B438</f>
        <v>1</v>
      </c>
      <c r="C566" s="2">
        <f>A438</f>
        <v>4</v>
      </c>
      <c r="D566" s="2">
        <f>ROW(A438)</f>
        <v>438</v>
      </c>
      <c r="E566" s="2"/>
      <c r="F566" s="2" t="str">
        <f>IF(F438&lt;&gt;"",F438,"")</f>
        <v>Новый раздел</v>
      </c>
      <c r="G566" s="2" t="str">
        <f>IF(G438&lt;&gt;"",G438,"")</f>
        <v>3. Вентиляция и кондиционирование</v>
      </c>
      <c r="H566" s="2">
        <v>0</v>
      </c>
      <c r="I566" s="2"/>
      <c r="J566" s="2"/>
      <c r="K566" s="2"/>
      <c r="L566" s="2"/>
      <c r="M566" s="2"/>
      <c r="N566" s="2"/>
      <c r="O566" s="2">
        <f t="shared" ref="O566:T566" si="482">ROUND(O484+O536+AB566,2)</f>
        <v>297310.62</v>
      </c>
      <c r="P566" s="2">
        <f t="shared" si="482"/>
        <v>6774.18</v>
      </c>
      <c r="Q566" s="2">
        <f t="shared" si="482"/>
        <v>9175.51</v>
      </c>
      <c r="R566" s="2">
        <f t="shared" si="482"/>
        <v>5557.99</v>
      </c>
      <c r="S566" s="2">
        <f t="shared" si="482"/>
        <v>281360.93</v>
      </c>
      <c r="T566" s="2">
        <f t="shared" si="482"/>
        <v>0</v>
      </c>
      <c r="U566" s="2">
        <f>U484+U536+AH566</f>
        <v>424.52</v>
      </c>
      <c r="V566" s="2">
        <f>V484+V536+AI566</f>
        <v>0</v>
      </c>
      <c r="W566" s="2">
        <f>ROUND(W484+W536+AJ566,2)</f>
        <v>0</v>
      </c>
      <c r="X566" s="2">
        <f>ROUND(X484+X536+AK566,2)</f>
        <v>196952.66</v>
      </c>
      <c r="Y566" s="2">
        <f>ROUND(Y484+Y536+AL566,2)</f>
        <v>28136.1</v>
      </c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>
        <f t="shared" ref="AO566:BD566" si="483">ROUND(AO484+AO536+BX566,2)</f>
        <v>0</v>
      </c>
      <c r="AP566" s="2">
        <f t="shared" si="483"/>
        <v>0</v>
      </c>
      <c r="AQ566" s="2">
        <f t="shared" si="483"/>
        <v>0</v>
      </c>
      <c r="AR566" s="2">
        <f t="shared" si="483"/>
        <v>528402.02</v>
      </c>
      <c r="AS566" s="2">
        <f t="shared" si="483"/>
        <v>0</v>
      </c>
      <c r="AT566" s="2">
        <f t="shared" si="483"/>
        <v>0</v>
      </c>
      <c r="AU566" s="2">
        <f t="shared" si="483"/>
        <v>528402.02</v>
      </c>
      <c r="AV566" s="2">
        <f t="shared" si="483"/>
        <v>6774.18</v>
      </c>
      <c r="AW566" s="2">
        <f t="shared" si="483"/>
        <v>6774.18</v>
      </c>
      <c r="AX566" s="2">
        <f t="shared" si="483"/>
        <v>0</v>
      </c>
      <c r="AY566" s="2">
        <f t="shared" si="483"/>
        <v>6774.18</v>
      </c>
      <c r="AZ566" s="2">
        <f t="shared" si="483"/>
        <v>0</v>
      </c>
      <c r="BA566" s="2">
        <f t="shared" si="483"/>
        <v>0</v>
      </c>
      <c r="BB566" s="2">
        <f t="shared" si="483"/>
        <v>0</v>
      </c>
      <c r="BC566" s="2">
        <f t="shared" si="483"/>
        <v>0</v>
      </c>
      <c r="BD566" s="2">
        <f t="shared" si="483"/>
        <v>0</v>
      </c>
      <c r="BE566" s="2"/>
      <c r="BF566" s="2"/>
      <c r="BG566" s="2"/>
      <c r="BH566" s="2"/>
      <c r="BI566" s="2"/>
      <c r="BJ566" s="2"/>
      <c r="BK566" s="2"/>
      <c r="BL566" s="2"/>
      <c r="BM566" s="2"/>
      <c r="BN566" s="2"/>
      <c r="BO566" s="2"/>
      <c r="BP566" s="2"/>
      <c r="BQ566" s="2"/>
      <c r="BR566" s="2"/>
      <c r="BS566" s="2"/>
      <c r="BT566" s="2"/>
      <c r="BU566" s="2"/>
      <c r="BV566" s="2"/>
      <c r="BW566" s="2"/>
      <c r="BX566" s="2"/>
      <c r="BY566" s="2"/>
      <c r="BZ566" s="2"/>
      <c r="CA566" s="2"/>
      <c r="CB566" s="2"/>
      <c r="CC566" s="2"/>
      <c r="CD566" s="2"/>
      <c r="CE566" s="2"/>
      <c r="CF566" s="2"/>
      <c r="CG566" s="2"/>
      <c r="CH566" s="2"/>
      <c r="CI566" s="2"/>
      <c r="CJ566" s="2"/>
      <c r="CK566" s="2"/>
      <c r="CL566" s="2"/>
      <c r="CM566" s="2"/>
      <c r="CN566" s="2"/>
      <c r="CO566" s="2"/>
      <c r="CP566" s="2"/>
      <c r="CQ566" s="2"/>
      <c r="CR566" s="2"/>
      <c r="CS566" s="2"/>
      <c r="CT566" s="2"/>
      <c r="CU566" s="2"/>
      <c r="CV566" s="2"/>
      <c r="CW566" s="2"/>
      <c r="CX566" s="2"/>
      <c r="CY566" s="2"/>
      <c r="CZ566" s="2"/>
      <c r="DA566" s="2"/>
      <c r="DB566" s="2"/>
      <c r="DC566" s="2"/>
      <c r="DD566" s="2"/>
      <c r="DE566" s="2"/>
      <c r="DF566" s="2"/>
      <c r="DG566" s="3"/>
      <c r="DH566" s="3"/>
      <c r="DI566" s="3"/>
      <c r="DJ566" s="3"/>
      <c r="DK566" s="3"/>
      <c r="DL566" s="3"/>
      <c r="DM566" s="3"/>
      <c r="DN566" s="3"/>
      <c r="DO566" s="3"/>
      <c r="DP566" s="3"/>
      <c r="DQ566" s="3"/>
      <c r="DR566" s="3"/>
      <c r="DS566" s="3"/>
      <c r="DT566" s="3"/>
      <c r="DU566" s="3"/>
      <c r="DV566" s="3"/>
      <c r="DW566" s="3"/>
      <c r="DX566" s="3"/>
      <c r="DY566" s="3"/>
      <c r="DZ566" s="3"/>
      <c r="EA566" s="3"/>
      <c r="EB566" s="3"/>
      <c r="EC566" s="3"/>
      <c r="ED566" s="3"/>
      <c r="EE566" s="3"/>
      <c r="EF566" s="3"/>
      <c r="EG566" s="3"/>
      <c r="EH566" s="3"/>
      <c r="EI566" s="3"/>
      <c r="EJ566" s="3"/>
      <c r="EK566" s="3"/>
      <c r="EL566" s="3"/>
      <c r="EM566" s="3"/>
      <c r="EN566" s="3"/>
      <c r="EO566" s="3"/>
      <c r="EP566" s="3"/>
      <c r="EQ566" s="3"/>
      <c r="ER566" s="3"/>
      <c r="ES566" s="3"/>
      <c r="ET566" s="3"/>
      <c r="EU566" s="3"/>
      <c r="EV566" s="3"/>
      <c r="EW566" s="3"/>
      <c r="EX566" s="3"/>
      <c r="EY566" s="3"/>
      <c r="EZ566" s="3"/>
      <c r="FA566" s="3"/>
      <c r="FB566" s="3"/>
      <c r="FC566" s="3"/>
      <c r="FD566" s="3"/>
      <c r="FE566" s="3"/>
      <c r="FF566" s="3"/>
      <c r="FG566" s="3"/>
      <c r="FH566" s="3"/>
      <c r="FI566" s="3"/>
      <c r="FJ566" s="3"/>
      <c r="FK566" s="3"/>
      <c r="FL566" s="3"/>
      <c r="FM566" s="3"/>
      <c r="FN566" s="3"/>
      <c r="FO566" s="3"/>
      <c r="FP566" s="3"/>
      <c r="FQ566" s="3"/>
      <c r="FR566" s="3"/>
      <c r="FS566" s="3"/>
      <c r="FT566" s="3"/>
      <c r="FU566" s="3"/>
      <c r="FV566" s="3"/>
      <c r="FW566" s="3"/>
      <c r="FX566" s="3"/>
      <c r="FY566" s="3"/>
      <c r="FZ566" s="3"/>
      <c r="GA566" s="3"/>
      <c r="GB566" s="3"/>
      <c r="GC566" s="3"/>
      <c r="GD566" s="3"/>
      <c r="GE566" s="3"/>
      <c r="GF566" s="3"/>
      <c r="GG566" s="3"/>
      <c r="GH566" s="3"/>
      <c r="GI566" s="3"/>
      <c r="GJ566" s="3"/>
      <c r="GK566" s="3"/>
      <c r="GL566" s="3"/>
      <c r="GM566" s="3"/>
      <c r="GN566" s="3"/>
      <c r="GO566" s="3"/>
      <c r="GP566" s="3"/>
      <c r="GQ566" s="3"/>
      <c r="GR566" s="3"/>
      <c r="GS566" s="3"/>
      <c r="GT566" s="3"/>
      <c r="GU566" s="3"/>
      <c r="GV566" s="3"/>
      <c r="GW566" s="3"/>
      <c r="GX566" s="3">
        <v>0</v>
      </c>
    </row>
    <row r="568" spans="1:206" x14ac:dyDescent="0.2">
      <c r="A568" s="4">
        <v>50</v>
      </c>
      <c r="B568" s="4">
        <v>0</v>
      </c>
      <c r="C568" s="4">
        <v>0</v>
      </c>
      <c r="D568" s="4">
        <v>1</v>
      </c>
      <c r="E568" s="4">
        <v>201</v>
      </c>
      <c r="F568" s="4">
        <f>ROUND(Source!O566,O568)</f>
        <v>297310.62</v>
      </c>
      <c r="G568" s="4" t="s">
        <v>46</v>
      </c>
      <c r="H568" s="4" t="s">
        <v>47</v>
      </c>
      <c r="I568" s="4"/>
      <c r="J568" s="4"/>
      <c r="K568" s="4">
        <v>201</v>
      </c>
      <c r="L568" s="4">
        <v>1</v>
      </c>
      <c r="M568" s="4">
        <v>3</v>
      </c>
      <c r="N568" s="4" t="s">
        <v>3</v>
      </c>
      <c r="O568" s="4">
        <v>2</v>
      </c>
      <c r="P568" s="4"/>
      <c r="Q568" s="4"/>
      <c r="R568" s="4"/>
      <c r="S568" s="4"/>
      <c r="T568" s="4"/>
      <c r="U568" s="4"/>
      <c r="V568" s="4"/>
      <c r="W568" s="4">
        <v>220741.38</v>
      </c>
      <c r="X568" s="4">
        <v>1</v>
      </c>
      <c r="Y568" s="4">
        <v>220741.38</v>
      </c>
      <c r="Z568" s="4"/>
      <c r="AA568" s="4"/>
      <c r="AB568" s="4"/>
    </row>
    <row r="569" spans="1:206" x14ac:dyDescent="0.2">
      <c r="A569" s="4">
        <v>50</v>
      </c>
      <c r="B569" s="4">
        <v>0</v>
      </c>
      <c r="C569" s="4">
        <v>0</v>
      </c>
      <c r="D569" s="4">
        <v>1</v>
      </c>
      <c r="E569" s="4">
        <v>202</v>
      </c>
      <c r="F569" s="4">
        <f>ROUND(Source!P566,O569)</f>
        <v>6774.18</v>
      </c>
      <c r="G569" s="4" t="s">
        <v>48</v>
      </c>
      <c r="H569" s="4" t="s">
        <v>49</v>
      </c>
      <c r="I569" s="4"/>
      <c r="J569" s="4"/>
      <c r="K569" s="4">
        <v>202</v>
      </c>
      <c r="L569" s="4">
        <v>2</v>
      </c>
      <c r="M569" s="4">
        <v>3</v>
      </c>
      <c r="N569" s="4" t="s">
        <v>3</v>
      </c>
      <c r="O569" s="4">
        <v>2</v>
      </c>
      <c r="P569" s="4"/>
      <c r="Q569" s="4"/>
      <c r="R569" s="4"/>
      <c r="S569" s="4"/>
      <c r="T569" s="4"/>
      <c r="U569" s="4"/>
      <c r="V569" s="4"/>
      <c r="W569" s="4">
        <v>6133.02</v>
      </c>
      <c r="X569" s="4">
        <v>1</v>
      </c>
      <c r="Y569" s="4">
        <v>6133.02</v>
      </c>
      <c r="Z569" s="4"/>
      <c r="AA569" s="4"/>
      <c r="AB569" s="4"/>
    </row>
    <row r="570" spans="1:206" x14ac:dyDescent="0.2">
      <c r="A570" s="4">
        <v>50</v>
      </c>
      <c r="B570" s="4">
        <v>0</v>
      </c>
      <c r="C570" s="4">
        <v>0</v>
      </c>
      <c r="D570" s="4">
        <v>1</v>
      </c>
      <c r="E570" s="4">
        <v>222</v>
      </c>
      <c r="F570" s="4">
        <f>ROUND(Source!AO566,O570)</f>
        <v>0</v>
      </c>
      <c r="G570" s="4" t="s">
        <v>50</v>
      </c>
      <c r="H570" s="4" t="s">
        <v>51</v>
      </c>
      <c r="I570" s="4"/>
      <c r="J570" s="4"/>
      <c r="K570" s="4">
        <v>222</v>
      </c>
      <c r="L570" s="4">
        <v>3</v>
      </c>
      <c r="M570" s="4">
        <v>3</v>
      </c>
      <c r="N570" s="4" t="s">
        <v>3</v>
      </c>
      <c r="O570" s="4">
        <v>2</v>
      </c>
      <c r="P570" s="4"/>
      <c r="Q570" s="4"/>
      <c r="R570" s="4"/>
      <c r="S570" s="4"/>
      <c r="T570" s="4"/>
      <c r="U570" s="4"/>
      <c r="V570" s="4"/>
      <c r="W570" s="4">
        <v>0</v>
      </c>
      <c r="X570" s="4">
        <v>1</v>
      </c>
      <c r="Y570" s="4">
        <v>0</v>
      </c>
      <c r="Z570" s="4"/>
      <c r="AA570" s="4"/>
      <c r="AB570" s="4"/>
    </row>
    <row r="571" spans="1:206" x14ac:dyDescent="0.2">
      <c r="A571" s="4">
        <v>50</v>
      </c>
      <c r="B571" s="4">
        <v>0</v>
      </c>
      <c r="C571" s="4">
        <v>0</v>
      </c>
      <c r="D571" s="4">
        <v>1</v>
      </c>
      <c r="E571" s="4">
        <v>225</v>
      </c>
      <c r="F571" s="4">
        <f>ROUND(Source!AV566,O571)</f>
        <v>6774.18</v>
      </c>
      <c r="G571" s="4" t="s">
        <v>52</v>
      </c>
      <c r="H571" s="4" t="s">
        <v>53</v>
      </c>
      <c r="I571" s="4"/>
      <c r="J571" s="4"/>
      <c r="K571" s="4">
        <v>225</v>
      </c>
      <c r="L571" s="4">
        <v>4</v>
      </c>
      <c r="M571" s="4">
        <v>3</v>
      </c>
      <c r="N571" s="4" t="s">
        <v>3</v>
      </c>
      <c r="O571" s="4">
        <v>2</v>
      </c>
      <c r="P571" s="4"/>
      <c r="Q571" s="4"/>
      <c r="R571" s="4"/>
      <c r="S571" s="4"/>
      <c r="T571" s="4"/>
      <c r="U571" s="4"/>
      <c r="V571" s="4"/>
      <c r="W571" s="4">
        <v>6133.02</v>
      </c>
      <c r="X571" s="4">
        <v>1</v>
      </c>
      <c r="Y571" s="4">
        <v>6133.02</v>
      </c>
      <c r="Z571" s="4"/>
      <c r="AA571" s="4"/>
      <c r="AB571" s="4"/>
    </row>
    <row r="572" spans="1:206" x14ac:dyDescent="0.2">
      <c r="A572" s="4">
        <v>50</v>
      </c>
      <c r="B572" s="4">
        <v>0</v>
      </c>
      <c r="C572" s="4">
        <v>0</v>
      </c>
      <c r="D572" s="4">
        <v>1</v>
      </c>
      <c r="E572" s="4">
        <v>226</v>
      </c>
      <c r="F572" s="4">
        <f>ROUND(Source!AW566,O572)</f>
        <v>6774.18</v>
      </c>
      <c r="G572" s="4" t="s">
        <v>54</v>
      </c>
      <c r="H572" s="4" t="s">
        <v>55</v>
      </c>
      <c r="I572" s="4"/>
      <c r="J572" s="4"/>
      <c r="K572" s="4">
        <v>226</v>
      </c>
      <c r="L572" s="4">
        <v>5</v>
      </c>
      <c r="M572" s="4">
        <v>3</v>
      </c>
      <c r="N572" s="4" t="s">
        <v>3</v>
      </c>
      <c r="O572" s="4">
        <v>2</v>
      </c>
      <c r="P572" s="4"/>
      <c r="Q572" s="4"/>
      <c r="R572" s="4"/>
      <c r="S572" s="4"/>
      <c r="T572" s="4"/>
      <c r="U572" s="4"/>
      <c r="V572" s="4"/>
      <c r="W572" s="4">
        <v>6133.02</v>
      </c>
      <c r="X572" s="4">
        <v>1</v>
      </c>
      <c r="Y572" s="4">
        <v>6133.02</v>
      </c>
      <c r="Z572" s="4"/>
      <c r="AA572" s="4"/>
      <c r="AB572" s="4"/>
    </row>
    <row r="573" spans="1:206" x14ac:dyDescent="0.2">
      <c r="A573" s="4">
        <v>50</v>
      </c>
      <c r="B573" s="4">
        <v>0</v>
      </c>
      <c r="C573" s="4">
        <v>0</v>
      </c>
      <c r="D573" s="4">
        <v>1</v>
      </c>
      <c r="E573" s="4">
        <v>227</v>
      </c>
      <c r="F573" s="4">
        <f>ROUND(Source!AX566,O573)</f>
        <v>0</v>
      </c>
      <c r="G573" s="4" t="s">
        <v>56</v>
      </c>
      <c r="H573" s="4" t="s">
        <v>57</v>
      </c>
      <c r="I573" s="4"/>
      <c r="J573" s="4"/>
      <c r="K573" s="4">
        <v>227</v>
      </c>
      <c r="L573" s="4">
        <v>6</v>
      </c>
      <c r="M573" s="4">
        <v>3</v>
      </c>
      <c r="N573" s="4" t="s">
        <v>3</v>
      </c>
      <c r="O573" s="4">
        <v>2</v>
      </c>
      <c r="P573" s="4"/>
      <c r="Q573" s="4"/>
      <c r="R573" s="4"/>
      <c r="S573" s="4"/>
      <c r="T573" s="4"/>
      <c r="U573" s="4"/>
      <c r="V573" s="4"/>
      <c r="W573" s="4">
        <v>0</v>
      </c>
      <c r="X573" s="4">
        <v>1</v>
      </c>
      <c r="Y573" s="4">
        <v>0</v>
      </c>
      <c r="Z573" s="4"/>
      <c r="AA573" s="4"/>
      <c r="AB573" s="4"/>
    </row>
    <row r="574" spans="1:206" x14ac:dyDescent="0.2">
      <c r="A574" s="4">
        <v>50</v>
      </c>
      <c r="B574" s="4">
        <v>0</v>
      </c>
      <c r="C574" s="4">
        <v>0</v>
      </c>
      <c r="D574" s="4">
        <v>1</v>
      </c>
      <c r="E574" s="4">
        <v>228</v>
      </c>
      <c r="F574" s="4">
        <f>ROUND(Source!AY566,O574)</f>
        <v>6774.18</v>
      </c>
      <c r="G574" s="4" t="s">
        <v>58</v>
      </c>
      <c r="H574" s="4" t="s">
        <v>59</v>
      </c>
      <c r="I574" s="4"/>
      <c r="J574" s="4"/>
      <c r="K574" s="4">
        <v>228</v>
      </c>
      <c r="L574" s="4">
        <v>7</v>
      </c>
      <c r="M574" s="4">
        <v>3</v>
      </c>
      <c r="N574" s="4" t="s">
        <v>3</v>
      </c>
      <c r="O574" s="4">
        <v>2</v>
      </c>
      <c r="P574" s="4"/>
      <c r="Q574" s="4"/>
      <c r="R574" s="4"/>
      <c r="S574" s="4"/>
      <c r="T574" s="4"/>
      <c r="U574" s="4"/>
      <c r="V574" s="4"/>
      <c r="W574" s="4">
        <v>6133.02</v>
      </c>
      <c r="X574" s="4">
        <v>1</v>
      </c>
      <c r="Y574" s="4">
        <v>6133.02</v>
      </c>
      <c r="Z574" s="4"/>
      <c r="AA574" s="4"/>
      <c r="AB574" s="4"/>
    </row>
    <row r="575" spans="1:206" x14ac:dyDescent="0.2">
      <c r="A575" s="4">
        <v>50</v>
      </c>
      <c r="B575" s="4">
        <v>0</v>
      </c>
      <c r="C575" s="4">
        <v>0</v>
      </c>
      <c r="D575" s="4">
        <v>1</v>
      </c>
      <c r="E575" s="4">
        <v>216</v>
      </c>
      <c r="F575" s="4">
        <f>ROUND(Source!AP566,O575)</f>
        <v>0</v>
      </c>
      <c r="G575" s="4" t="s">
        <v>60</v>
      </c>
      <c r="H575" s="4" t="s">
        <v>61</v>
      </c>
      <c r="I575" s="4"/>
      <c r="J575" s="4"/>
      <c r="K575" s="4">
        <v>216</v>
      </c>
      <c r="L575" s="4">
        <v>8</v>
      </c>
      <c r="M575" s="4">
        <v>3</v>
      </c>
      <c r="N575" s="4" t="s">
        <v>3</v>
      </c>
      <c r="O575" s="4">
        <v>2</v>
      </c>
      <c r="P575" s="4"/>
      <c r="Q575" s="4"/>
      <c r="R575" s="4"/>
      <c r="S575" s="4"/>
      <c r="T575" s="4"/>
      <c r="U575" s="4"/>
      <c r="V575" s="4"/>
      <c r="W575" s="4">
        <v>0</v>
      </c>
      <c r="X575" s="4">
        <v>1</v>
      </c>
      <c r="Y575" s="4">
        <v>0</v>
      </c>
      <c r="Z575" s="4"/>
      <c r="AA575" s="4"/>
      <c r="AB575" s="4"/>
    </row>
    <row r="576" spans="1:206" x14ac:dyDescent="0.2">
      <c r="A576" s="4">
        <v>50</v>
      </c>
      <c r="B576" s="4">
        <v>0</v>
      </c>
      <c r="C576" s="4">
        <v>0</v>
      </c>
      <c r="D576" s="4">
        <v>1</v>
      </c>
      <c r="E576" s="4">
        <v>223</v>
      </c>
      <c r="F576" s="4">
        <f>ROUND(Source!AQ566,O576)</f>
        <v>0</v>
      </c>
      <c r="G576" s="4" t="s">
        <v>62</v>
      </c>
      <c r="H576" s="4" t="s">
        <v>63</v>
      </c>
      <c r="I576" s="4"/>
      <c r="J576" s="4"/>
      <c r="K576" s="4">
        <v>223</v>
      </c>
      <c r="L576" s="4">
        <v>9</v>
      </c>
      <c r="M576" s="4">
        <v>3</v>
      </c>
      <c r="N576" s="4" t="s">
        <v>3</v>
      </c>
      <c r="O576" s="4">
        <v>2</v>
      </c>
      <c r="P576" s="4"/>
      <c r="Q576" s="4"/>
      <c r="R576" s="4"/>
      <c r="S576" s="4"/>
      <c r="T576" s="4"/>
      <c r="U576" s="4"/>
      <c r="V576" s="4"/>
      <c r="W576" s="4">
        <v>0</v>
      </c>
      <c r="X576" s="4">
        <v>1</v>
      </c>
      <c r="Y576" s="4">
        <v>0</v>
      </c>
      <c r="Z576" s="4"/>
      <c r="AA576" s="4"/>
      <c r="AB576" s="4"/>
    </row>
    <row r="577" spans="1:28" x14ac:dyDescent="0.2">
      <c r="A577" s="4">
        <v>50</v>
      </c>
      <c r="B577" s="4">
        <v>0</v>
      </c>
      <c r="C577" s="4">
        <v>0</v>
      </c>
      <c r="D577" s="4">
        <v>1</v>
      </c>
      <c r="E577" s="4">
        <v>229</v>
      </c>
      <c r="F577" s="4">
        <f>ROUND(Source!AZ566,O577)</f>
        <v>0</v>
      </c>
      <c r="G577" s="4" t="s">
        <v>64</v>
      </c>
      <c r="H577" s="4" t="s">
        <v>65</v>
      </c>
      <c r="I577" s="4"/>
      <c r="J577" s="4"/>
      <c r="K577" s="4">
        <v>229</v>
      </c>
      <c r="L577" s="4">
        <v>10</v>
      </c>
      <c r="M577" s="4">
        <v>3</v>
      </c>
      <c r="N577" s="4" t="s">
        <v>3</v>
      </c>
      <c r="O577" s="4">
        <v>2</v>
      </c>
      <c r="P577" s="4"/>
      <c r="Q577" s="4"/>
      <c r="R577" s="4"/>
      <c r="S577" s="4"/>
      <c r="T577" s="4"/>
      <c r="U577" s="4"/>
      <c r="V577" s="4"/>
      <c r="W577" s="4">
        <v>0</v>
      </c>
      <c r="X577" s="4">
        <v>1</v>
      </c>
      <c r="Y577" s="4">
        <v>0</v>
      </c>
      <c r="Z577" s="4"/>
      <c r="AA577" s="4"/>
      <c r="AB577" s="4"/>
    </row>
    <row r="578" spans="1:28" x14ac:dyDescent="0.2">
      <c r="A578" s="4">
        <v>50</v>
      </c>
      <c r="B578" s="4">
        <v>0</v>
      </c>
      <c r="C578" s="4">
        <v>0</v>
      </c>
      <c r="D578" s="4">
        <v>1</v>
      </c>
      <c r="E578" s="4">
        <v>203</v>
      </c>
      <c r="F578" s="4">
        <f>ROUND(Source!Q566,O578)</f>
        <v>9175.51</v>
      </c>
      <c r="G578" s="4" t="s">
        <v>66</v>
      </c>
      <c r="H578" s="4" t="s">
        <v>67</v>
      </c>
      <c r="I578" s="4"/>
      <c r="J578" s="4"/>
      <c r="K578" s="4">
        <v>203</v>
      </c>
      <c r="L578" s="4">
        <v>11</v>
      </c>
      <c r="M578" s="4">
        <v>3</v>
      </c>
      <c r="N578" s="4" t="s">
        <v>3</v>
      </c>
      <c r="O578" s="4">
        <v>2</v>
      </c>
      <c r="P578" s="4"/>
      <c r="Q578" s="4"/>
      <c r="R578" s="4"/>
      <c r="S578" s="4"/>
      <c r="T578" s="4"/>
      <c r="U578" s="4"/>
      <c r="V578" s="4"/>
      <c r="W578" s="4">
        <v>9143.2900000000009</v>
      </c>
      <c r="X578" s="4">
        <v>1</v>
      </c>
      <c r="Y578" s="4">
        <v>9143.2900000000009</v>
      </c>
      <c r="Z578" s="4"/>
      <c r="AA578" s="4"/>
      <c r="AB578" s="4"/>
    </row>
    <row r="579" spans="1:28" x14ac:dyDescent="0.2">
      <c r="A579" s="4">
        <v>50</v>
      </c>
      <c r="B579" s="4">
        <v>0</v>
      </c>
      <c r="C579" s="4">
        <v>0</v>
      </c>
      <c r="D579" s="4">
        <v>1</v>
      </c>
      <c r="E579" s="4">
        <v>231</v>
      </c>
      <c r="F579" s="4">
        <f>ROUND(Source!BB566,O579)</f>
        <v>0</v>
      </c>
      <c r="G579" s="4" t="s">
        <v>68</v>
      </c>
      <c r="H579" s="4" t="s">
        <v>69</v>
      </c>
      <c r="I579" s="4"/>
      <c r="J579" s="4"/>
      <c r="K579" s="4">
        <v>231</v>
      </c>
      <c r="L579" s="4">
        <v>12</v>
      </c>
      <c r="M579" s="4">
        <v>3</v>
      </c>
      <c r="N579" s="4" t="s">
        <v>3</v>
      </c>
      <c r="O579" s="4">
        <v>2</v>
      </c>
      <c r="P579" s="4"/>
      <c r="Q579" s="4"/>
      <c r="R579" s="4"/>
      <c r="S579" s="4"/>
      <c r="T579" s="4"/>
      <c r="U579" s="4"/>
      <c r="V579" s="4"/>
      <c r="W579" s="4">
        <v>0</v>
      </c>
      <c r="X579" s="4">
        <v>1</v>
      </c>
      <c r="Y579" s="4">
        <v>0</v>
      </c>
      <c r="Z579" s="4"/>
      <c r="AA579" s="4"/>
      <c r="AB579" s="4"/>
    </row>
    <row r="580" spans="1:28" x14ac:dyDescent="0.2">
      <c r="A580" s="4">
        <v>50</v>
      </c>
      <c r="B580" s="4">
        <v>0</v>
      </c>
      <c r="C580" s="4">
        <v>0</v>
      </c>
      <c r="D580" s="4">
        <v>1</v>
      </c>
      <c r="E580" s="4">
        <v>204</v>
      </c>
      <c r="F580" s="4">
        <f>ROUND(Source!R566,O580)</f>
        <v>5557.99</v>
      </c>
      <c r="G580" s="4" t="s">
        <v>70</v>
      </c>
      <c r="H580" s="4" t="s">
        <v>71</v>
      </c>
      <c r="I580" s="4"/>
      <c r="J580" s="4"/>
      <c r="K580" s="4">
        <v>204</v>
      </c>
      <c r="L580" s="4">
        <v>13</v>
      </c>
      <c r="M580" s="4">
        <v>3</v>
      </c>
      <c r="N580" s="4" t="s">
        <v>3</v>
      </c>
      <c r="O580" s="4">
        <v>2</v>
      </c>
      <c r="P580" s="4"/>
      <c r="Q580" s="4"/>
      <c r="R580" s="4"/>
      <c r="S580" s="4"/>
      <c r="T580" s="4"/>
      <c r="U580" s="4"/>
      <c r="V580" s="4"/>
      <c r="W580" s="4">
        <v>5557.63</v>
      </c>
      <c r="X580" s="4">
        <v>1</v>
      </c>
      <c r="Y580" s="4">
        <v>5557.63</v>
      </c>
      <c r="Z580" s="4"/>
      <c r="AA580" s="4"/>
      <c r="AB580" s="4"/>
    </row>
    <row r="581" spans="1:28" x14ac:dyDescent="0.2">
      <c r="A581" s="4">
        <v>50</v>
      </c>
      <c r="B581" s="4">
        <v>0</v>
      </c>
      <c r="C581" s="4">
        <v>0</v>
      </c>
      <c r="D581" s="4">
        <v>1</v>
      </c>
      <c r="E581" s="4">
        <v>205</v>
      </c>
      <c r="F581" s="4">
        <f>ROUND(Source!S566,O581)</f>
        <v>281360.93</v>
      </c>
      <c r="G581" s="4" t="s">
        <v>72</v>
      </c>
      <c r="H581" s="4" t="s">
        <v>73</v>
      </c>
      <c r="I581" s="4"/>
      <c r="J581" s="4"/>
      <c r="K581" s="4">
        <v>205</v>
      </c>
      <c r="L581" s="4">
        <v>14</v>
      </c>
      <c r="M581" s="4">
        <v>3</v>
      </c>
      <c r="N581" s="4" t="s">
        <v>3</v>
      </c>
      <c r="O581" s="4">
        <v>2</v>
      </c>
      <c r="P581" s="4"/>
      <c r="Q581" s="4"/>
      <c r="R581" s="4"/>
      <c r="S581" s="4"/>
      <c r="T581" s="4"/>
      <c r="U581" s="4"/>
      <c r="V581" s="4"/>
      <c r="W581" s="4">
        <v>205465.07</v>
      </c>
      <c r="X581" s="4">
        <v>1</v>
      </c>
      <c r="Y581" s="4">
        <v>205465.07</v>
      </c>
      <c r="Z581" s="4"/>
      <c r="AA581" s="4"/>
      <c r="AB581" s="4"/>
    </row>
    <row r="582" spans="1:28" x14ac:dyDescent="0.2">
      <c r="A582" s="4">
        <v>50</v>
      </c>
      <c r="B582" s="4">
        <v>0</v>
      </c>
      <c r="C582" s="4">
        <v>0</v>
      </c>
      <c r="D582" s="4">
        <v>1</v>
      </c>
      <c r="E582" s="4">
        <v>232</v>
      </c>
      <c r="F582" s="4">
        <f>ROUND(Source!BC566,O582)</f>
        <v>0</v>
      </c>
      <c r="G582" s="4" t="s">
        <v>74</v>
      </c>
      <c r="H582" s="4" t="s">
        <v>75</v>
      </c>
      <c r="I582" s="4"/>
      <c r="J582" s="4"/>
      <c r="K582" s="4">
        <v>232</v>
      </c>
      <c r="L582" s="4">
        <v>15</v>
      </c>
      <c r="M582" s="4">
        <v>3</v>
      </c>
      <c r="N582" s="4" t="s">
        <v>3</v>
      </c>
      <c r="O582" s="4">
        <v>2</v>
      </c>
      <c r="P582" s="4"/>
      <c r="Q582" s="4"/>
      <c r="R582" s="4"/>
      <c r="S582" s="4"/>
      <c r="T582" s="4"/>
      <c r="U582" s="4"/>
      <c r="V582" s="4"/>
      <c r="W582" s="4">
        <v>0</v>
      </c>
      <c r="X582" s="4">
        <v>1</v>
      </c>
      <c r="Y582" s="4">
        <v>0</v>
      </c>
      <c r="Z582" s="4"/>
      <c r="AA582" s="4"/>
      <c r="AB582" s="4"/>
    </row>
    <row r="583" spans="1:28" x14ac:dyDescent="0.2">
      <c r="A583" s="4">
        <v>50</v>
      </c>
      <c r="B583" s="4">
        <v>0</v>
      </c>
      <c r="C583" s="4">
        <v>0</v>
      </c>
      <c r="D583" s="4">
        <v>1</v>
      </c>
      <c r="E583" s="4">
        <v>214</v>
      </c>
      <c r="F583" s="4">
        <f>ROUND(Source!AS566,O583)</f>
        <v>0</v>
      </c>
      <c r="G583" s="4" t="s">
        <v>76</v>
      </c>
      <c r="H583" s="4" t="s">
        <v>77</v>
      </c>
      <c r="I583" s="4"/>
      <c r="J583" s="4"/>
      <c r="K583" s="4">
        <v>214</v>
      </c>
      <c r="L583" s="4">
        <v>16</v>
      </c>
      <c r="M583" s="4">
        <v>3</v>
      </c>
      <c r="N583" s="4" t="s">
        <v>3</v>
      </c>
      <c r="O583" s="4">
        <v>2</v>
      </c>
      <c r="P583" s="4"/>
      <c r="Q583" s="4"/>
      <c r="R583" s="4"/>
      <c r="S583" s="4"/>
      <c r="T583" s="4"/>
      <c r="U583" s="4"/>
      <c r="V583" s="4"/>
      <c r="W583" s="4">
        <v>0</v>
      </c>
      <c r="X583" s="4">
        <v>1</v>
      </c>
      <c r="Y583" s="4">
        <v>0</v>
      </c>
      <c r="Z583" s="4"/>
      <c r="AA583" s="4"/>
      <c r="AB583" s="4"/>
    </row>
    <row r="584" spans="1:28" x14ac:dyDescent="0.2">
      <c r="A584" s="4">
        <v>50</v>
      </c>
      <c r="B584" s="4">
        <v>0</v>
      </c>
      <c r="C584" s="4">
        <v>0</v>
      </c>
      <c r="D584" s="4">
        <v>1</v>
      </c>
      <c r="E584" s="4">
        <v>215</v>
      </c>
      <c r="F584" s="4">
        <f>ROUND(Source!AT566,O584)</f>
        <v>0</v>
      </c>
      <c r="G584" s="4" t="s">
        <v>78</v>
      </c>
      <c r="H584" s="4" t="s">
        <v>79</v>
      </c>
      <c r="I584" s="4"/>
      <c r="J584" s="4"/>
      <c r="K584" s="4">
        <v>215</v>
      </c>
      <c r="L584" s="4">
        <v>17</v>
      </c>
      <c r="M584" s="4">
        <v>3</v>
      </c>
      <c r="N584" s="4" t="s">
        <v>3</v>
      </c>
      <c r="O584" s="4">
        <v>2</v>
      </c>
      <c r="P584" s="4"/>
      <c r="Q584" s="4"/>
      <c r="R584" s="4"/>
      <c r="S584" s="4"/>
      <c r="T584" s="4"/>
      <c r="U584" s="4"/>
      <c r="V584" s="4"/>
      <c r="W584" s="4">
        <v>0</v>
      </c>
      <c r="X584" s="4">
        <v>1</v>
      </c>
      <c r="Y584" s="4">
        <v>0</v>
      </c>
      <c r="Z584" s="4"/>
      <c r="AA584" s="4"/>
      <c r="AB584" s="4"/>
    </row>
    <row r="585" spans="1:28" x14ac:dyDescent="0.2">
      <c r="A585" s="4">
        <v>50</v>
      </c>
      <c r="B585" s="4">
        <v>0</v>
      </c>
      <c r="C585" s="4">
        <v>0</v>
      </c>
      <c r="D585" s="4">
        <v>1</v>
      </c>
      <c r="E585" s="4">
        <v>217</v>
      </c>
      <c r="F585" s="4">
        <f>ROUND(Source!AU566,O585)</f>
        <v>528402.02</v>
      </c>
      <c r="G585" s="4" t="s">
        <v>80</v>
      </c>
      <c r="H585" s="4" t="s">
        <v>81</v>
      </c>
      <c r="I585" s="4"/>
      <c r="J585" s="4"/>
      <c r="K585" s="4">
        <v>217</v>
      </c>
      <c r="L585" s="4">
        <v>18</v>
      </c>
      <c r="M585" s="4">
        <v>3</v>
      </c>
      <c r="N585" s="4" t="s">
        <v>3</v>
      </c>
      <c r="O585" s="4">
        <v>2</v>
      </c>
      <c r="P585" s="4"/>
      <c r="Q585" s="4"/>
      <c r="R585" s="4"/>
      <c r="S585" s="4"/>
      <c r="T585" s="4"/>
      <c r="U585" s="4"/>
      <c r="V585" s="4"/>
      <c r="W585" s="4">
        <v>391115.69</v>
      </c>
      <c r="X585" s="4">
        <v>1</v>
      </c>
      <c r="Y585" s="4">
        <v>391115.69</v>
      </c>
      <c r="Z585" s="4"/>
      <c r="AA585" s="4"/>
      <c r="AB585" s="4"/>
    </row>
    <row r="586" spans="1:28" x14ac:dyDescent="0.2">
      <c r="A586" s="4">
        <v>50</v>
      </c>
      <c r="B586" s="4">
        <v>0</v>
      </c>
      <c r="C586" s="4">
        <v>0</v>
      </c>
      <c r="D586" s="4">
        <v>1</v>
      </c>
      <c r="E586" s="4">
        <v>230</v>
      </c>
      <c r="F586" s="4">
        <f>ROUND(Source!BA566,O586)</f>
        <v>0</v>
      </c>
      <c r="G586" s="4" t="s">
        <v>82</v>
      </c>
      <c r="H586" s="4" t="s">
        <v>83</v>
      </c>
      <c r="I586" s="4"/>
      <c r="J586" s="4"/>
      <c r="K586" s="4">
        <v>230</v>
      </c>
      <c r="L586" s="4">
        <v>19</v>
      </c>
      <c r="M586" s="4">
        <v>3</v>
      </c>
      <c r="N586" s="4" t="s">
        <v>3</v>
      </c>
      <c r="O586" s="4">
        <v>2</v>
      </c>
      <c r="P586" s="4"/>
      <c r="Q586" s="4"/>
      <c r="R586" s="4"/>
      <c r="S586" s="4"/>
      <c r="T586" s="4"/>
      <c r="U586" s="4"/>
      <c r="V586" s="4"/>
      <c r="W586" s="4">
        <v>0</v>
      </c>
      <c r="X586" s="4">
        <v>1</v>
      </c>
      <c r="Y586" s="4">
        <v>0</v>
      </c>
      <c r="Z586" s="4"/>
      <c r="AA586" s="4"/>
      <c r="AB586" s="4"/>
    </row>
    <row r="587" spans="1:28" x14ac:dyDescent="0.2">
      <c r="A587" s="4">
        <v>50</v>
      </c>
      <c r="B587" s="4">
        <v>0</v>
      </c>
      <c r="C587" s="4">
        <v>0</v>
      </c>
      <c r="D587" s="4">
        <v>1</v>
      </c>
      <c r="E587" s="4">
        <v>206</v>
      </c>
      <c r="F587" s="4">
        <f>ROUND(Source!T566,O587)</f>
        <v>0</v>
      </c>
      <c r="G587" s="4" t="s">
        <v>84</v>
      </c>
      <c r="H587" s="4" t="s">
        <v>85</v>
      </c>
      <c r="I587" s="4"/>
      <c r="J587" s="4"/>
      <c r="K587" s="4">
        <v>206</v>
      </c>
      <c r="L587" s="4">
        <v>20</v>
      </c>
      <c r="M587" s="4">
        <v>3</v>
      </c>
      <c r="N587" s="4" t="s">
        <v>3</v>
      </c>
      <c r="O587" s="4">
        <v>2</v>
      </c>
      <c r="P587" s="4"/>
      <c r="Q587" s="4"/>
      <c r="R587" s="4"/>
      <c r="S587" s="4"/>
      <c r="T587" s="4"/>
      <c r="U587" s="4"/>
      <c r="V587" s="4"/>
      <c r="W587" s="4">
        <v>0</v>
      </c>
      <c r="X587" s="4">
        <v>1</v>
      </c>
      <c r="Y587" s="4">
        <v>0</v>
      </c>
      <c r="Z587" s="4"/>
      <c r="AA587" s="4"/>
      <c r="AB587" s="4"/>
    </row>
    <row r="588" spans="1:28" x14ac:dyDescent="0.2">
      <c r="A588" s="4">
        <v>50</v>
      </c>
      <c r="B588" s="4">
        <v>0</v>
      </c>
      <c r="C588" s="4">
        <v>0</v>
      </c>
      <c r="D588" s="4">
        <v>1</v>
      </c>
      <c r="E588" s="4">
        <v>207</v>
      </c>
      <c r="F588" s="4">
        <f>Source!U566</f>
        <v>424.52</v>
      </c>
      <c r="G588" s="4" t="s">
        <v>86</v>
      </c>
      <c r="H588" s="4" t="s">
        <v>87</v>
      </c>
      <c r="I588" s="4"/>
      <c r="J588" s="4"/>
      <c r="K588" s="4">
        <v>207</v>
      </c>
      <c r="L588" s="4">
        <v>21</v>
      </c>
      <c r="M588" s="4">
        <v>3</v>
      </c>
      <c r="N588" s="4" t="s">
        <v>3</v>
      </c>
      <c r="O588" s="4">
        <v>-1</v>
      </c>
      <c r="P588" s="4"/>
      <c r="Q588" s="4"/>
      <c r="R588" s="4"/>
      <c r="S588" s="4"/>
      <c r="T588" s="4"/>
      <c r="U588" s="4"/>
      <c r="V588" s="4"/>
      <c r="W588" s="4">
        <v>309.5</v>
      </c>
      <c r="X588" s="4">
        <v>1</v>
      </c>
      <c r="Y588" s="4">
        <v>309.5</v>
      </c>
      <c r="Z588" s="4"/>
      <c r="AA588" s="4"/>
      <c r="AB588" s="4"/>
    </row>
    <row r="589" spans="1:28" x14ac:dyDescent="0.2">
      <c r="A589" s="4">
        <v>50</v>
      </c>
      <c r="B589" s="4">
        <v>0</v>
      </c>
      <c r="C589" s="4">
        <v>0</v>
      </c>
      <c r="D589" s="4">
        <v>1</v>
      </c>
      <c r="E589" s="4">
        <v>208</v>
      </c>
      <c r="F589" s="4">
        <f>Source!V566</f>
        <v>0</v>
      </c>
      <c r="G589" s="4" t="s">
        <v>88</v>
      </c>
      <c r="H589" s="4" t="s">
        <v>89</v>
      </c>
      <c r="I589" s="4"/>
      <c r="J589" s="4"/>
      <c r="K589" s="4">
        <v>208</v>
      </c>
      <c r="L589" s="4">
        <v>22</v>
      </c>
      <c r="M589" s="4">
        <v>3</v>
      </c>
      <c r="N589" s="4" t="s">
        <v>3</v>
      </c>
      <c r="O589" s="4">
        <v>-1</v>
      </c>
      <c r="P589" s="4"/>
      <c r="Q589" s="4"/>
      <c r="R589" s="4"/>
      <c r="S589" s="4"/>
      <c r="T589" s="4"/>
      <c r="U589" s="4"/>
      <c r="V589" s="4"/>
      <c r="W589" s="4">
        <v>0</v>
      </c>
      <c r="X589" s="4">
        <v>1</v>
      </c>
      <c r="Y589" s="4">
        <v>0</v>
      </c>
      <c r="Z589" s="4"/>
      <c r="AA589" s="4"/>
      <c r="AB589" s="4"/>
    </row>
    <row r="590" spans="1:28" x14ac:dyDescent="0.2">
      <c r="A590" s="4">
        <v>50</v>
      </c>
      <c r="B590" s="4">
        <v>0</v>
      </c>
      <c r="C590" s="4">
        <v>0</v>
      </c>
      <c r="D590" s="4">
        <v>1</v>
      </c>
      <c r="E590" s="4">
        <v>209</v>
      </c>
      <c r="F590" s="4">
        <f>ROUND(Source!W566,O590)</f>
        <v>0</v>
      </c>
      <c r="G590" s="4" t="s">
        <v>90</v>
      </c>
      <c r="H590" s="4" t="s">
        <v>91</v>
      </c>
      <c r="I590" s="4"/>
      <c r="J590" s="4"/>
      <c r="K590" s="4">
        <v>209</v>
      </c>
      <c r="L590" s="4">
        <v>23</v>
      </c>
      <c r="M590" s="4">
        <v>3</v>
      </c>
      <c r="N590" s="4" t="s">
        <v>3</v>
      </c>
      <c r="O590" s="4">
        <v>2</v>
      </c>
      <c r="P590" s="4"/>
      <c r="Q590" s="4"/>
      <c r="R590" s="4"/>
      <c r="S590" s="4"/>
      <c r="T590" s="4"/>
      <c r="U590" s="4"/>
      <c r="V590" s="4"/>
      <c r="W590" s="4">
        <v>0</v>
      </c>
      <c r="X590" s="4">
        <v>1</v>
      </c>
      <c r="Y590" s="4">
        <v>0</v>
      </c>
      <c r="Z590" s="4"/>
      <c r="AA590" s="4"/>
      <c r="AB590" s="4"/>
    </row>
    <row r="591" spans="1:28" x14ac:dyDescent="0.2">
      <c r="A591" s="4">
        <v>50</v>
      </c>
      <c r="B591" s="4">
        <v>0</v>
      </c>
      <c r="C591" s="4">
        <v>0</v>
      </c>
      <c r="D591" s="4">
        <v>1</v>
      </c>
      <c r="E591" s="4">
        <v>233</v>
      </c>
      <c r="F591" s="4">
        <f>ROUND(Source!BD566,O591)</f>
        <v>0</v>
      </c>
      <c r="G591" s="4" t="s">
        <v>92</v>
      </c>
      <c r="H591" s="4" t="s">
        <v>93</v>
      </c>
      <c r="I591" s="4"/>
      <c r="J591" s="4"/>
      <c r="K591" s="4">
        <v>233</v>
      </c>
      <c r="L591" s="4">
        <v>24</v>
      </c>
      <c r="M591" s="4">
        <v>3</v>
      </c>
      <c r="N591" s="4" t="s">
        <v>3</v>
      </c>
      <c r="O591" s="4">
        <v>2</v>
      </c>
      <c r="P591" s="4"/>
      <c r="Q591" s="4"/>
      <c r="R591" s="4"/>
      <c r="S591" s="4"/>
      <c r="T591" s="4"/>
      <c r="U591" s="4"/>
      <c r="V591" s="4"/>
      <c r="W591" s="4">
        <v>0</v>
      </c>
      <c r="X591" s="4">
        <v>1</v>
      </c>
      <c r="Y591" s="4">
        <v>0</v>
      </c>
      <c r="Z591" s="4"/>
      <c r="AA591" s="4"/>
      <c r="AB591" s="4"/>
    </row>
    <row r="592" spans="1:28" x14ac:dyDescent="0.2">
      <c r="A592" s="4">
        <v>50</v>
      </c>
      <c r="B592" s="4">
        <v>0</v>
      </c>
      <c r="C592" s="4">
        <v>0</v>
      </c>
      <c r="D592" s="4">
        <v>1</v>
      </c>
      <c r="E592" s="4">
        <v>210</v>
      </c>
      <c r="F592" s="4">
        <f>ROUND(Source!X566,O592)</f>
        <v>196952.66</v>
      </c>
      <c r="G592" s="4" t="s">
        <v>94</v>
      </c>
      <c r="H592" s="4" t="s">
        <v>95</v>
      </c>
      <c r="I592" s="4"/>
      <c r="J592" s="4"/>
      <c r="K592" s="4">
        <v>210</v>
      </c>
      <c r="L592" s="4">
        <v>25</v>
      </c>
      <c r="M592" s="4">
        <v>3</v>
      </c>
      <c r="N592" s="4" t="s">
        <v>3</v>
      </c>
      <c r="O592" s="4">
        <v>2</v>
      </c>
      <c r="P592" s="4"/>
      <c r="Q592" s="4"/>
      <c r="R592" s="4"/>
      <c r="S592" s="4"/>
      <c r="T592" s="4"/>
      <c r="U592" s="4"/>
      <c r="V592" s="4"/>
      <c r="W592" s="4">
        <v>143825.54999999999</v>
      </c>
      <c r="X592" s="4">
        <v>1</v>
      </c>
      <c r="Y592" s="4">
        <v>143825.54999999999</v>
      </c>
      <c r="Z592" s="4"/>
      <c r="AA592" s="4"/>
      <c r="AB592" s="4"/>
    </row>
    <row r="593" spans="1:245" x14ac:dyDescent="0.2">
      <c r="A593" s="4">
        <v>50</v>
      </c>
      <c r="B593" s="4">
        <v>0</v>
      </c>
      <c r="C593" s="4">
        <v>0</v>
      </c>
      <c r="D593" s="4">
        <v>1</v>
      </c>
      <c r="E593" s="4">
        <v>211</v>
      </c>
      <c r="F593" s="4">
        <f>ROUND(Source!Y566,O593)</f>
        <v>28136.1</v>
      </c>
      <c r="G593" s="4" t="s">
        <v>96</v>
      </c>
      <c r="H593" s="4" t="s">
        <v>97</v>
      </c>
      <c r="I593" s="4"/>
      <c r="J593" s="4"/>
      <c r="K593" s="4">
        <v>211</v>
      </c>
      <c r="L593" s="4">
        <v>26</v>
      </c>
      <c r="M593" s="4">
        <v>3</v>
      </c>
      <c r="N593" s="4" t="s">
        <v>3</v>
      </c>
      <c r="O593" s="4">
        <v>2</v>
      </c>
      <c r="P593" s="4"/>
      <c r="Q593" s="4"/>
      <c r="R593" s="4"/>
      <c r="S593" s="4"/>
      <c r="T593" s="4"/>
      <c r="U593" s="4"/>
      <c r="V593" s="4"/>
      <c r="W593" s="4">
        <v>20546.509999999998</v>
      </c>
      <c r="X593" s="4">
        <v>1</v>
      </c>
      <c r="Y593" s="4">
        <v>20546.509999999998</v>
      </c>
      <c r="Z593" s="4"/>
      <c r="AA593" s="4"/>
      <c r="AB593" s="4"/>
    </row>
    <row r="594" spans="1:245" x14ac:dyDescent="0.2">
      <c r="A594" s="4">
        <v>50</v>
      </c>
      <c r="B594" s="4">
        <v>0</v>
      </c>
      <c r="C594" s="4">
        <v>0</v>
      </c>
      <c r="D594" s="4">
        <v>1</v>
      </c>
      <c r="E594" s="4">
        <v>224</v>
      </c>
      <c r="F594" s="4">
        <f>ROUND(Source!AR566,O594)</f>
        <v>528402.02</v>
      </c>
      <c r="G594" s="4" t="s">
        <v>98</v>
      </c>
      <c r="H594" s="4" t="s">
        <v>99</v>
      </c>
      <c r="I594" s="4"/>
      <c r="J594" s="4"/>
      <c r="K594" s="4">
        <v>224</v>
      </c>
      <c r="L594" s="4">
        <v>27</v>
      </c>
      <c r="M594" s="4">
        <v>3</v>
      </c>
      <c r="N594" s="4" t="s">
        <v>3</v>
      </c>
      <c r="O594" s="4">
        <v>2</v>
      </c>
      <c r="P594" s="4"/>
      <c r="Q594" s="4"/>
      <c r="R594" s="4"/>
      <c r="S594" s="4"/>
      <c r="T594" s="4"/>
      <c r="U594" s="4"/>
      <c r="V594" s="4"/>
      <c r="W594" s="4">
        <v>391115.69</v>
      </c>
      <c r="X594" s="4">
        <v>1</v>
      </c>
      <c r="Y594" s="4">
        <v>391115.69</v>
      </c>
      <c r="Z594" s="4"/>
      <c r="AA594" s="4"/>
      <c r="AB594" s="4"/>
    </row>
    <row r="596" spans="1:245" x14ac:dyDescent="0.2">
      <c r="A596" s="1">
        <v>4</v>
      </c>
      <c r="B596" s="1">
        <v>1</v>
      </c>
      <c r="C596" s="1"/>
      <c r="D596" s="1">
        <f>ROW(A897)</f>
        <v>897</v>
      </c>
      <c r="E596" s="1"/>
      <c r="F596" s="1" t="s">
        <v>13</v>
      </c>
      <c r="G596" s="1" t="s">
        <v>420</v>
      </c>
      <c r="H596" s="1" t="s">
        <v>3</v>
      </c>
      <c r="I596" s="1">
        <v>0</v>
      </c>
      <c r="J596" s="1"/>
      <c r="K596" s="1">
        <v>0</v>
      </c>
      <c r="L596" s="1"/>
      <c r="M596" s="1" t="s">
        <v>3</v>
      </c>
      <c r="N596" s="1"/>
      <c r="O596" s="1"/>
      <c r="P596" s="1"/>
      <c r="Q596" s="1"/>
      <c r="R596" s="1"/>
      <c r="S596" s="1">
        <v>0</v>
      </c>
      <c r="T596" s="1"/>
      <c r="U596" s="1" t="s">
        <v>3</v>
      </c>
      <c r="V596" s="1">
        <v>0</v>
      </c>
      <c r="W596" s="1"/>
      <c r="X596" s="1"/>
      <c r="Y596" s="1"/>
      <c r="Z596" s="1"/>
      <c r="AA596" s="1"/>
      <c r="AB596" s="1" t="s">
        <v>3</v>
      </c>
      <c r="AC596" s="1" t="s">
        <v>3</v>
      </c>
      <c r="AD596" s="1" t="s">
        <v>3</v>
      </c>
      <c r="AE596" s="1" t="s">
        <v>3</v>
      </c>
      <c r="AF596" s="1" t="s">
        <v>3</v>
      </c>
      <c r="AG596" s="1" t="s">
        <v>3</v>
      </c>
      <c r="AH596" s="1"/>
      <c r="AI596" s="1"/>
      <c r="AJ596" s="1"/>
      <c r="AK596" s="1"/>
      <c r="AL596" s="1"/>
      <c r="AM596" s="1"/>
      <c r="AN596" s="1"/>
      <c r="AO596" s="1"/>
      <c r="AP596" s="1" t="s">
        <v>3</v>
      </c>
      <c r="AQ596" s="1" t="s">
        <v>3</v>
      </c>
      <c r="AR596" s="1" t="s">
        <v>3</v>
      </c>
      <c r="AS596" s="1"/>
      <c r="AT596" s="1"/>
      <c r="AU596" s="1"/>
      <c r="AV596" s="1"/>
      <c r="AW596" s="1"/>
      <c r="AX596" s="1"/>
      <c r="AY596" s="1"/>
      <c r="AZ596" s="1" t="s">
        <v>3</v>
      </c>
      <c r="BA596" s="1"/>
      <c r="BB596" s="1" t="s">
        <v>3</v>
      </c>
      <c r="BC596" s="1" t="s">
        <v>3</v>
      </c>
      <c r="BD596" s="1" t="s">
        <v>3</v>
      </c>
      <c r="BE596" s="1" t="s">
        <v>3</v>
      </c>
      <c r="BF596" s="1" t="s">
        <v>3</v>
      </c>
      <c r="BG596" s="1" t="s">
        <v>3</v>
      </c>
      <c r="BH596" s="1" t="s">
        <v>3</v>
      </c>
      <c r="BI596" s="1" t="s">
        <v>3</v>
      </c>
      <c r="BJ596" s="1" t="s">
        <v>3</v>
      </c>
      <c r="BK596" s="1" t="s">
        <v>3</v>
      </c>
      <c r="BL596" s="1" t="s">
        <v>3</v>
      </c>
      <c r="BM596" s="1" t="s">
        <v>3</v>
      </c>
      <c r="BN596" s="1" t="s">
        <v>3</v>
      </c>
      <c r="BO596" s="1" t="s">
        <v>3</v>
      </c>
      <c r="BP596" s="1" t="s">
        <v>3</v>
      </c>
      <c r="BQ596" s="1"/>
      <c r="BR596" s="1"/>
      <c r="BS596" s="1"/>
      <c r="BT596" s="1"/>
      <c r="BU596" s="1"/>
      <c r="BV596" s="1"/>
      <c r="BW596" s="1"/>
      <c r="BX596" s="1">
        <v>0</v>
      </c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>
        <v>0</v>
      </c>
    </row>
    <row r="598" spans="1:245" x14ac:dyDescent="0.2">
      <c r="A598" s="2">
        <v>52</v>
      </c>
      <c r="B598" s="2">
        <f t="shared" ref="B598:G598" si="484">B897</f>
        <v>1</v>
      </c>
      <c r="C598" s="2">
        <f t="shared" si="484"/>
        <v>4</v>
      </c>
      <c r="D598" s="2">
        <f t="shared" si="484"/>
        <v>596</v>
      </c>
      <c r="E598" s="2">
        <f t="shared" si="484"/>
        <v>0</v>
      </c>
      <c r="F598" s="2" t="str">
        <f t="shared" si="484"/>
        <v>Новый раздел</v>
      </c>
      <c r="G598" s="2" t="str">
        <f t="shared" si="484"/>
        <v>Раздел: 4. Системы электроснабжения</v>
      </c>
      <c r="H598" s="2"/>
      <c r="I598" s="2"/>
      <c r="J598" s="2"/>
      <c r="K598" s="2"/>
      <c r="L598" s="2"/>
      <c r="M598" s="2"/>
      <c r="N598" s="2"/>
      <c r="O598" s="2">
        <f t="shared" ref="O598:AT598" si="485">O897</f>
        <v>610378.89</v>
      </c>
      <c r="P598" s="2">
        <f t="shared" si="485"/>
        <v>5961.67</v>
      </c>
      <c r="Q598" s="2">
        <f t="shared" si="485"/>
        <v>208.48</v>
      </c>
      <c r="R598" s="2">
        <f t="shared" si="485"/>
        <v>132.19999999999999</v>
      </c>
      <c r="S598" s="2">
        <f t="shared" si="485"/>
        <v>604208.74</v>
      </c>
      <c r="T598" s="2">
        <f t="shared" si="485"/>
        <v>0</v>
      </c>
      <c r="U598" s="2">
        <f t="shared" si="485"/>
        <v>1019.8537599999999</v>
      </c>
      <c r="V598" s="2">
        <f t="shared" si="485"/>
        <v>0</v>
      </c>
      <c r="W598" s="2">
        <f t="shared" si="485"/>
        <v>0</v>
      </c>
      <c r="X598" s="2">
        <f t="shared" si="485"/>
        <v>422946.12</v>
      </c>
      <c r="Y598" s="2">
        <f t="shared" si="485"/>
        <v>60420.89</v>
      </c>
      <c r="Z598" s="2">
        <f t="shared" si="485"/>
        <v>0</v>
      </c>
      <c r="AA598" s="2">
        <f t="shared" si="485"/>
        <v>0</v>
      </c>
      <c r="AB598" s="2">
        <f t="shared" si="485"/>
        <v>0</v>
      </c>
      <c r="AC598" s="2">
        <f t="shared" si="485"/>
        <v>0</v>
      </c>
      <c r="AD598" s="2">
        <f t="shared" si="485"/>
        <v>0</v>
      </c>
      <c r="AE598" s="2">
        <f t="shared" si="485"/>
        <v>0</v>
      </c>
      <c r="AF598" s="2">
        <f t="shared" si="485"/>
        <v>0</v>
      </c>
      <c r="AG598" s="2">
        <f t="shared" si="485"/>
        <v>0</v>
      </c>
      <c r="AH598" s="2">
        <f t="shared" si="485"/>
        <v>0</v>
      </c>
      <c r="AI598" s="2">
        <f t="shared" si="485"/>
        <v>0</v>
      </c>
      <c r="AJ598" s="2">
        <f t="shared" si="485"/>
        <v>0</v>
      </c>
      <c r="AK598" s="2">
        <f t="shared" si="485"/>
        <v>0</v>
      </c>
      <c r="AL598" s="2">
        <f t="shared" si="485"/>
        <v>0</v>
      </c>
      <c r="AM598" s="2">
        <f t="shared" si="485"/>
        <v>0</v>
      </c>
      <c r="AN598" s="2">
        <f t="shared" si="485"/>
        <v>0</v>
      </c>
      <c r="AO598" s="2">
        <f t="shared" si="485"/>
        <v>0</v>
      </c>
      <c r="AP598" s="2">
        <f t="shared" si="485"/>
        <v>0</v>
      </c>
      <c r="AQ598" s="2">
        <f t="shared" si="485"/>
        <v>0</v>
      </c>
      <c r="AR598" s="2">
        <f t="shared" si="485"/>
        <v>1093888.68</v>
      </c>
      <c r="AS598" s="2">
        <f t="shared" si="485"/>
        <v>0</v>
      </c>
      <c r="AT598" s="2">
        <f t="shared" si="485"/>
        <v>0</v>
      </c>
      <c r="AU598" s="2">
        <f t="shared" ref="AU598:BZ598" si="486">AU897</f>
        <v>1093888.68</v>
      </c>
      <c r="AV598" s="2">
        <f t="shared" si="486"/>
        <v>5961.67</v>
      </c>
      <c r="AW598" s="2">
        <f t="shared" si="486"/>
        <v>5961.67</v>
      </c>
      <c r="AX598" s="2">
        <f t="shared" si="486"/>
        <v>0</v>
      </c>
      <c r="AY598" s="2">
        <f t="shared" si="486"/>
        <v>5961.67</v>
      </c>
      <c r="AZ598" s="2">
        <f t="shared" si="486"/>
        <v>0</v>
      </c>
      <c r="BA598" s="2">
        <f t="shared" si="486"/>
        <v>0</v>
      </c>
      <c r="BB598" s="2">
        <f t="shared" si="486"/>
        <v>0</v>
      </c>
      <c r="BC598" s="2">
        <f t="shared" si="486"/>
        <v>0</v>
      </c>
      <c r="BD598" s="2">
        <f t="shared" si="486"/>
        <v>0</v>
      </c>
      <c r="BE598" s="2">
        <f t="shared" si="486"/>
        <v>0</v>
      </c>
      <c r="BF598" s="2">
        <f t="shared" si="486"/>
        <v>0</v>
      </c>
      <c r="BG598" s="2">
        <f t="shared" si="486"/>
        <v>0</v>
      </c>
      <c r="BH598" s="2">
        <f t="shared" si="486"/>
        <v>0</v>
      </c>
      <c r="BI598" s="2">
        <f t="shared" si="486"/>
        <v>0</v>
      </c>
      <c r="BJ598" s="2">
        <f t="shared" si="486"/>
        <v>0</v>
      </c>
      <c r="BK598" s="2">
        <f t="shared" si="486"/>
        <v>0</v>
      </c>
      <c r="BL598" s="2">
        <f t="shared" si="486"/>
        <v>0</v>
      </c>
      <c r="BM598" s="2">
        <f t="shared" si="486"/>
        <v>0</v>
      </c>
      <c r="BN598" s="2">
        <f t="shared" si="486"/>
        <v>0</v>
      </c>
      <c r="BO598" s="2">
        <f t="shared" si="486"/>
        <v>0</v>
      </c>
      <c r="BP598" s="2">
        <f t="shared" si="486"/>
        <v>0</v>
      </c>
      <c r="BQ598" s="2">
        <f t="shared" si="486"/>
        <v>0</v>
      </c>
      <c r="BR598" s="2">
        <f t="shared" si="486"/>
        <v>0</v>
      </c>
      <c r="BS598" s="2">
        <f t="shared" si="486"/>
        <v>0</v>
      </c>
      <c r="BT598" s="2">
        <f t="shared" si="486"/>
        <v>0</v>
      </c>
      <c r="BU598" s="2">
        <f t="shared" si="486"/>
        <v>0</v>
      </c>
      <c r="BV598" s="2">
        <f t="shared" si="486"/>
        <v>0</v>
      </c>
      <c r="BW598" s="2">
        <f t="shared" si="486"/>
        <v>0</v>
      </c>
      <c r="BX598" s="2">
        <f t="shared" si="486"/>
        <v>0</v>
      </c>
      <c r="BY598" s="2">
        <f t="shared" si="486"/>
        <v>0</v>
      </c>
      <c r="BZ598" s="2">
        <f t="shared" si="486"/>
        <v>0</v>
      </c>
      <c r="CA598" s="2">
        <f t="shared" ref="CA598:DF598" si="487">CA897</f>
        <v>0</v>
      </c>
      <c r="CB598" s="2">
        <f t="shared" si="487"/>
        <v>0</v>
      </c>
      <c r="CC598" s="2">
        <f t="shared" si="487"/>
        <v>0</v>
      </c>
      <c r="CD598" s="2">
        <f t="shared" si="487"/>
        <v>0</v>
      </c>
      <c r="CE598" s="2">
        <f t="shared" si="487"/>
        <v>0</v>
      </c>
      <c r="CF598" s="2">
        <f t="shared" si="487"/>
        <v>0</v>
      </c>
      <c r="CG598" s="2">
        <f t="shared" si="487"/>
        <v>0</v>
      </c>
      <c r="CH598" s="2">
        <f t="shared" si="487"/>
        <v>0</v>
      </c>
      <c r="CI598" s="2">
        <f t="shared" si="487"/>
        <v>0</v>
      </c>
      <c r="CJ598" s="2">
        <f t="shared" si="487"/>
        <v>0</v>
      </c>
      <c r="CK598" s="2">
        <f t="shared" si="487"/>
        <v>0</v>
      </c>
      <c r="CL598" s="2">
        <f t="shared" si="487"/>
        <v>0</v>
      </c>
      <c r="CM598" s="2">
        <f t="shared" si="487"/>
        <v>0</v>
      </c>
      <c r="CN598" s="2">
        <f t="shared" si="487"/>
        <v>0</v>
      </c>
      <c r="CO598" s="2">
        <f t="shared" si="487"/>
        <v>0</v>
      </c>
      <c r="CP598" s="2">
        <f t="shared" si="487"/>
        <v>0</v>
      </c>
      <c r="CQ598" s="2">
        <f t="shared" si="487"/>
        <v>0</v>
      </c>
      <c r="CR598" s="2">
        <f t="shared" si="487"/>
        <v>0</v>
      </c>
      <c r="CS598" s="2">
        <f t="shared" si="487"/>
        <v>0</v>
      </c>
      <c r="CT598" s="2">
        <f t="shared" si="487"/>
        <v>0</v>
      </c>
      <c r="CU598" s="2">
        <f t="shared" si="487"/>
        <v>0</v>
      </c>
      <c r="CV598" s="2">
        <f t="shared" si="487"/>
        <v>0</v>
      </c>
      <c r="CW598" s="2">
        <f t="shared" si="487"/>
        <v>0</v>
      </c>
      <c r="CX598" s="2">
        <f t="shared" si="487"/>
        <v>0</v>
      </c>
      <c r="CY598" s="2">
        <f t="shared" si="487"/>
        <v>0</v>
      </c>
      <c r="CZ598" s="2">
        <f t="shared" si="487"/>
        <v>0</v>
      </c>
      <c r="DA598" s="2">
        <f t="shared" si="487"/>
        <v>0</v>
      </c>
      <c r="DB598" s="2">
        <f t="shared" si="487"/>
        <v>0</v>
      </c>
      <c r="DC598" s="2">
        <f t="shared" si="487"/>
        <v>0</v>
      </c>
      <c r="DD598" s="2">
        <f t="shared" si="487"/>
        <v>0</v>
      </c>
      <c r="DE598" s="2">
        <f t="shared" si="487"/>
        <v>0</v>
      </c>
      <c r="DF598" s="2">
        <f t="shared" si="487"/>
        <v>0</v>
      </c>
      <c r="DG598" s="3">
        <f t="shared" ref="DG598:EL598" si="488">DG897</f>
        <v>0</v>
      </c>
      <c r="DH598" s="3">
        <f t="shared" si="488"/>
        <v>0</v>
      </c>
      <c r="DI598" s="3">
        <f t="shared" si="488"/>
        <v>0</v>
      </c>
      <c r="DJ598" s="3">
        <f t="shared" si="488"/>
        <v>0</v>
      </c>
      <c r="DK598" s="3">
        <f t="shared" si="488"/>
        <v>0</v>
      </c>
      <c r="DL598" s="3">
        <f t="shared" si="488"/>
        <v>0</v>
      </c>
      <c r="DM598" s="3">
        <f t="shared" si="488"/>
        <v>0</v>
      </c>
      <c r="DN598" s="3">
        <f t="shared" si="488"/>
        <v>0</v>
      </c>
      <c r="DO598" s="3">
        <f t="shared" si="488"/>
        <v>0</v>
      </c>
      <c r="DP598" s="3">
        <f t="shared" si="488"/>
        <v>0</v>
      </c>
      <c r="DQ598" s="3">
        <f t="shared" si="488"/>
        <v>0</v>
      </c>
      <c r="DR598" s="3">
        <f t="shared" si="488"/>
        <v>0</v>
      </c>
      <c r="DS598" s="3">
        <f t="shared" si="488"/>
        <v>0</v>
      </c>
      <c r="DT598" s="3">
        <f t="shared" si="488"/>
        <v>0</v>
      </c>
      <c r="DU598" s="3">
        <f t="shared" si="488"/>
        <v>0</v>
      </c>
      <c r="DV598" s="3">
        <f t="shared" si="488"/>
        <v>0</v>
      </c>
      <c r="DW598" s="3">
        <f t="shared" si="488"/>
        <v>0</v>
      </c>
      <c r="DX598" s="3">
        <f t="shared" si="488"/>
        <v>0</v>
      </c>
      <c r="DY598" s="3">
        <f t="shared" si="488"/>
        <v>0</v>
      </c>
      <c r="DZ598" s="3">
        <f t="shared" si="488"/>
        <v>0</v>
      </c>
      <c r="EA598" s="3">
        <f t="shared" si="488"/>
        <v>0</v>
      </c>
      <c r="EB598" s="3">
        <f t="shared" si="488"/>
        <v>0</v>
      </c>
      <c r="EC598" s="3">
        <f t="shared" si="488"/>
        <v>0</v>
      </c>
      <c r="ED598" s="3">
        <f t="shared" si="488"/>
        <v>0</v>
      </c>
      <c r="EE598" s="3">
        <f t="shared" si="488"/>
        <v>0</v>
      </c>
      <c r="EF598" s="3">
        <f t="shared" si="488"/>
        <v>0</v>
      </c>
      <c r="EG598" s="3">
        <f t="shared" si="488"/>
        <v>0</v>
      </c>
      <c r="EH598" s="3">
        <f t="shared" si="488"/>
        <v>0</v>
      </c>
      <c r="EI598" s="3">
        <f t="shared" si="488"/>
        <v>0</v>
      </c>
      <c r="EJ598" s="3">
        <f t="shared" si="488"/>
        <v>0</v>
      </c>
      <c r="EK598" s="3">
        <f t="shared" si="488"/>
        <v>0</v>
      </c>
      <c r="EL598" s="3">
        <f t="shared" si="488"/>
        <v>0</v>
      </c>
      <c r="EM598" s="3">
        <f t="shared" ref="EM598:FR598" si="489">EM897</f>
        <v>0</v>
      </c>
      <c r="EN598" s="3">
        <f t="shared" si="489"/>
        <v>0</v>
      </c>
      <c r="EO598" s="3">
        <f t="shared" si="489"/>
        <v>0</v>
      </c>
      <c r="EP598" s="3">
        <f t="shared" si="489"/>
        <v>0</v>
      </c>
      <c r="EQ598" s="3">
        <f t="shared" si="489"/>
        <v>0</v>
      </c>
      <c r="ER598" s="3">
        <f t="shared" si="489"/>
        <v>0</v>
      </c>
      <c r="ES598" s="3">
        <f t="shared" si="489"/>
        <v>0</v>
      </c>
      <c r="ET598" s="3">
        <f t="shared" si="489"/>
        <v>0</v>
      </c>
      <c r="EU598" s="3">
        <f t="shared" si="489"/>
        <v>0</v>
      </c>
      <c r="EV598" s="3">
        <f t="shared" si="489"/>
        <v>0</v>
      </c>
      <c r="EW598" s="3">
        <f t="shared" si="489"/>
        <v>0</v>
      </c>
      <c r="EX598" s="3">
        <f t="shared" si="489"/>
        <v>0</v>
      </c>
      <c r="EY598" s="3">
        <f t="shared" si="489"/>
        <v>0</v>
      </c>
      <c r="EZ598" s="3">
        <f t="shared" si="489"/>
        <v>0</v>
      </c>
      <c r="FA598" s="3">
        <f t="shared" si="489"/>
        <v>0</v>
      </c>
      <c r="FB598" s="3">
        <f t="shared" si="489"/>
        <v>0</v>
      </c>
      <c r="FC598" s="3">
        <f t="shared" si="489"/>
        <v>0</v>
      </c>
      <c r="FD598" s="3">
        <f t="shared" si="489"/>
        <v>0</v>
      </c>
      <c r="FE598" s="3">
        <f t="shared" si="489"/>
        <v>0</v>
      </c>
      <c r="FF598" s="3">
        <f t="shared" si="489"/>
        <v>0</v>
      </c>
      <c r="FG598" s="3">
        <f t="shared" si="489"/>
        <v>0</v>
      </c>
      <c r="FH598" s="3">
        <f t="shared" si="489"/>
        <v>0</v>
      </c>
      <c r="FI598" s="3">
        <f t="shared" si="489"/>
        <v>0</v>
      </c>
      <c r="FJ598" s="3">
        <f t="shared" si="489"/>
        <v>0</v>
      </c>
      <c r="FK598" s="3">
        <f t="shared" si="489"/>
        <v>0</v>
      </c>
      <c r="FL598" s="3">
        <f t="shared" si="489"/>
        <v>0</v>
      </c>
      <c r="FM598" s="3">
        <f t="shared" si="489"/>
        <v>0</v>
      </c>
      <c r="FN598" s="3">
        <f t="shared" si="489"/>
        <v>0</v>
      </c>
      <c r="FO598" s="3">
        <f t="shared" si="489"/>
        <v>0</v>
      </c>
      <c r="FP598" s="3">
        <f t="shared" si="489"/>
        <v>0</v>
      </c>
      <c r="FQ598" s="3">
        <f t="shared" si="489"/>
        <v>0</v>
      </c>
      <c r="FR598" s="3">
        <f t="shared" si="489"/>
        <v>0</v>
      </c>
      <c r="FS598" s="3">
        <f t="shared" ref="FS598:GX598" si="490">FS897</f>
        <v>0</v>
      </c>
      <c r="FT598" s="3">
        <f t="shared" si="490"/>
        <v>0</v>
      </c>
      <c r="FU598" s="3">
        <f t="shared" si="490"/>
        <v>0</v>
      </c>
      <c r="FV598" s="3">
        <f t="shared" si="490"/>
        <v>0</v>
      </c>
      <c r="FW598" s="3">
        <f t="shared" si="490"/>
        <v>0</v>
      </c>
      <c r="FX598" s="3">
        <f t="shared" si="490"/>
        <v>0</v>
      </c>
      <c r="FY598" s="3">
        <f t="shared" si="490"/>
        <v>0</v>
      </c>
      <c r="FZ598" s="3">
        <f t="shared" si="490"/>
        <v>0</v>
      </c>
      <c r="GA598" s="3">
        <f t="shared" si="490"/>
        <v>0</v>
      </c>
      <c r="GB598" s="3">
        <f t="shared" si="490"/>
        <v>0</v>
      </c>
      <c r="GC598" s="3">
        <f t="shared" si="490"/>
        <v>0</v>
      </c>
      <c r="GD598" s="3">
        <f t="shared" si="490"/>
        <v>0</v>
      </c>
      <c r="GE598" s="3">
        <f t="shared" si="490"/>
        <v>0</v>
      </c>
      <c r="GF598" s="3">
        <f t="shared" si="490"/>
        <v>0</v>
      </c>
      <c r="GG598" s="3">
        <f t="shared" si="490"/>
        <v>0</v>
      </c>
      <c r="GH598" s="3">
        <f t="shared" si="490"/>
        <v>0</v>
      </c>
      <c r="GI598" s="3">
        <f t="shared" si="490"/>
        <v>0</v>
      </c>
      <c r="GJ598" s="3">
        <f t="shared" si="490"/>
        <v>0</v>
      </c>
      <c r="GK598" s="3">
        <f t="shared" si="490"/>
        <v>0</v>
      </c>
      <c r="GL598" s="3">
        <f t="shared" si="490"/>
        <v>0</v>
      </c>
      <c r="GM598" s="3">
        <f t="shared" si="490"/>
        <v>0</v>
      </c>
      <c r="GN598" s="3">
        <f t="shared" si="490"/>
        <v>0</v>
      </c>
      <c r="GO598" s="3">
        <f t="shared" si="490"/>
        <v>0</v>
      </c>
      <c r="GP598" s="3">
        <f t="shared" si="490"/>
        <v>0</v>
      </c>
      <c r="GQ598" s="3">
        <f t="shared" si="490"/>
        <v>0</v>
      </c>
      <c r="GR598" s="3">
        <f t="shared" si="490"/>
        <v>0</v>
      </c>
      <c r="GS598" s="3">
        <f t="shared" si="490"/>
        <v>0</v>
      </c>
      <c r="GT598" s="3">
        <f t="shared" si="490"/>
        <v>0</v>
      </c>
      <c r="GU598" s="3">
        <f t="shared" si="490"/>
        <v>0</v>
      </c>
      <c r="GV598" s="3">
        <f t="shared" si="490"/>
        <v>0</v>
      </c>
      <c r="GW598" s="3">
        <f t="shared" si="490"/>
        <v>0</v>
      </c>
      <c r="GX598" s="3">
        <f t="shared" si="490"/>
        <v>0</v>
      </c>
    </row>
    <row r="600" spans="1:245" x14ac:dyDescent="0.2">
      <c r="A600" s="1">
        <v>5</v>
      </c>
      <c r="B600" s="1">
        <v>1</v>
      </c>
      <c r="C600" s="1"/>
      <c r="D600" s="1">
        <f>ROW(A641)</f>
        <v>641</v>
      </c>
      <c r="E600" s="1"/>
      <c r="F600" s="1" t="s">
        <v>15</v>
      </c>
      <c r="G600" s="1" t="s">
        <v>421</v>
      </c>
      <c r="H600" s="1" t="s">
        <v>3</v>
      </c>
      <c r="I600" s="1">
        <v>0</v>
      </c>
      <c r="J600" s="1"/>
      <c r="K600" s="1">
        <v>0</v>
      </c>
      <c r="L600" s="1"/>
      <c r="M600" s="1" t="s">
        <v>3</v>
      </c>
      <c r="N600" s="1"/>
      <c r="O600" s="1"/>
      <c r="P600" s="1"/>
      <c r="Q600" s="1"/>
      <c r="R600" s="1"/>
      <c r="S600" s="1">
        <v>0</v>
      </c>
      <c r="T600" s="1"/>
      <c r="U600" s="1" t="s">
        <v>3</v>
      </c>
      <c r="V600" s="1">
        <v>0</v>
      </c>
      <c r="W600" s="1"/>
      <c r="X600" s="1"/>
      <c r="Y600" s="1"/>
      <c r="Z600" s="1"/>
      <c r="AA600" s="1"/>
      <c r="AB600" s="1" t="s">
        <v>3</v>
      </c>
      <c r="AC600" s="1" t="s">
        <v>3</v>
      </c>
      <c r="AD600" s="1" t="s">
        <v>3</v>
      </c>
      <c r="AE600" s="1" t="s">
        <v>3</v>
      </c>
      <c r="AF600" s="1" t="s">
        <v>3</v>
      </c>
      <c r="AG600" s="1" t="s">
        <v>3</v>
      </c>
      <c r="AH600" s="1"/>
      <c r="AI600" s="1"/>
      <c r="AJ600" s="1"/>
      <c r="AK600" s="1"/>
      <c r="AL600" s="1"/>
      <c r="AM600" s="1"/>
      <c r="AN600" s="1"/>
      <c r="AO600" s="1"/>
      <c r="AP600" s="1" t="s">
        <v>3</v>
      </c>
      <c r="AQ600" s="1" t="s">
        <v>3</v>
      </c>
      <c r="AR600" s="1" t="s">
        <v>3</v>
      </c>
      <c r="AS600" s="1"/>
      <c r="AT600" s="1"/>
      <c r="AU600" s="1"/>
      <c r="AV600" s="1"/>
      <c r="AW600" s="1"/>
      <c r="AX600" s="1"/>
      <c r="AY600" s="1"/>
      <c r="AZ600" s="1" t="s">
        <v>3</v>
      </c>
      <c r="BA600" s="1"/>
      <c r="BB600" s="1" t="s">
        <v>3</v>
      </c>
      <c r="BC600" s="1" t="s">
        <v>3</v>
      </c>
      <c r="BD600" s="1" t="s">
        <v>3</v>
      </c>
      <c r="BE600" s="1" t="s">
        <v>3</v>
      </c>
      <c r="BF600" s="1" t="s">
        <v>3</v>
      </c>
      <c r="BG600" s="1" t="s">
        <v>3</v>
      </c>
      <c r="BH600" s="1" t="s">
        <v>3</v>
      </c>
      <c r="BI600" s="1" t="s">
        <v>3</v>
      </c>
      <c r="BJ600" s="1" t="s">
        <v>3</v>
      </c>
      <c r="BK600" s="1" t="s">
        <v>3</v>
      </c>
      <c r="BL600" s="1" t="s">
        <v>3</v>
      </c>
      <c r="BM600" s="1" t="s">
        <v>3</v>
      </c>
      <c r="BN600" s="1" t="s">
        <v>3</v>
      </c>
      <c r="BO600" s="1" t="s">
        <v>3</v>
      </c>
      <c r="BP600" s="1" t="s">
        <v>3</v>
      </c>
      <c r="BQ600" s="1"/>
      <c r="BR600" s="1"/>
      <c r="BS600" s="1"/>
      <c r="BT600" s="1"/>
      <c r="BU600" s="1"/>
      <c r="BV600" s="1"/>
      <c r="BW600" s="1"/>
      <c r="BX600" s="1">
        <v>0</v>
      </c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>
        <v>0</v>
      </c>
    </row>
    <row r="602" spans="1:245" x14ac:dyDescent="0.2">
      <c r="A602" s="2">
        <v>52</v>
      </c>
      <c r="B602" s="2">
        <f t="shared" ref="B602:G602" si="491">B641</f>
        <v>1</v>
      </c>
      <c r="C602" s="2">
        <f t="shared" si="491"/>
        <v>5</v>
      </c>
      <c r="D602" s="2">
        <f t="shared" si="491"/>
        <v>600</v>
      </c>
      <c r="E602" s="2">
        <f t="shared" si="491"/>
        <v>0</v>
      </c>
      <c r="F602" s="2" t="str">
        <f t="shared" si="491"/>
        <v>Новый подраздел</v>
      </c>
      <c r="G602" s="2" t="str">
        <f t="shared" si="491"/>
        <v>Силовое электрооборудование</v>
      </c>
      <c r="H602" s="2"/>
      <c r="I602" s="2"/>
      <c r="J602" s="2"/>
      <c r="K602" s="2"/>
      <c r="L602" s="2"/>
      <c r="M602" s="2"/>
      <c r="N602" s="2"/>
      <c r="O602" s="2">
        <f t="shared" ref="O602:AT602" si="492">O641</f>
        <v>254521.14</v>
      </c>
      <c r="P602" s="2">
        <f t="shared" si="492"/>
        <v>3234.53</v>
      </c>
      <c r="Q602" s="2">
        <f t="shared" si="492"/>
        <v>0</v>
      </c>
      <c r="R602" s="2">
        <f t="shared" si="492"/>
        <v>0</v>
      </c>
      <c r="S602" s="2">
        <f t="shared" si="492"/>
        <v>251286.61</v>
      </c>
      <c r="T602" s="2">
        <f t="shared" si="492"/>
        <v>0</v>
      </c>
      <c r="U602" s="2">
        <f t="shared" si="492"/>
        <v>406.14055199999996</v>
      </c>
      <c r="V602" s="2">
        <f t="shared" si="492"/>
        <v>0</v>
      </c>
      <c r="W602" s="2">
        <f t="shared" si="492"/>
        <v>0</v>
      </c>
      <c r="X602" s="2">
        <f t="shared" si="492"/>
        <v>175900.62</v>
      </c>
      <c r="Y602" s="2">
        <f t="shared" si="492"/>
        <v>25128.66</v>
      </c>
      <c r="Z602" s="2">
        <f t="shared" si="492"/>
        <v>0</v>
      </c>
      <c r="AA602" s="2">
        <f t="shared" si="492"/>
        <v>0</v>
      </c>
      <c r="AB602" s="2">
        <f t="shared" si="492"/>
        <v>254521.14</v>
      </c>
      <c r="AC602" s="2">
        <f t="shared" si="492"/>
        <v>3234.53</v>
      </c>
      <c r="AD602" s="2">
        <f t="shared" si="492"/>
        <v>0</v>
      </c>
      <c r="AE602" s="2">
        <f t="shared" si="492"/>
        <v>0</v>
      </c>
      <c r="AF602" s="2">
        <f t="shared" si="492"/>
        <v>251286.61</v>
      </c>
      <c r="AG602" s="2">
        <f t="shared" si="492"/>
        <v>0</v>
      </c>
      <c r="AH602" s="2">
        <f t="shared" si="492"/>
        <v>406.14055199999996</v>
      </c>
      <c r="AI602" s="2">
        <f t="shared" si="492"/>
        <v>0</v>
      </c>
      <c r="AJ602" s="2">
        <f t="shared" si="492"/>
        <v>0</v>
      </c>
      <c r="AK602" s="2">
        <f t="shared" si="492"/>
        <v>175900.62</v>
      </c>
      <c r="AL602" s="2">
        <f t="shared" si="492"/>
        <v>25128.66</v>
      </c>
      <c r="AM602" s="2">
        <f t="shared" si="492"/>
        <v>0</v>
      </c>
      <c r="AN602" s="2">
        <f t="shared" si="492"/>
        <v>0</v>
      </c>
      <c r="AO602" s="2">
        <f t="shared" si="492"/>
        <v>0</v>
      </c>
      <c r="AP602" s="2">
        <f t="shared" si="492"/>
        <v>0</v>
      </c>
      <c r="AQ602" s="2">
        <f t="shared" si="492"/>
        <v>0</v>
      </c>
      <c r="AR602" s="2">
        <f t="shared" si="492"/>
        <v>455550.42</v>
      </c>
      <c r="AS602" s="2">
        <f t="shared" si="492"/>
        <v>0</v>
      </c>
      <c r="AT602" s="2">
        <f t="shared" si="492"/>
        <v>0</v>
      </c>
      <c r="AU602" s="2">
        <f t="shared" ref="AU602:BZ602" si="493">AU641</f>
        <v>455550.42</v>
      </c>
      <c r="AV602" s="2">
        <f t="shared" si="493"/>
        <v>3234.53</v>
      </c>
      <c r="AW602" s="2">
        <f t="shared" si="493"/>
        <v>3234.53</v>
      </c>
      <c r="AX602" s="2">
        <f t="shared" si="493"/>
        <v>0</v>
      </c>
      <c r="AY602" s="2">
        <f t="shared" si="493"/>
        <v>3234.53</v>
      </c>
      <c r="AZ602" s="2">
        <f t="shared" si="493"/>
        <v>0</v>
      </c>
      <c r="BA602" s="2">
        <f t="shared" si="493"/>
        <v>0</v>
      </c>
      <c r="BB602" s="2">
        <f t="shared" si="493"/>
        <v>0</v>
      </c>
      <c r="BC602" s="2">
        <f t="shared" si="493"/>
        <v>0</v>
      </c>
      <c r="BD602" s="2">
        <f t="shared" si="493"/>
        <v>0</v>
      </c>
      <c r="BE602" s="2">
        <f t="shared" si="493"/>
        <v>0</v>
      </c>
      <c r="BF602" s="2">
        <f t="shared" si="493"/>
        <v>0</v>
      </c>
      <c r="BG602" s="2">
        <f t="shared" si="493"/>
        <v>0</v>
      </c>
      <c r="BH602" s="2">
        <f t="shared" si="493"/>
        <v>0</v>
      </c>
      <c r="BI602" s="2">
        <f t="shared" si="493"/>
        <v>0</v>
      </c>
      <c r="BJ602" s="2">
        <f t="shared" si="493"/>
        <v>0</v>
      </c>
      <c r="BK602" s="2">
        <f t="shared" si="493"/>
        <v>0</v>
      </c>
      <c r="BL602" s="2">
        <f t="shared" si="493"/>
        <v>0</v>
      </c>
      <c r="BM602" s="2">
        <f t="shared" si="493"/>
        <v>0</v>
      </c>
      <c r="BN602" s="2">
        <f t="shared" si="493"/>
        <v>0</v>
      </c>
      <c r="BO602" s="2">
        <f t="shared" si="493"/>
        <v>0</v>
      </c>
      <c r="BP602" s="2">
        <f t="shared" si="493"/>
        <v>0</v>
      </c>
      <c r="BQ602" s="2">
        <f t="shared" si="493"/>
        <v>0</v>
      </c>
      <c r="BR602" s="2">
        <f t="shared" si="493"/>
        <v>0</v>
      </c>
      <c r="BS602" s="2">
        <f t="shared" si="493"/>
        <v>0</v>
      </c>
      <c r="BT602" s="2">
        <f t="shared" si="493"/>
        <v>0</v>
      </c>
      <c r="BU602" s="2">
        <f t="shared" si="493"/>
        <v>0</v>
      </c>
      <c r="BV602" s="2">
        <f t="shared" si="493"/>
        <v>0</v>
      </c>
      <c r="BW602" s="2">
        <f t="shared" si="493"/>
        <v>0</v>
      </c>
      <c r="BX602" s="2">
        <f t="shared" si="493"/>
        <v>0</v>
      </c>
      <c r="BY602" s="2">
        <f t="shared" si="493"/>
        <v>0</v>
      </c>
      <c r="BZ602" s="2">
        <f t="shared" si="493"/>
        <v>0</v>
      </c>
      <c r="CA602" s="2">
        <f t="shared" ref="CA602:DF602" si="494">CA641</f>
        <v>455550.42</v>
      </c>
      <c r="CB602" s="2">
        <f t="shared" si="494"/>
        <v>0</v>
      </c>
      <c r="CC602" s="2">
        <f t="shared" si="494"/>
        <v>0</v>
      </c>
      <c r="CD602" s="2">
        <f t="shared" si="494"/>
        <v>455550.42</v>
      </c>
      <c r="CE602" s="2">
        <f t="shared" si="494"/>
        <v>3234.53</v>
      </c>
      <c r="CF602" s="2">
        <f t="shared" si="494"/>
        <v>3234.53</v>
      </c>
      <c r="CG602" s="2">
        <f t="shared" si="494"/>
        <v>0</v>
      </c>
      <c r="CH602" s="2">
        <f t="shared" si="494"/>
        <v>3234.53</v>
      </c>
      <c r="CI602" s="2">
        <f t="shared" si="494"/>
        <v>0</v>
      </c>
      <c r="CJ602" s="2">
        <f t="shared" si="494"/>
        <v>0</v>
      </c>
      <c r="CK602" s="2">
        <f t="shared" si="494"/>
        <v>0</v>
      </c>
      <c r="CL602" s="2">
        <f t="shared" si="494"/>
        <v>0</v>
      </c>
      <c r="CM602" s="2">
        <f t="shared" si="494"/>
        <v>0</v>
      </c>
      <c r="CN602" s="2">
        <f t="shared" si="494"/>
        <v>0</v>
      </c>
      <c r="CO602" s="2">
        <f t="shared" si="494"/>
        <v>0</v>
      </c>
      <c r="CP602" s="2">
        <f t="shared" si="494"/>
        <v>0</v>
      </c>
      <c r="CQ602" s="2">
        <f t="shared" si="494"/>
        <v>0</v>
      </c>
      <c r="CR602" s="2">
        <f t="shared" si="494"/>
        <v>0</v>
      </c>
      <c r="CS602" s="2">
        <f t="shared" si="494"/>
        <v>0</v>
      </c>
      <c r="CT602" s="2">
        <f t="shared" si="494"/>
        <v>0</v>
      </c>
      <c r="CU602" s="2">
        <f t="shared" si="494"/>
        <v>0</v>
      </c>
      <c r="CV602" s="2">
        <f t="shared" si="494"/>
        <v>0</v>
      </c>
      <c r="CW602" s="2">
        <f t="shared" si="494"/>
        <v>0</v>
      </c>
      <c r="CX602" s="2">
        <f t="shared" si="494"/>
        <v>0</v>
      </c>
      <c r="CY602" s="2">
        <f t="shared" si="494"/>
        <v>0</v>
      </c>
      <c r="CZ602" s="2">
        <f t="shared" si="494"/>
        <v>0</v>
      </c>
      <c r="DA602" s="2">
        <f t="shared" si="494"/>
        <v>0</v>
      </c>
      <c r="DB602" s="2">
        <f t="shared" si="494"/>
        <v>0</v>
      </c>
      <c r="DC602" s="2">
        <f t="shared" si="494"/>
        <v>0</v>
      </c>
      <c r="DD602" s="2">
        <f t="shared" si="494"/>
        <v>0</v>
      </c>
      <c r="DE602" s="2">
        <f t="shared" si="494"/>
        <v>0</v>
      </c>
      <c r="DF602" s="2">
        <f t="shared" si="494"/>
        <v>0</v>
      </c>
      <c r="DG602" s="3">
        <f t="shared" ref="DG602:EL602" si="495">DG641</f>
        <v>0</v>
      </c>
      <c r="DH602" s="3">
        <f t="shared" si="495"/>
        <v>0</v>
      </c>
      <c r="DI602" s="3">
        <f t="shared" si="495"/>
        <v>0</v>
      </c>
      <c r="DJ602" s="3">
        <f t="shared" si="495"/>
        <v>0</v>
      </c>
      <c r="DK602" s="3">
        <f t="shared" si="495"/>
        <v>0</v>
      </c>
      <c r="DL602" s="3">
        <f t="shared" si="495"/>
        <v>0</v>
      </c>
      <c r="DM602" s="3">
        <f t="shared" si="495"/>
        <v>0</v>
      </c>
      <c r="DN602" s="3">
        <f t="shared" si="495"/>
        <v>0</v>
      </c>
      <c r="DO602" s="3">
        <f t="shared" si="495"/>
        <v>0</v>
      </c>
      <c r="DP602" s="3">
        <f t="shared" si="495"/>
        <v>0</v>
      </c>
      <c r="DQ602" s="3">
        <f t="shared" si="495"/>
        <v>0</v>
      </c>
      <c r="DR602" s="3">
        <f t="shared" si="495"/>
        <v>0</v>
      </c>
      <c r="DS602" s="3">
        <f t="shared" si="495"/>
        <v>0</v>
      </c>
      <c r="DT602" s="3">
        <f t="shared" si="495"/>
        <v>0</v>
      </c>
      <c r="DU602" s="3">
        <f t="shared" si="495"/>
        <v>0</v>
      </c>
      <c r="DV602" s="3">
        <f t="shared" si="495"/>
        <v>0</v>
      </c>
      <c r="DW602" s="3">
        <f t="shared" si="495"/>
        <v>0</v>
      </c>
      <c r="DX602" s="3">
        <f t="shared" si="495"/>
        <v>0</v>
      </c>
      <c r="DY602" s="3">
        <f t="shared" si="495"/>
        <v>0</v>
      </c>
      <c r="DZ602" s="3">
        <f t="shared" si="495"/>
        <v>0</v>
      </c>
      <c r="EA602" s="3">
        <f t="shared" si="495"/>
        <v>0</v>
      </c>
      <c r="EB602" s="3">
        <f t="shared" si="495"/>
        <v>0</v>
      </c>
      <c r="EC602" s="3">
        <f t="shared" si="495"/>
        <v>0</v>
      </c>
      <c r="ED602" s="3">
        <f t="shared" si="495"/>
        <v>0</v>
      </c>
      <c r="EE602" s="3">
        <f t="shared" si="495"/>
        <v>0</v>
      </c>
      <c r="EF602" s="3">
        <f t="shared" si="495"/>
        <v>0</v>
      </c>
      <c r="EG602" s="3">
        <f t="shared" si="495"/>
        <v>0</v>
      </c>
      <c r="EH602" s="3">
        <f t="shared" si="495"/>
        <v>0</v>
      </c>
      <c r="EI602" s="3">
        <f t="shared" si="495"/>
        <v>0</v>
      </c>
      <c r="EJ602" s="3">
        <f t="shared" si="495"/>
        <v>0</v>
      </c>
      <c r="EK602" s="3">
        <f t="shared" si="495"/>
        <v>0</v>
      </c>
      <c r="EL602" s="3">
        <f t="shared" si="495"/>
        <v>0</v>
      </c>
      <c r="EM602" s="3">
        <f t="shared" ref="EM602:FR602" si="496">EM641</f>
        <v>0</v>
      </c>
      <c r="EN602" s="3">
        <f t="shared" si="496"/>
        <v>0</v>
      </c>
      <c r="EO602" s="3">
        <f t="shared" si="496"/>
        <v>0</v>
      </c>
      <c r="EP602" s="3">
        <f t="shared" si="496"/>
        <v>0</v>
      </c>
      <c r="EQ602" s="3">
        <f t="shared" si="496"/>
        <v>0</v>
      </c>
      <c r="ER602" s="3">
        <f t="shared" si="496"/>
        <v>0</v>
      </c>
      <c r="ES602" s="3">
        <f t="shared" si="496"/>
        <v>0</v>
      </c>
      <c r="ET602" s="3">
        <f t="shared" si="496"/>
        <v>0</v>
      </c>
      <c r="EU602" s="3">
        <f t="shared" si="496"/>
        <v>0</v>
      </c>
      <c r="EV602" s="3">
        <f t="shared" si="496"/>
        <v>0</v>
      </c>
      <c r="EW602" s="3">
        <f t="shared" si="496"/>
        <v>0</v>
      </c>
      <c r="EX602" s="3">
        <f t="shared" si="496"/>
        <v>0</v>
      </c>
      <c r="EY602" s="3">
        <f t="shared" si="496"/>
        <v>0</v>
      </c>
      <c r="EZ602" s="3">
        <f t="shared" si="496"/>
        <v>0</v>
      </c>
      <c r="FA602" s="3">
        <f t="shared" si="496"/>
        <v>0</v>
      </c>
      <c r="FB602" s="3">
        <f t="shared" si="496"/>
        <v>0</v>
      </c>
      <c r="FC602" s="3">
        <f t="shared" si="496"/>
        <v>0</v>
      </c>
      <c r="FD602" s="3">
        <f t="shared" si="496"/>
        <v>0</v>
      </c>
      <c r="FE602" s="3">
        <f t="shared" si="496"/>
        <v>0</v>
      </c>
      <c r="FF602" s="3">
        <f t="shared" si="496"/>
        <v>0</v>
      </c>
      <c r="FG602" s="3">
        <f t="shared" si="496"/>
        <v>0</v>
      </c>
      <c r="FH602" s="3">
        <f t="shared" si="496"/>
        <v>0</v>
      </c>
      <c r="FI602" s="3">
        <f t="shared" si="496"/>
        <v>0</v>
      </c>
      <c r="FJ602" s="3">
        <f t="shared" si="496"/>
        <v>0</v>
      </c>
      <c r="FK602" s="3">
        <f t="shared" si="496"/>
        <v>0</v>
      </c>
      <c r="FL602" s="3">
        <f t="shared" si="496"/>
        <v>0</v>
      </c>
      <c r="FM602" s="3">
        <f t="shared" si="496"/>
        <v>0</v>
      </c>
      <c r="FN602" s="3">
        <f t="shared" si="496"/>
        <v>0</v>
      </c>
      <c r="FO602" s="3">
        <f t="shared" si="496"/>
        <v>0</v>
      </c>
      <c r="FP602" s="3">
        <f t="shared" si="496"/>
        <v>0</v>
      </c>
      <c r="FQ602" s="3">
        <f t="shared" si="496"/>
        <v>0</v>
      </c>
      <c r="FR602" s="3">
        <f t="shared" si="496"/>
        <v>0</v>
      </c>
      <c r="FS602" s="3">
        <f t="shared" ref="FS602:GX602" si="497">FS641</f>
        <v>0</v>
      </c>
      <c r="FT602" s="3">
        <f t="shared" si="497"/>
        <v>0</v>
      </c>
      <c r="FU602" s="3">
        <f t="shared" si="497"/>
        <v>0</v>
      </c>
      <c r="FV602" s="3">
        <f t="shared" si="497"/>
        <v>0</v>
      </c>
      <c r="FW602" s="3">
        <f t="shared" si="497"/>
        <v>0</v>
      </c>
      <c r="FX602" s="3">
        <f t="shared" si="497"/>
        <v>0</v>
      </c>
      <c r="FY602" s="3">
        <f t="shared" si="497"/>
        <v>0</v>
      </c>
      <c r="FZ602" s="3">
        <f t="shared" si="497"/>
        <v>0</v>
      </c>
      <c r="GA602" s="3">
        <f t="shared" si="497"/>
        <v>0</v>
      </c>
      <c r="GB602" s="3">
        <f t="shared" si="497"/>
        <v>0</v>
      </c>
      <c r="GC602" s="3">
        <f t="shared" si="497"/>
        <v>0</v>
      </c>
      <c r="GD602" s="3">
        <f t="shared" si="497"/>
        <v>0</v>
      </c>
      <c r="GE602" s="3">
        <f t="shared" si="497"/>
        <v>0</v>
      </c>
      <c r="GF602" s="3">
        <f t="shared" si="497"/>
        <v>0</v>
      </c>
      <c r="GG602" s="3">
        <f t="shared" si="497"/>
        <v>0</v>
      </c>
      <c r="GH602" s="3">
        <f t="shared" si="497"/>
        <v>0</v>
      </c>
      <c r="GI602" s="3">
        <f t="shared" si="497"/>
        <v>0</v>
      </c>
      <c r="GJ602" s="3">
        <f t="shared" si="497"/>
        <v>0</v>
      </c>
      <c r="GK602" s="3">
        <f t="shared" si="497"/>
        <v>0</v>
      </c>
      <c r="GL602" s="3">
        <f t="shared" si="497"/>
        <v>0</v>
      </c>
      <c r="GM602" s="3">
        <f t="shared" si="497"/>
        <v>0</v>
      </c>
      <c r="GN602" s="3">
        <f t="shared" si="497"/>
        <v>0</v>
      </c>
      <c r="GO602" s="3">
        <f t="shared" si="497"/>
        <v>0</v>
      </c>
      <c r="GP602" s="3">
        <f t="shared" si="497"/>
        <v>0</v>
      </c>
      <c r="GQ602" s="3">
        <f t="shared" si="497"/>
        <v>0</v>
      </c>
      <c r="GR602" s="3">
        <f t="shared" si="497"/>
        <v>0</v>
      </c>
      <c r="GS602" s="3">
        <f t="shared" si="497"/>
        <v>0</v>
      </c>
      <c r="GT602" s="3">
        <f t="shared" si="497"/>
        <v>0</v>
      </c>
      <c r="GU602" s="3">
        <f t="shared" si="497"/>
        <v>0</v>
      </c>
      <c r="GV602" s="3">
        <f t="shared" si="497"/>
        <v>0</v>
      </c>
      <c r="GW602" s="3">
        <f t="shared" si="497"/>
        <v>0</v>
      </c>
      <c r="GX602" s="3">
        <f t="shared" si="497"/>
        <v>0</v>
      </c>
    </row>
    <row r="604" spans="1:245" x14ac:dyDescent="0.2">
      <c r="A604">
        <v>19</v>
      </c>
      <c r="B604">
        <v>1</v>
      </c>
      <c r="F604" t="s">
        <v>3</v>
      </c>
      <c r="G604" t="s">
        <v>422</v>
      </c>
      <c r="H604" t="s">
        <v>3</v>
      </c>
      <c r="AA604">
        <v>1</v>
      </c>
      <c r="IK604">
        <v>0</v>
      </c>
    </row>
    <row r="605" spans="1:245" x14ac:dyDescent="0.2">
      <c r="A605">
        <v>17</v>
      </c>
      <c r="B605">
        <v>1</v>
      </c>
      <c r="D605">
        <f>ROW(EtalonRes!A501)</f>
        <v>501</v>
      </c>
      <c r="E605" t="s">
        <v>423</v>
      </c>
      <c r="F605" t="s">
        <v>424</v>
      </c>
      <c r="G605" t="s">
        <v>425</v>
      </c>
      <c r="H605" t="s">
        <v>32</v>
      </c>
      <c r="I605">
        <f>ROUND(ROUND(1+1+1,9),9)</f>
        <v>3</v>
      </c>
      <c r="J605">
        <v>0</v>
      </c>
      <c r="K605">
        <f>ROUND(ROUND(1+1+1,9),9)</f>
        <v>3</v>
      </c>
      <c r="O605">
        <f t="shared" ref="O605:O611" si="498">ROUND(CP605,2)</f>
        <v>45075.87</v>
      </c>
      <c r="P605">
        <f t="shared" ref="P605:P611" si="499">ROUND(CQ605*I605,2)</f>
        <v>616.59</v>
      </c>
      <c r="Q605">
        <f t="shared" ref="Q605:Q611" si="500">ROUND(CR605*I605,2)</f>
        <v>0</v>
      </c>
      <c r="R605">
        <f t="shared" ref="R605:R611" si="501">ROUND(CS605*I605,2)</f>
        <v>0</v>
      </c>
      <c r="S605">
        <f t="shared" ref="S605:S611" si="502">ROUND(CT605*I605,2)</f>
        <v>44459.28</v>
      </c>
      <c r="T605">
        <f t="shared" ref="T605:T611" si="503">ROUND(CU605*I605,2)</f>
        <v>0</v>
      </c>
      <c r="U605">
        <f t="shared" ref="U605:U611" si="504">CV605*I605</f>
        <v>72</v>
      </c>
      <c r="V605">
        <f t="shared" ref="V605:V611" si="505">CW605*I605</f>
        <v>0</v>
      </c>
      <c r="W605">
        <f t="shared" ref="W605:W611" si="506">ROUND(CX605*I605,2)</f>
        <v>0</v>
      </c>
      <c r="X605">
        <f t="shared" ref="X605:Y611" si="507">ROUND(CY605,2)</f>
        <v>31121.5</v>
      </c>
      <c r="Y605">
        <f t="shared" si="507"/>
        <v>4445.93</v>
      </c>
      <c r="AA605">
        <v>1472224561</v>
      </c>
      <c r="AB605">
        <f t="shared" ref="AB605:AB611" si="508">ROUND((AC605+AD605+AF605),6)</f>
        <v>15025.29</v>
      </c>
      <c r="AC605">
        <f>ROUND((ES605),6)</f>
        <v>205.53</v>
      </c>
      <c r="AD605">
        <f>ROUND((((ET605)-(EU605))+AE605),6)</f>
        <v>0</v>
      </c>
      <c r="AE605">
        <f>ROUND((EU605),6)</f>
        <v>0</v>
      </c>
      <c r="AF605">
        <f>ROUND((EV605),6)</f>
        <v>14819.76</v>
      </c>
      <c r="AG605">
        <f t="shared" ref="AG605:AG611" si="509">ROUND((AP605),6)</f>
        <v>0</v>
      </c>
      <c r="AH605">
        <f>(EW605)</f>
        <v>24</v>
      </c>
      <c r="AI605">
        <f>(EX605)</f>
        <v>0</v>
      </c>
      <c r="AJ605">
        <f t="shared" ref="AJ605:AJ611" si="510">(AS605)</f>
        <v>0</v>
      </c>
      <c r="AK605">
        <v>15025.29</v>
      </c>
      <c r="AL605">
        <v>205.53</v>
      </c>
      <c r="AM605">
        <v>0</v>
      </c>
      <c r="AN605">
        <v>0</v>
      </c>
      <c r="AO605">
        <v>14819.76</v>
      </c>
      <c r="AP605">
        <v>0</v>
      </c>
      <c r="AQ605">
        <v>24</v>
      </c>
      <c r="AR605">
        <v>0</v>
      </c>
      <c r="AS605">
        <v>0</v>
      </c>
      <c r="AT605">
        <v>70</v>
      </c>
      <c r="AU605">
        <v>10</v>
      </c>
      <c r="AV605">
        <v>1</v>
      </c>
      <c r="AW605">
        <v>1</v>
      </c>
      <c r="AZ605">
        <v>1</v>
      </c>
      <c r="BA605">
        <v>1</v>
      </c>
      <c r="BB605">
        <v>1</v>
      </c>
      <c r="BC605">
        <v>1</v>
      </c>
      <c r="BD605" t="s">
        <v>3</v>
      </c>
      <c r="BE605" t="s">
        <v>3</v>
      </c>
      <c r="BF605" t="s">
        <v>3</v>
      </c>
      <c r="BG605" t="s">
        <v>3</v>
      </c>
      <c r="BH605">
        <v>0</v>
      </c>
      <c r="BI605">
        <v>4</v>
      </c>
      <c r="BJ605" t="s">
        <v>426</v>
      </c>
      <c r="BM605">
        <v>0</v>
      </c>
      <c r="BN605">
        <v>0</v>
      </c>
      <c r="BO605" t="s">
        <v>3</v>
      </c>
      <c r="BP605">
        <v>0</v>
      </c>
      <c r="BQ605">
        <v>1</v>
      </c>
      <c r="BR605">
        <v>0</v>
      </c>
      <c r="BS605">
        <v>1</v>
      </c>
      <c r="BT605">
        <v>1</v>
      </c>
      <c r="BU605">
        <v>1</v>
      </c>
      <c r="BV605">
        <v>1</v>
      </c>
      <c r="BW605">
        <v>1</v>
      </c>
      <c r="BX605">
        <v>1</v>
      </c>
      <c r="BY605" t="s">
        <v>3</v>
      </c>
      <c r="BZ605">
        <v>70</v>
      </c>
      <c r="CA605">
        <v>10</v>
      </c>
      <c r="CB605" t="s">
        <v>3</v>
      </c>
      <c r="CE605">
        <v>0</v>
      </c>
      <c r="CF605">
        <v>0</v>
      </c>
      <c r="CG605">
        <v>0</v>
      </c>
      <c r="CM605">
        <v>0</v>
      </c>
      <c r="CN605" t="s">
        <v>3</v>
      </c>
      <c r="CO605">
        <v>0</v>
      </c>
      <c r="CP605">
        <f t="shared" ref="CP605:CP611" si="511">(P605+Q605+S605)</f>
        <v>45075.869999999995</v>
      </c>
      <c r="CQ605">
        <f t="shared" ref="CQ605:CQ611" si="512">(AC605*BC605*AW605)</f>
        <v>205.53</v>
      </c>
      <c r="CR605">
        <f>((((ET605)*BB605-(EU605)*BS605)+AE605*BS605)*AV605)</f>
        <v>0</v>
      </c>
      <c r="CS605">
        <f t="shared" ref="CS605:CS611" si="513">(AE605*BS605*AV605)</f>
        <v>0</v>
      </c>
      <c r="CT605">
        <f t="shared" ref="CT605:CT611" si="514">(AF605*BA605*AV605)</f>
        <v>14819.76</v>
      </c>
      <c r="CU605">
        <f t="shared" ref="CU605:CU611" si="515">AG605</f>
        <v>0</v>
      </c>
      <c r="CV605">
        <f t="shared" ref="CV605:CV611" si="516">(AH605*AV605)</f>
        <v>24</v>
      </c>
      <c r="CW605">
        <f t="shared" ref="CW605:CX611" si="517">AI605</f>
        <v>0</v>
      </c>
      <c r="CX605">
        <f t="shared" si="517"/>
        <v>0</v>
      </c>
      <c r="CY605">
        <f t="shared" ref="CY605:CY611" si="518">((S605*BZ605)/100)</f>
        <v>31121.495999999999</v>
      </c>
      <c r="CZ605">
        <f t="shared" ref="CZ605:CZ611" si="519">((S605*CA605)/100)</f>
        <v>4445.9279999999999</v>
      </c>
      <c r="DC605" t="s">
        <v>3</v>
      </c>
      <c r="DD605" t="s">
        <v>3</v>
      </c>
      <c r="DE605" t="s">
        <v>3</v>
      </c>
      <c r="DF605" t="s">
        <v>3</v>
      </c>
      <c r="DG605" t="s">
        <v>3</v>
      </c>
      <c r="DH605" t="s">
        <v>3</v>
      </c>
      <c r="DI605" t="s">
        <v>3</v>
      </c>
      <c r="DJ605" t="s">
        <v>3</v>
      </c>
      <c r="DK605" t="s">
        <v>3</v>
      </c>
      <c r="DL605" t="s">
        <v>3</v>
      </c>
      <c r="DM605" t="s">
        <v>3</v>
      </c>
      <c r="DN605">
        <v>0</v>
      </c>
      <c r="DO605">
        <v>0</v>
      </c>
      <c r="DP605">
        <v>1</v>
      </c>
      <c r="DQ605">
        <v>1</v>
      </c>
      <c r="DU605">
        <v>16987630</v>
      </c>
      <c r="DV605" t="s">
        <v>32</v>
      </c>
      <c r="DW605" t="s">
        <v>32</v>
      </c>
      <c r="DX605">
        <v>1</v>
      </c>
      <c r="DZ605" t="s">
        <v>3</v>
      </c>
      <c r="EA605" t="s">
        <v>3</v>
      </c>
      <c r="EB605" t="s">
        <v>3</v>
      </c>
      <c r="EC605" t="s">
        <v>3</v>
      </c>
      <c r="EE605">
        <v>1441815344</v>
      </c>
      <c r="EF605">
        <v>1</v>
      </c>
      <c r="EG605" t="s">
        <v>23</v>
      </c>
      <c r="EH605">
        <v>0</v>
      </c>
      <c r="EI605" t="s">
        <v>3</v>
      </c>
      <c r="EJ605">
        <v>4</v>
      </c>
      <c r="EK605">
        <v>0</v>
      </c>
      <c r="EL605" t="s">
        <v>24</v>
      </c>
      <c r="EM605" t="s">
        <v>25</v>
      </c>
      <c r="EO605" t="s">
        <v>3</v>
      </c>
      <c r="EQ605">
        <v>0</v>
      </c>
      <c r="ER605">
        <v>15025.29</v>
      </c>
      <c r="ES605">
        <v>205.53</v>
      </c>
      <c r="ET605">
        <v>0</v>
      </c>
      <c r="EU605">
        <v>0</v>
      </c>
      <c r="EV605">
        <v>14819.76</v>
      </c>
      <c r="EW605">
        <v>24</v>
      </c>
      <c r="EX605">
        <v>0</v>
      </c>
      <c r="EY605">
        <v>0</v>
      </c>
      <c r="FQ605">
        <v>0</v>
      </c>
      <c r="FR605">
        <f t="shared" ref="FR605:FR611" si="520">ROUND(IF(BI605=3,GM605,0),2)</f>
        <v>0</v>
      </c>
      <c r="FS605">
        <v>0</v>
      </c>
      <c r="FX605">
        <v>70</v>
      </c>
      <c r="FY605">
        <v>10</v>
      </c>
      <c r="GA605" t="s">
        <v>3</v>
      </c>
      <c r="GD605">
        <v>0</v>
      </c>
      <c r="GF605">
        <v>1108334100</v>
      </c>
      <c r="GG605">
        <v>2</v>
      </c>
      <c r="GH605">
        <v>1</v>
      </c>
      <c r="GI605">
        <v>-2</v>
      </c>
      <c r="GJ605">
        <v>0</v>
      </c>
      <c r="GK605">
        <f>ROUND(R605*(R12)/100,2)</f>
        <v>0</v>
      </c>
      <c r="GL605">
        <f t="shared" ref="GL605:GL611" si="521">ROUND(IF(AND(BH605=3,BI605=3,FS605&lt;&gt;0),P605,0),2)</f>
        <v>0</v>
      </c>
      <c r="GM605">
        <f t="shared" ref="GM605:GM611" si="522">ROUND(O605+X605+Y605+GK605,2)+GX605</f>
        <v>80643.3</v>
      </c>
      <c r="GN605">
        <f t="shared" ref="GN605:GN611" si="523">IF(OR(BI605=0,BI605=1),GM605-GX605,0)</f>
        <v>0</v>
      </c>
      <c r="GO605">
        <f t="shared" ref="GO605:GO611" si="524">IF(BI605=2,GM605-GX605,0)</f>
        <v>0</v>
      </c>
      <c r="GP605">
        <f t="shared" ref="GP605:GP611" si="525">IF(BI605=4,GM605-GX605,0)</f>
        <v>80643.3</v>
      </c>
      <c r="GR605">
        <v>0</v>
      </c>
      <c r="GS605">
        <v>3</v>
      </c>
      <c r="GT605">
        <v>0</v>
      </c>
      <c r="GU605" t="s">
        <v>3</v>
      </c>
      <c r="GV605">
        <f t="shared" ref="GV605:GV611" si="526">ROUND((GT605),6)</f>
        <v>0</v>
      </c>
      <c r="GW605">
        <v>1</v>
      </c>
      <c r="GX605">
        <f t="shared" ref="GX605:GX611" si="527">ROUND(HC605*I605,2)</f>
        <v>0</v>
      </c>
      <c r="HA605">
        <v>0</v>
      </c>
      <c r="HB605">
        <v>0</v>
      </c>
      <c r="HC605">
        <f t="shared" ref="HC605:HC611" si="528">GV605*GW605</f>
        <v>0</v>
      </c>
      <c r="HE605" t="s">
        <v>3</v>
      </c>
      <c r="HF605" t="s">
        <v>3</v>
      </c>
      <c r="HM605" t="s">
        <v>3</v>
      </c>
      <c r="HN605" t="s">
        <v>3</v>
      </c>
      <c r="HO605" t="s">
        <v>3</v>
      </c>
      <c r="HP605" t="s">
        <v>3</v>
      </c>
      <c r="HQ605" t="s">
        <v>3</v>
      </c>
      <c r="IK605">
        <v>0</v>
      </c>
    </row>
    <row r="606" spans="1:245" x14ac:dyDescent="0.2">
      <c r="A606">
        <v>17</v>
      </c>
      <c r="B606">
        <v>1</v>
      </c>
      <c r="D606">
        <f>ROW(EtalonRes!A503)</f>
        <v>503</v>
      </c>
      <c r="E606" t="s">
        <v>3</v>
      </c>
      <c r="F606" t="s">
        <v>427</v>
      </c>
      <c r="G606" t="s">
        <v>428</v>
      </c>
      <c r="H606" t="s">
        <v>32</v>
      </c>
      <c r="I606">
        <f>ROUND(ROUND(1+1+1,9),9)</f>
        <v>3</v>
      </c>
      <c r="J606">
        <v>0</v>
      </c>
      <c r="K606">
        <f>ROUND(ROUND(1+1+1,9),9)</f>
        <v>3</v>
      </c>
      <c r="O606">
        <f t="shared" si="498"/>
        <v>4452.57</v>
      </c>
      <c r="P606">
        <f t="shared" si="499"/>
        <v>6.66</v>
      </c>
      <c r="Q606">
        <f t="shared" si="500"/>
        <v>0</v>
      </c>
      <c r="R606">
        <f t="shared" si="501"/>
        <v>0</v>
      </c>
      <c r="S606">
        <f t="shared" si="502"/>
        <v>4445.91</v>
      </c>
      <c r="T606">
        <f t="shared" si="503"/>
        <v>0</v>
      </c>
      <c r="U606">
        <f t="shared" si="504"/>
        <v>7.2000000000000011</v>
      </c>
      <c r="V606">
        <f t="shared" si="505"/>
        <v>0</v>
      </c>
      <c r="W606">
        <f t="shared" si="506"/>
        <v>0</v>
      </c>
      <c r="X606">
        <f t="shared" si="507"/>
        <v>3112.14</v>
      </c>
      <c r="Y606">
        <f t="shared" si="507"/>
        <v>444.59</v>
      </c>
      <c r="AA606">
        <v>-1</v>
      </c>
      <c r="AB606">
        <f t="shared" si="508"/>
        <v>1484.19</v>
      </c>
      <c r="AC606">
        <f>ROUND(((ES606*3)),6)</f>
        <v>2.2200000000000002</v>
      </c>
      <c r="AD606">
        <f>ROUND(((((ET606*3))-((EU606*3)))+AE606),6)</f>
        <v>0</v>
      </c>
      <c r="AE606">
        <f>ROUND(((EU606*3)),6)</f>
        <v>0</v>
      </c>
      <c r="AF606">
        <f>ROUND(((EV606*3)),6)</f>
        <v>1481.97</v>
      </c>
      <c r="AG606">
        <f t="shared" si="509"/>
        <v>0</v>
      </c>
      <c r="AH606">
        <f>((EW606*3))</f>
        <v>2.4000000000000004</v>
      </c>
      <c r="AI606">
        <f>((EX606*3))</f>
        <v>0</v>
      </c>
      <c r="AJ606">
        <f t="shared" si="510"/>
        <v>0</v>
      </c>
      <c r="AK606">
        <v>494.73</v>
      </c>
      <c r="AL606">
        <v>0.74</v>
      </c>
      <c r="AM606">
        <v>0</v>
      </c>
      <c r="AN606">
        <v>0</v>
      </c>
      <c r="AO606">
        <v>493.99</v>
      </c>
      <c r="AP606">
        <v>0</v>
      </c>
      <c r="AQ606">
        <v>0.8</v>
      </c>
      <c r="AR606">
        <v>0</v>
      </c>
      <c r="AS606">
        <v>0</v>
      </c>
      <c r="AT606">
        <v>70</v>
      </c>
      <c r="AU606">
        <v>10</v>
      </c>
      <c r="AV606">
        <v>1</v>
      </c>
      <c r="AW606">
        <v>1</v>
      </c>
      <c r="AZ606">
        <v>1</v>
      </c>
      <c r="BA606">
        <v>1</v>
      </c>
      <c r="BB606">
        <v>1</v>
      </c>
      <c r="BC606">
        <v>1</v>
      </c>
      <c r="BD606" t="s">
        <v>3</v>
      </c>
      <c r="BE606" t="s">
        <v>3</v>
      </c>
      <c r="BF606" t="s">
        <v>3</v>
      </c>
      <c r="BG606" t="s">
        <v>3</v>
      </c>
      <c r="BH606">
        <v>0</v>
      </c>
      <c r="BI606">
        <v>4</v>
      </c>
      <c r="BJ606" t="s">
        <v>429</v>
      </c>
      <c r="BM606">
        <v>0</v>
      </c>
      <c r="BN606">
        <v>0</v>
      </c>
      <c r="BO606" t="s">
        <v>3</v>
      </c>
      <c r="BP606">
        <v>0</v>
      </c>
      <c r="BQ606">
        <v>1</v>
      </c>
      <c r="BR606">
        <v>0</v>
      </c>
      <c r="BS606">
        <v>1</v>
      </c>
      <c r="BT606">
        <v>1</v>
      </c>
      <c r="BU606">
        <v>1</v>
      </c>
      <c r="BV606">
        <v>1</v>
      </c>
      <c r="BW606">
        <v>1</v>
      </c>
      <c r="BX606">
        <v>1</v>
      </c>
      <c r="BY606" t="s">
        <v>3</v>
      </c>
      <c r="BZ606">
        <v>70</v>
      </c>
      <c r="CA606">
        <v>10</v>
      </c>
      <c r="CB606" t="s">
        <v>3</v>
      </c>
      <c r="CE606">
        <v>0</v>
      </c>
      <c r="CF606">
        <v>0</v>
      </c>
      <c r="CG606">
        <v>0</v>
      </c>
      <c r="CM606">
        <v>0</v>
      </c>
      <c r="CN606" t="s">
        <v>3</v>
      </c>
      <c r="CO606">
        <v>0</v>
      </c>
      <c r="CP606">
        <f t="shared" si="511"/>
        <v>4452.57</v>
      </c>
      <c r="CQ606">
        <f t="shared" si="512"/>
        <v>2.2200000000000002</v>
      </c>
      <c r="CR606">
        <f>(((((ET606*3))*BB606-((EU606*3))*BS606)+AE606*BS606)*AV606)</f>
        <v>0</v>
      </c>
      <c r="CS606">
        <f t="shared" si="513"/>
        <v>0</v>
      </c>
      <c r="CT606">
        <f t="shared" si="514"/>
        <v>1481.97</v>
      </c>
      <c r="CU606">
        <f t="shared" si="515"/>
        <v>0</v>
      </c>
      <c r="CV606">
        <f t="shared" si="516"/>
        <v>2.4000000000000004</v>
      </c>
      <c r="CW606">
        <f t="shared" si="517"/>
        <v>0</v>
      </c>
      <c r="CX606">
        <f t="shared" si="517"/>
        <v>0</v>
      </c>
      <c r="CY606">
        <f t="shared" si="518"/>
        <v>3112.1370000000002</v>
      </c>
      <c r="CZ606">
        <f t="shared" si="519"/>
        <v>444.59100000000001</v>
      </c>
      <c r="DC606" t="s">
        <v>3</v>
      </c>
      <c r="DD606" t="s">
        <v>290</v>
      </c>
      <c r="DE606" t="s">
        <v>290</v>
      </c>
      <c r="DF606" t="s">
        <v>290</v>
      </c>
      <c r="DG606" t="s">
        <v>290</v>
      </c>
      <c r="DH606" t="s">
        <v>3</v>
      </c>
      <c r="DI606" t="s">
        <v>290</v>
      </c>
      <c r="DJ606" t="s">
        <v>290</v>
      </c>
      <c r="DK606" t="s">
        <v>3</v>
      </c>
      <c r="DL606" t="s">
        <v>3</v>
      </c>
      <c r="DM606" t="s">
        <v>3</v>
      </c>
      <c r="DN606">
        <v>0</v>
      </c>
      <c r="DO606">
        <v>0</v>
      </c>
      <c r="DP606">
        <v>1</v>
      </c>
      <c r="DQ606">
        <v>1</v>
      </c>
      <c r="DU606">
        <v>16987630</v>
      </c>
      <c r="DV606" t="s">
        <v>32</v>
      </c>
      <c r="DW606" t="s">
        <v>32</v>
      </c>
      <c r="DX606">
        <v>1</v>
      </c>
      <c r="DZ606" t="s">
        <v>3</v>
      </c>
      <c r="EA606" t="s">
        <v>3</v>
      </c>
      <c r="EB606" t="s">
        <v>3</v>
      </c>
      <c r="EC606" t="s">
        <v>3</v>
      </c>
      <c r="EE606">
        <v>1441815344</v>
      </c>
      <c r="EF606">
        <v>1</v>
      </c>
      <c r="EG606" t="s">
        <v>23</v>
      </c>
      <c r="EH606">
        <v>0</v>
      </c>
      <c r="EI606" t="s">
        <v>3</v>
      </c>
      <c r="EJ606">
        <v>4</v>
      </c>
      <c r="EK606">
        <v>0</v>
      </c>
      <c r="EL606" t="s">
        <v>24</v>
      </c>
      <c r="EM606" t="s">
        <v>25</v>
      </c>
      <c r="EO606" t="s">
        <v>3</v>
      </c>
      <c r="EQ606">
        <v>1024</v>
      </c>
      <c r="ER606">
        <v>494.73</v>
      </c>
      <c r="ES606">
        <v>0.74</v>
      </c>
      <c r="ET606">
        <v>0</v>
      </c>
      <c r="EU606">
        <v>0</v>
      </c>
      <c r="EV606">
        <v>493.99</v>
      </c>
      <c r="EW606">
        <v>0.8</v>
      </c>
      <c r="EX606">
        <v>0</v>
      </c>
      <c r="EY606">
        <v>0</v>
      </c>
      <c r="FQ606">
        <v>0</v>
      </c>
      <c r="FR606">
        <f t="shared" si="520"/>
        <v>0</v>
      </c>
      <c r="FS606">
        <v>0</v>
      </c>
      <c r="FX606">
        <v>70</v>
      </c>
      <c r="FY606">
        <v>10</v>
      </c>
      <c r="GA606" t="s">
        <v>3</v>
      </c>
      <c r="GD606">
        <v>0</v>
      </c>
      <c r="GF606">
        <v>-1089801879</v>
      </c>
      <c r="GG606">
        <v>2</v>
      </c>
      <c r="GH606">
        <v>1</v>
      </c>
      <c r="GI606">
        <v>-2</v>
      </c>
      <c r="GJ606">
        <v>0</v>
      </c>
      <c r="GK606">
        <f>ROUND(R606*(R12)/100,2)</f>
        <v>0</v>
      </c>
      <c r="GL606">
        <f t="shared" si="521"/>
        <v>0</v>
      </c>
      <c r="GM606">
        <f t="shared" si="522"/>
        <v>8009.3</v>
      </c>
      <c r="GN606">
        <f t="shared" si="523"/>
        <v>0</v>
      </c>
      <c r="GO606">
        <f t="shared" si="524"/>
        <v>0</v>
      </c>
      <c r="GP606">
        <f t="shared" si="525"/>
        <v>8009.3</v>
      </c>
      <c r="GR606">
        <v>0</v>
      </c>
      <c r="GS606">
        <v>3</v>
      </c>
      <c r="GT606">
        <v>0</v>
      </c>
      <c r="GU606" t="s">
        <v>3</v>
      </c>
      <c r="GV606">
        <f t="shared" si="526"/>
        <v>0</v>
      </c>
      <c r="GW606">
        <v>1</v>
      </c>
      <c r="GX606">
        <f t="shared" si="527"/>
        <v>0</v>
      </c>
      <c r="HA606">
        <v>0</v>
      </c>
      <c r="HB606">
        <v>0</v>
      </c>
      <c r="HC606">
        <f t="shared" si="528"/>
        <v>0</v>
      </c>
      <c r="HE606" t="s">
        <v>3</v>
      </c>
      <c r="HF606" t="s">
        <v>3</v>
      </c>
      <c r="HM606" t="s">
        <v>3</v>
      </c>
      <c r="HN606" t="s">
        <v>3</v>
      </c>
      <c r="HO606" t="s">
        <v>3</v>
      </c>
      <c r="HP606" t="s">
        <v>3</v>
      </c>
      <c r="HQ606" t="s">
        <v>3</v>
      </c>
      <c r="IK606">
        <v>0</v>
      </c>
    </row>
    <row r="607" spans="1:245" x14ac:dyDescent="0.2">
      <c r="A607">
        <v>17</v>
      </c>
      <c r="B607">
        <v>1</v>
      </c>
      <c r="D607">
        <f>ROW(EtalonRes!A508)</f>
        <v>508</v>
      </c>
      <c r="E607" t="s">
        <v>430</v>
      </c>
      <c r="F607" t="s">
        <v>431</v>
      </c>
      <c r="G607" t="s">
        <v>432</v>
      </c>
      <c r="H607" t="s">
        <v>32</v>
      </c>
      <c r="I607">
        <f>ROUND(ROUND((1+1)+(1+1)+(1+1),9),9)</f>
        <v>6</v>
      </c>
      <c r="J607">
        <v>0</v>
      </c>
      <c r="K607">
        <f>ROUND(ROUND((1+1)+(1+1)+(1+1),9),9)</f>
        <v>6</v>
      </c>
      <c r="O607">
        <f t="shared" si="498"/>
        <v>67613.759999999995</v>
      </c>
      <c r="P607">
        <f t="shared" si="499"/>
        <v>924.84</v>
      </c>
      <c r="Q607">
        <f t="shared" si="500"/>
        <v>0</v>
      </c>
      <c r="R607">
        <f t="shared" si="501"/>
        <v>0</v>
      </c>
      <c r="S607">
        <f t="shared" si="502"/>
        <v>66688.92</v>
      </c>
      <c r="T607">
        <f t="shared" si="503"/>
        <v>0</v>
      </c>
      <c r="U607">
        <f t="shared" si="504"/>
        <v>108</v>
      </c>
      <c r="V607">
        <f t="shared" si="505"/>
        <v>0</v>
      </c>
      <c r="W607">
        <f t="shared" si="506"/>
        <v>0</v>
      </c>
      <c r="X607">
        <f t="shared" si="507"/>
        <v>46682.239999999998</v>
      </c>
      <c r="Y607">
        <f t="shared" si="507"/>
        <v>6668.89</v>
      </c>
      <c r="AA607">
        <v>1472224561</v>
      </c>
      <c r="AB607">
        <f t="shared" si="508"/>
        <v>11268.96</v>
      </c>
      <c r="AC607">
        <f>ROUND((ES607),6)</f>
        <v>154.13999999999999</v>
      </c>
      <c r="AD607">
        <f>ROUND((((ET607)-(EU607))+AE607),6)</f>
        <v>0</v>
      </c>
      <c r="AE607">
        <f>ROUND((EU607),6)</f>
        <v>0</v>
      </c>
      <c r="AF607">
        <f>ROUND((EV607),6)</f>
        <v>11114.82</v>
      </c>
      <c r="AG607">
        <f t="shared" si="509"/>
        <v>0</v>
      </c>
      <c r="AH607">
        <f>(EW607)</f>
        <v>18</v>
      </c>
      <c r="AI607">
        <f>(EX607)</f>
        <v>0</v>
      </c>
      <c r="AJ607">
        <f t="shared" si="510"/>
        <v>0</v>
      </c>
      <c r="AK607">
        <v>11268.96</v>
      </c>
      <c r="AL607">
        <v>154.13999999999999</v>
      </c>
      <c r="AM607">
        <v>0</v>
      </c>
      <c r="AN607">
        <v>0</v>
      </c>
      <c r="AO607">
        <v>11114.82</v>
      </c>
      <c r="AP607">
        <v>0</v>
      </c>
      <c r="AQ607">
        <v>18</v>
      </c>
      <c r="AR607">
        <v>0</v>
      </c>
      <c r="AS607">
        <v>0</v>
      </c>
      <c r="AT607">
        <v>70</v>
      </c>
      <c r="AU607">
        <v>10</v>
      </c>
      <c r="AV607">
        <v>1</v>
      </c>
      <c r="AW607">
        <v>1</v>
      </c>
      <c r="AZ607">
        <v>1</v>
      </c>
      <c r="BA607">
        <v>1</v>
      </c>
      <c r="BB607">
        <v>1</v>
      </c>
      <c r="BC607">
        <v>1</v>
      </c>
      <c r="BD607" t="s">
        <v>3</v>
      </c>
      <c r="BE607" t="s">
        <v>3</v>
      </c>
      <c r="BF607" t="s">
        <v>3</v>
      </c>
      <c r="BG607" t="s">
        <v>3</v>
      </c>
      <c r="BH607">
        <v>0</v>
      </c>
      <c r="BI607">
        <v>4</v>
      </c>
      <c r="BJ607" t="s">
        <v>433</v>
      </c>
      <c r="BM607">
        <v>0</v>
      </c>
      <c r="BN607">
        <v>0</v>
      </c>
      <c r="BO607" t="s">
        <v>3</v>
      </c>
      <c r="BP607">
        <v>0</v>
      </c>
      <c r="BQ607">
        <v>1</v>
      </c>
      <c r="BR607">
        <v>0</v>
      </c>
      <c r="BS607">
        <v>1</v>
      </c>
      <c r="BT607">
        <v>1</v>
      </c>
      <c r="BU607">
        <v>1</v>
      </c>
      <c r="BV607">
        <v>1</v>
      </c>
      <c r="BW607">
        <v>1</v>
      </c>
      <c r="BX607">
        <v>1</v>
      </c>
      <c r="BY607" t="s">
        <v>3</v>
      </c>
      <c r="BZ607">
        <v>70</v>
      </c>
      <c r="CA607">
        <v>10</v>
      </c>
      <c r="CB607" t="s">
        <v>3</v>
      </c>
      <c r="CE607">
        <v>0</v>
      </c>
      <c r="CF607">
        <v>0</v>
      </c>
      <c r="CG607">
        <v>0</v>
      </c>
      <c r="CM607">
        <v>0</v>
      </c>
      <c r="CN607" t="s">
        <v>3</v>
      </c>
      <c r="CO607">
        <v>0</v>
      </c>
      <c r="CP607">
        <f t="shared" si="511"/>
        <v>67613.759999999995</v>
      </c>
      <c r="CQ607">
        <f t="shared" si="512"/>
        <v>154.13999999999999</v>
      </c>
      <c r="CR607">
        <f>((((ET607)*BB607-(EU607)*BS607)+AE607*BS607)*AV607)</f>
        <v>0</v>
      </c>
      <c r="CS607">
        <f t="shared" si="513"/>
        <v>0</v>
      </c>
      <c r="CT607">
        <f t="shared" si="514"/>
        <v>11114.82</v>
      </c>
      <c r="CU607">
        <f t="shared" si="515"/>
        <v>0</v>
      </c>
      <c r="CV607">
        <f t="shared" si="516"/>
        <v>18</v>
      </c>
      <c r="CW607">
        <f t="shared" si="517"/>
        <v>0</v>
      </c>
      <c r="CX607">
        <f t="shared" si="517"/>
        <v>0</v>
      </c>
      <c r="CY607">
        <f t="shared" si="518"/>
        <v>46682.243999999992</v>
      </c>
      <c r="CZ607">
        <f t="shared" si="519"/>
        <v>6668.8919999999998</v>
      </c>
      <c r="DC607" t="s">
        <v>3</v>
      </c>
      <c r="DD607" t="s">
        <v>3</v>
      </c>
      <c r="DE607" t="s">
        <v>3</v>
      </c>
      <c r="DF607" t="s">
        <v>3</v>
      </c>
      <c r="DG607" t="s">
        <v>3</v>
      </c>
      <c r="DH607" t="s">
        <v>3</v>
      </c>
      <c r="DI607" t="s">
        <v>3</v>
      </c>
      <c r="DJ607" t="s">
        <v>3</v>
      </c>
      <c r="DK607" t="s">
        <v>3</v>
      </c>
      <c r="DL607" t="s">
        <v>3</v>
      </c>
      <c r="DM607" t="s">
        <v>3</v>
      </c>
      <c r="DN607">
        <v>0</v>
      </c>
      <c r="DO607">
        <v>0</v>
      </c>
      <c r="DP607">
        <v>1</v>
      </c>
      <c r="DQ607">
        <v>1</v>
      </c>
      <c r="DU607">
        <v>16987630</v>
      </c>
      <c r="DV607" t="s">
        <v>32</v>
      </c>
      <c r="DW607" t="s">
        <v>32</v>
      </c>
      <c r="DX607">
        <v>1</v>
      </c>
      <c r="DZ607" t="s">
        <v>3</v>
      </c>
      <c r="EA607" t="s">
        <v>3</v>
      </c>
      <c r="EB607" t="s">
        <v>3</v>
      </c>
      <c r="EC607" t="s">
        <v>3</v>
      </c>
      <c r="EE607">
        <v>1441815344</v>
      </c>
      <c r="EF607">
        <v>1</v>
      </c>
      <c r="EG607" t="s">
        <v>23</v>
      </c>
      <c r="EH607">
        <v>0</v>
      </c>
      <c r="EI607" t="s">
        <v>3</v>
      </c>
      <c r="EJ607">
        <v>4</v>
      </c>
      <c r="EK607">
        <v>0</v>
      </c>
      <c r="EL607" t="s">
        <v>24</v>
      </c>
      <c r="EM607" t="s">
        <v>25</v>
      </c>
      <c r="EO607" t="s">
        <v>3</v>
      </c>
      <c r="EQ607">
        <v>0</v>
      </c>
      <c r="ER607">
        <v>11268.96</v>
      </c>
      <c r="ES607">
        <v>154.13999999999999</v>
      </c>
      <c r="ET607">
        <v>0</v>
      </c>
      <c r="EU607">
        <v>0</v>
      </c>
      <c r="EV607">
        <v>11114.82</v>
      </c>
      <c r="EW607">
        <v>18</v>
      </c>
      <c r="EX607">
        <v>0</v>
      </c>
      <c r="EY607">
        <v>0</v>
      </c>
      <c r="FQ607">
        <v>0</v>
      </c>
      <c r="FR607">
        <f t="shared" si="520"/>
        <v>0</v>
      </c>
      <c r="FS607">
        <v>0</v>
      </c>
      <c r="FX607">
        <v>70</v>
      </c>
      <c r="FY607">
        <v>10</v>
      </c>
      <c r="GA607" t="s">
        <v>3</v>
      </c>
      <c r="GD607">
        <v>0</v>
      </c>
      <c r="GF607">
        <v>-1402653077</v>
      </c>
      <c r="GG607">
        <v>2</v>
      </c>
      <c r="GH607">
        <v>1</v>
      </c>
      <c r="GI607">
        <v>-2</v>
      </c>
      <c r="GJ607">
        <v>0</v>
      </c>
      <c r="GK607">
        <f>ROUND(R607*(R12)/100,2)</f>
        <v>0</v>
      </c>
      <c r="GL607">
        <f t="shared" si="521"/>
        <v>0</v>
      </c>
      <c r="GM607">
        <f t="shared" si="522"/>
        <v>120964.89</v>
      </c>
      <c r="GN607">
        <f t="shared" si="523"/>
        <v>0</v>
      </c>
      <c r="GO607">
        <f t="shared" si="524"/>
        <v>0</v>
      </c>
      <c r="GP607">
        <f t="shared" si="525"/>
        <v>120964.89</v>
      </c>
      <c r="GR607">
        <v>0</v>
      </c>
      <c r="GS607">
        <v>3</v>
      </c>
      <c r="GT607">
        <v>0</v>
      </c>
      <c r="GU607" t="s">
        <v>3</v>
      </c>
      <c r="GV607">
        <f t="shared" si="526"/>
        <v>0</v>
      </c>
      <c r="GW607">
        <v>1</v>
      </c>
      <c r="GX607">
        <f t="shared" si="527"/>
        <v>0</v>
      </c>
      <c r="HA607">
        <v>0</v>
      </c>
      <c r="HB607">
        <v>0</v>
      </c>
      <c r="HC607">
        <f t="shared" si="528"/>
        <v>0</v>
      </c>
      <c r="HE607" t="s">
        <v>3</v>
      </c>
      <c r="HF607" t="s">
        <v>3</v>
      </c>
      <c r="HM607" t="s">
        <v>3</v>
      </c>
      <c r="HN607" t="s">
        <v>3</v>
      </c>
      <c r="HO607" t="s">
        <v>3</v>
      </c>
      <c r="HP607" t="s">
        <v>3</v>
      </c>
      <c r="HQ607" t="s">
        <v>3</v>
      </c>
      <c r="IK607">
        <v>0</v>
      </c>
    </row>
    <row r="608" spans="1:245" x14ac:dyDescent="0.2">
      <c r="A608">
        <v>17</v>
      </c>
      <c r="B608">
        <v>1</v>
      </c>
      <c r="D608">
        <f>ROW(EtalonRes!A510)</f>
        <v>510</v>
      </c>
      <c r="E608" t="s">
        <v>3</v>
      </c>
      <c r="F608" t="s">
        <v>434</v>
      </c>
      <c r="G608" t="s">
        <v>435</v>
      </c>
      <c r="H608" t="s">
        <v>32</v>
      </c>
      <c r="I608">
        <f>ROUND(ROUND((1+1)+(1+1)+(1+1),9),9)</f>
        <v>6</v>
      </c>
      <c r="J608">
        <v>0</v>
      </c>
      <c r="K608">
        <f>ROUND(ROUND((1+1)+(1+1)+(1+1),9),9)</f>
        <v>6</v>
      </c>
      <c r="O608">
        <f t="shared" si="498"/>
        <v>35638.080000000002</v>
      </c>
      <c r="P608">
        <f t="shared" si="499"/>
        <v>71.040000000000006</v>
      </c>
      <c r="Q608">
        <f t="shared" si="500"/>
        <v>0</v>
      </c>
      <c r="R608">
        <f t="shared" si="501"/>
        <v>0</v>
      </c>
      <c r="S608">
        <f t="shared" si="502"/>
        <v>35567.040000000001</v>
      </c>
      <c r="T608">
        <f t="shared" si="503"/>
        <v>0</v>
      </c>
      <c r="U608">
        <f t="shared" si="504"/>
        <v>57.599999999999994</v>
      </c>
      <c r="V608">
        <f t="shared" si="505"/>
        <v>0</v>
      </c>
      <c r="W608">
        <f t="shared" si="506"/>
        <v>0</v>
      </c>
      <c r="X608">
        <f t="shared" si="507"/>
        <v>24896.93</v>
      </c>
      <c r="Y608">
        <f t="shared" si="507"/>
        <v>3556.7</v>
      </c>
      <c r="AA608">
        <v>-1</v>
      </c>
      <c r="AB608">
        <f t="shared" si="508"/>
        <v>5939.68</v>
      </c>
      <c r="AC608">
        <f>ROUND(((ES608*16)),6)</f>
        <v>11.84</v>
      </c>
      <c r="AD608">
        <f>ROUND(((((ET608*16))-((EU608*16)))+AE608),6)</f>
        <v>0</v>
      </c>
      <c r="AE608">
        <f>ROUND(((EU608*16)),6)</f>
        <v>0</v>
      </c>
      <c r="AF608">
        <f>ROUND(((EV608*16)),6)</f>
        <v>5927.84</v>
      </c>
      <c r="AG608">
        <f t="shared" si="509"/>
        <v>0</v>
      </c>
      <c r="AH608">
        <f>((EW608*16))</f>
        <v>9.6</v>
      </c>
      <c r="AI608">
        <f>((EX608*16))</f>
        <v>0</v>
      </c>
      <c r="AJ608">
        <f t="shared" si="510"/>
        <v>0</v>
      </c>
      <c r="AK608">
        <v>371.23</v>
      </c>
      <c r="AL608">
        <v>0.74</v>
      </c>
      <c r="AM608">
        <v>0</v>
      </c>
      <c r="AN608">
        <v>0</v>
      </c>
      <c r="AO608">
        <v>370.49</v>
      </c>
      <c r="AP608">
        <v>0</v>
      </c>
      <c r="AQ608">
        <v>0.6</v>
      </c>
      <c r="AR608">
        <v>0</v>
      </c>
      <c r="AS608">
        <v>0</v>
      </c>
      <c r="AT608">
        <v>70</v>
      </c>
      <c r="AU608">
        <v>10</v>
      </c>
      <c r="AV608">
        <v>1</v>
      </c>
      <c r="AW608">
        <v>1</v>
      </c>
      <c r="AZ608">
        <v>1</v>
      </c>
      <c r="BA608">
        <v>1</v>
      </c>
      <c r="BB608">
        <v>1</v>
      </c>
      <c r="BC608">
        <v>1</v>
      </c>
      <c r="BD608" t="s">
        <v>3</v>
      </c>
      <c r="BE608" t="s">
        <v>3</v>
      </c>
      <c r="BF608" t="s">
        <v>3</v>
      </c>
      <c r="BG608" t="s">
        <v>3</v>
      </c>
      <c r="BH608">
        <v>0</v>
      </c>
      <c r="BI608">
        <v>4</v>
      </c>
      <c r="BJ608" t="s">
        <v>436</v>
      </c>
      <c r="BM608">
        <v>0</v>
      </c>
      <c r="BN608">
        <v>0</v>
      </c>
      <c r="BO608" t="s">
        <v>3</v>
      </c>
      <c r="BP608">
        <v>0</v>
      </c>
      <c r="BQ608">
        <v>1</v>
      </c>
      <c r="BR608">
        <v>0</v>
      </c>
      <c r="BS608">
        <v>1</v>
      </c>
      <c r="BT608">
        <v>1</v>
      </c>
      <c r="BU608">
        <v>1</v>
      </c>
      <c r="BV608">
        <v>1</v>
      </c>
      <c r="BW608">
        <v>1</v>
      </c>
      <c r="BX608">
        <v>1</v>
      </c>
      <c r="BY608" t="s">
        <v>3</v>
      </c>
      <c r="BZ608">
        <v>70</v>
      </c>
      <c r="CA608">
        <v>10</v>
      </c>
      <c r="CB608" t="s">
        <v>3</v>
      </c>
      <c r="CE608">
        <v>0</v>
      </c>
      <c r="CF608">
        <v>0</v>
      </c>
      <c r="CG608">
        <v>0</v>
      </c>
      <c r="CM608">
        <v>0</v>
      </c>
      <c r="CN608" t="s">
        <v>3</v>
      </c>
      <c r="CO608">
        <v>0</v>
      </c>
      <c r="CP608">
        <f t="shared" si="511"/>
        <v>35638.080000000002</v>
      </c>
      <c r="CQ608">
        <f t="shared" si="512"/>
        <v>11.84</v>
      </c>
      <c r="CR608">
        <f>(((((ET608*16))*BB608-((EU608*16))*BS608)+AE608*BS608)*AV608)</f>
        <v>0</v>
      </c>
      <c r="CS608">
        <f t="shared" si="513"/>
        <v>0</v>
      </c>
      <c r="CT608">
        <f t="shared" si="514"/>
        <v>5927.84</v>
      </c>
      <c r="CU608">
        <f t="shared" si="515"/>
        <v>0</v>
      </c>
      <c r="CV608">
        <f t="shared" si="516"/>
        <v>9.6</v>
      </c>
      <c r="CW608">
        <f t="shared" si="517"/>
        <v>0</v>
      </c>
      <c r="CX608">
        <f t="shared" si="517"/>
        <v>0</v>
      </c>
      <c r="CY608">
        <f t="shared" si="518"/>
        <v>24896.928000000004</v>
      </c>
      <c r="CZ608">
        <f t="shared" si="519"/>
        <v>3556.7040000000002</v>
      </c>
      <c r="DC608" t="s">
        <v>3</v>
      </c>
      <c r="DD608" t="s">
        <v>437</v>
      </c>
      <c r="DE608" t="s">
        <v>437</v>
      </c>
      <c r="DF608" t="s">
        <v>437</v>
      </c>
      <c r="DG608" t="s">
        <v>437</v>
      </c>
      <c r="DH608" t="s">
        <v>3</v>
      </c>
      <c r="DI608" t="s">
        <v>437</v>
      </c>
      <c r="DJ608" t="s">
        <v>437</v>
      </c>
      <c r="DK608" t="s">
        <v>3</v>
      </c>
      <c r="DL608" t="s">
        <v>3</v>
      </c>
      <c r="DM608" t="s">
        <v>3</v>
      </c>
      <c r="DN608">
        <v>0</v>
      </c>
      <c r="DO608">
        <v>0</v>
      </c>
      <c r="DP608">
        <v>1</v>
      </c>
      <c r="DQ608">
        <v>1</v>
      </c>
      <c r="DU608">
        <v>16987630</v>
      </c>
      <c r="DV608" t="s">
        <v>32</v>
      </c>
      <c r="DW608" t="s">
        <v>32</v>
      </c>
      <c r="DX608">
        <v>1</v>
      </c>
      <c r="DZ608" t="s">
        <v>3</v>
      </c>
      <c r="EA608" t="s">
        <v>3</v>
      </c>
      <c r="EB608" t="s">
        <v>3</v>
      </c>
      <c r="EC608" t="s">
        <v>3</v>
      </c>
      <c r="EE608">
        <v>1441815344</v>
      </c>
      <c r="EF608">
        <v>1</v>
      </c>
      <c r="EG608" t="s">
        <v>23</v>
      </c>
      <c r="EH608">
        <v>0</v>
      </c>
      <c r="EI608" t="s">
        <v>3</v>
      </c>
      <c r="EJ608">
        <v>4</v>
      </c>
      <c r="EK608">
        <v>0</v>
      </c>
      <c r="EL608" t="s">
        <v>24</v>
      </c>
      <c r="EM608" t="s">
        <v>25</v>
      </c>
      <c r="EO608" t="s">
        <v>3</v>
      </c>
      <c r="EQ608">
        <v>1024</v>
      </c>
      <c r="ER608">
        <v>371.23</v>
      </c>
      <c r="ES608">
        <v>0.74</v>
      </c>
      <c r="ET608">
        <v>0</v>
      </c>
      <c r="EU608">
        <v>0</v>
      </c>
      <c r="EV608">
        <v>370.49</v>
      </c>
      <c r="EW608">
        <v>0.6</v>
      </c>
      <c r="EX608">
        <v>0</v>
      </c>
      <c r="EY608">
        <v>0</v>
      </c>
      <c r="FQ608">
        <v>0</v>
      </c>
      <c r="FR608">
        <f t="shared" si="520"/>
        <v>0</v>
      </c>
      <c r="FS608">
        <v>0</v>
      </c>
      <c r="FX608">
        <v>70</v>
      </c>
      <c r="FY608">
        <v>10</v>
      </c>
      <c r="GA608" t="s">
        <v>3</v>
      </c>
      <c r="GD608">
        <v>0</v>
      </c>
      <c r="GF608">
        <v>1529709528</v>
      </c>
      <c r="GG608">
        <v>2</v>
      </c>
      <c r="GH608">
        <v>1</v>
      </c>
      <c r="GI608">
        <v>-2</v>
      </c>
      <c r="GJ608">
        <v>0</v>
      </c>
      <c r="GK608">
        <f>ROUND(R608*(R12)/100,2)</f>
        <v>0</v>
      </c>
      <c r="GL608">
        <f t="shared" si="521"/>
        <v>0</v>
      </c>
      <c r="GM608">
        <f t="shared" si="522"/>
        <v>64091.71</v>
      </c>
      <c r="GN608">
        <f t="shared" si="523"/>
        <v>0</v>
      </c>
      <c r="GO608">
        <f t="shared" si="524"/>
        <v>0</v>
      </c>
      <c r="GP608">
        <f t="shared" si="525"/>
        <v>64091.71</v>
      </c>
      <c r="GR608">
        <v>0</v>
      </c>
      <c r="GS608">
        <v>3</v>
      </c>
      <c r="GT608">
        <v>0</v>
      </c>
      <c r="GU608" t="s">
        <v>3</v>
      </c>
      <c r="GV608">
        <f t="shared" si="526"/>
        <v>0</v>
      </c>
      <c r="GW608">
        <v>1</v>
      </c>
      <c r="GX608">
        <f t="shared" si="527"/>
        <v>0</v>
      </c>
      <c r="HA608">
        <v>0</v>
      </c>
      <c r="HB608">
        <v>0</v>
      </c>
      <c r="HC608">
        <f t="shared" si="528"/>
        <v>0</v>
      </c>
      <c r="HE608" t="s">
        <v>3</v>
      </c>
      <c r="HF608" t="s">
        <v>3</v>
      </c>
      <c r="HM608" t="s">
        <v>3</v>
      </c>
      <c r="HN608" t="s">
        <v>3</v>
      </c>
      <c r="HO608" t="s">
        <v>3</v>
      </c>
      <c r="HP608" t="s">
        <v>3</v>
      </c>
      <c r="HQ608" t="s">
        <v>3</v>
      </c>
      <c r="IK608">
        <v>0</v>
      </c>
    </row>
    <row r="609" spans="1:245" x14ac:dyDescent="0.2">
      <c r="A609">
        <v>17</v>
      </c>
      <c r="B609">
        <v>1</v>
      </c>
      <c r="D609">
        <f>ROW(EtalonRes!A512)</f>
        <v>512</v>
      </c>
      <c r="E609" t="s">
        <v>438</v>
      </c>
      <c r="F609" t="s">
        <v>439</v>
      </c>
      <c r="G609" t="s">
        <v>440</v>
      </c>
      <c r="H609" t="s">
        <v>32</v>
      </c>
      <c r="I609">
        <f>ROUND(ROUND(2+2+2,9),9)</f>
        <v>6</v>
      </c>
      <c r="J609">
        <v>0</v>
      </c>
      <c r="K609">
        <f>ROUND(ROUND(2+2+2,9),9)</f>
        <v>6</v>
      </c>
      <c r="O609">
        <f t="shared" si="498"/>
        <v>2033.28</v>
      </c>
      <c r="P609">
        <f t="shared" si="499"/>
        <v>9.42</v>
      </c>
      <c r="Q609">
        <f t="shared" si="500"/>
        <v>0</v>
      </c>
      <c r="R609">
        <f t="shared" si="501"/>
        <v>0</v>
      </c>
      <c r="S609">
        <f t="shared" si="502"/>
        <v>2023.86</v>
      </c>
      <c r="T609">
        <f t="shared" si="503"/>
        <v>0</v>
      </c>
      <c r="U609">
        <f t="shared" si="504"/>
        <v>3.5999999999999996</v>
      </c>
      <c r="V609">
        <f t="shared" si="505"/>
        <v>0</v>
      </c>
      <c r="W609">
        <f t="shared" si="506"/>
        <v>0</v>
      </c>
      <c r="X609">
        <f t="shared" si="507"/>
        <v>1416.7</v>
      </c>
      <c r="Y609">
        <f t="shared" si="507"/>
        <v>202.39</v>
      </c>
      <c r="AA609">
        <v>1472224561</v>
      </c>
      <c r="AB609">
        <f t="shared" si="508"/>
        <v>338.88</v>
      </c>
      <c r="AC609">
        <f>ROUND((ES609),6)</f>
        <v>1.57</v>
      </c>
      <c r="AD609">
        <f>ROUND((((ET609)-(EU609))+AE609),6)</f>
        <v>0</v>
      </c>
      <c r="AE609">
        <f>ROUND((EU609),6)</f>
        <v>0</v>
      </c>
      <c r="AF609">
        <f>ROUND((EV609),6)</f>
        <v>337.31</v>
      </c>
      <c r="AG609">
        <f t="shared" si="509"/>
        <v>0</v>
      </c>
      <c r="AH609">
        <f>(EW609)</f>
        <v>0.6</v>
      </c>
      <c r="AI609">
        <f>(EX609)</f>
        <v>0</v>
      </c>
      <c r="AJ609">
        <f t="shared" si="510"/>
        <v>0</v>
      </c>
      <c r="AK609">
        <v>338.88</v>
      </c>
      <c r="AL609">
        <v>1.57</v>
      </c>
      <c r="AM609">
        <v>0</v>
      </c>
      <c r="AN609">
        <v>0</v>
      </c>
      <c r="AO609">
        <v>337.31</v>
      </c>
      <c r="AP609">
        <v>0</v>
      </c>
      <c r="AQ609">
        <v>0.6</v>
      </c>
      <c r="AR609">
        <v>0</v>
      </c>
      <c r="AS609">
        <v>0</v>
      </c>
      <c r="AT609">
        <v>70</v>
      </c>
      <c r="AU609">
        <v>10</v>
      </c>
      <c r="AV609">
        <v>1</v>
      </c>
      <c r="AW609">
        <v>1</v>
      </c>
      <c r="AZ609">
        <v>1</v>
      </c>
      <c r="BA609">
        <v>1</v>
      </c>
      <c r="BB609">
        <v>1</v>
      </c>
      <c r="BC609">
        <v>1</v>
      </c>
      <c r="BD609" t="s">
        <v>3</v>
      </c>
      <c r="BE609" t="s">
        <v>3</v>
      </c>
      <c r="BF609" t="s">
        <v>3</v>
      </c>
      <c r="BG609" t="s">
        <v>3</v>
      </c>
      <c r="BH609">
        <v>0</v>
      </c>
      <c r="BI609">
        <v>4</v>
      </c>
      <c r="BJ609" t="s">
        <v>441</v>
      </c>
      <c r="BM609">
        <v>0</v>
      </c>
      <c r="BN609">
        <v>0</v>
      </c>
      <c r="BO609" t="s">
        <v>3</v>
      </c>
      <c r="BP609">
        <v>0</v>
      </c>
      <c r="BQ609">
        <v>1</v>
      </c>
      <c r="BR609">
        <v>0</v>
      </c>
      <c r="BS609">
        <v>1</v>
      </c>
      <c r="BT609">
        <v>1</v>
      </c>
      <c r="BU609">
        <v>1</v>
      </c>
      <c r="BV609">
        <v>1</v>
      </c>
      <c r="BW609">
        <v>1</v>
      </c>
      <c r="BX609">
        <v>1</v>
      </c>
      <c r="BY609" t="s">
        <v>3</v>
      </c>
      <c r="BZ609">
        <v>70</v>
      </c>
      <c r="CA609">
        <v>10</v>
      </c>
      <c r="CB609" t="s">
        <v>3</v>
      </c>
      <c r="CE609">
        <v>0</v>
      </c>
      <c r="CF609">
        <v>0</v>
      </c>
      <c r="CG609">
        <v>0</v>
      </c>
      <c r="CM609">
        <v>0</v>
      </c>
      <c r="CN609" t="s">
        <v>3</v>
      </c>
      <c r="CO609">
        <v>0</v>
      </c>
      <c r="CP609">
        <f t="shared" si="511"/>
        <v>2033.28</v>
      </c>
      <c r="CQ609">
        <f t="shared" si="512"/>
        <v>1.57</v>
      </c>
      <c r="CR609">
        <f>((((ET609)*BB609-(EU609)*BS609)+AE609*BS609)*AV609)</f>
        <v>0</v>
      </c>
      <c r="CS609">
        <f t="shared" si="513"/>
        <v>0</v>
      </c>
      <c r="CT609">
        <f t="shared" si="514"/>
        <v>337.31</v>
      </c>
      <c r="CU609">
        <f t="shared" si="515"/>
        <v>0</v>
      </c>
      <c r="CV609">
        <f t="shared" si="516"/>
        <v>0.6</v>
      </c>
      <c r="CW609">
        <f t="shared" si="517"/>
        <v>0</v>
      </c>
      <c r="CX609">
        <f t="shared" si="517"/>
        <v>0</v>
      </c>
      <c r="CY609">
        <f t="shared" si="518"/>
        <v>1416.7019999999998</v>
      </c>
      <c r="CZ609">
        <f t="shared" si="519"/>
        <v>202.386</v>
      </c>
      <c r="DC609" t="s">
        <v>3</v>
      </c>
      <c r="DD609" t="s">
        <v>3</v>
      </c>
      <c r="DE609" t="s">
        <v>3</v>
      </c>
      <c r="DF609" t="s">
        <v>3</v>
      </c>
      <c r="DG609" t="s">
        <v>3</v>
      </c>
      <c r="DH609" t="s">
        <v>3</v>
      </c>
      <c r="DI609" t="s">
        <v>3</v>
      </c>
      <c r="DJ609" t="s">
        <v>3</v>
      </c>
      <c r="DK609" t="s">
        <v>3</v>
      </c>
      <c r="DL609" t="s">
        <v>3</v>
      </c>
      <c r="DM609" t="s">
        <v>3</v>
      </c>
      <c r="DN609">
        <v>0</v>
      </c>
      <c r="DO609">
        <v>0</v>
      </c>
      <c r="DP609">
        <v>1</v>
      </c>
      <c r="DQ609">
        <v>1</v>
      </c>
      <c r="DU609">
        <v>16987630</v>
      </c>
      <c r="DV609" t="s">
        <v>32</v>
      </c>
      <c r="DW609" t="s">
        <v>32</v>
      </c>
      <c r="DX609">
        <v>1</v>
      </c>
      <c r="DZ609" t="s">
        <v>3</v>
      </c>
      <c r="EA609" t="s">
        <v>3</v>
      </c>
      <c r="EB609" t="s">
        <v>3</v>
      </c>
      <c r="EC609" t="s">
        <v>3</v>
      </c>
      <c r="EE609">
        <v>1441815344</v>
      </c>
      <c r="EF609">
        <v>1</v>
      </c>
      <c r="EG609" t="s">
        <v>23</v>
      </c>
      <c r="EH609">
        <v>0</v>
      </c>
      <c r="EI609" t="s">
        <v>3</v>
      </c>
      <c r="EJ609">
        <v>4</v>
      </c>
      <c r="EK609">
        <v>0</v>
      </c>
      <c r="EL609" t="s">
        <v>24</v>
      </c>
      <c r="EM609" t="s">
        <v>25</v>
      </c>
      <c r="EO609" t="s">
        <v>3</v>
      </c>
      <c r="EQ609">
        <v>1310720</v>
      </c>
      <c r="ER609">
        <v>338.88</v>
      </c>
      <c r="ES609">
        <v>1.57</v>
      </c>
      <c r="ET609">
        <v>0</v>
      </c>
      <c r="EU609">
        <v>0</v>
      </c>
      <c r="EV609">
        <v>337.31</v>
      </c>
      <c r="EW609">
        <v>0.6</v>
      </c>
      <c r="EX609">
        <v>0</v>
      </c>
      <c r="EY609">
        <v>0</v>
      </c>
      <c r="FQ609">
        <v>0</v>
      </c>
      <c r="FR609">
        <f t="shared" si="520"/>
        <v>0</v>
      </c>
      <c r="FS609">
        <v>0</v>
      </c>
      <c r="FX609">
        <v>70</v>
      </c>
      <c r="FY609">
        <v>10</v>
      </c>
      <c r="GA609" t="s">
        <v>3</v>
      </c>
      <c r="GD609">
        <v>0</v>
      </c>
      <c r="GF609">
        <v>595984218</v>
      </c>
      <c r="GG609">
        <v>2</v>
      </c>
      <c r="GH609">
        <v>1</v>
      </c>
      <c r="GI609">
        <v>-2</v>
      </c>
      <c r="GJ609">
        <v>0</v>
      </c>
      <c r="GK609">
        <f>ROUND(R609*(R12)/100,2)</f>
        <v>0</v>
      </c>
      <c r="GL609">
        <f t="shared" si="521"/>
        <v>0</v>
      </c>
      <c r="GM609">
        <f t="shared" si="522"/>
        <v>3652.37</v>
      </c>
      <c r="GN609">
        <f t="shared" si="523"/>
        <v>0</v>
      </c>
      <c r="GO609">
        <f t="shared" si="524"/>
        <v>0</v>
      </c>
      <c r="GP609">
        <f t="shared" si="525"/>
        <v>3652.37</v>
      </c>
      <c r="GR609">
        <v>0</v>
      </c>
      <c r="GS609">
        <v>3</v>
      </c>
      <c r="GT609">
        <v>0</v>
      </c>
      <c r="GU609" t="s">
        <v>3</v>
      </c>
      <c r="GV609">
        <f t="shared" si="526"/>
        <v>0</v>
      </c>
      <c r="GW609">
        <v>1</v>
      </c>
      <c r="GX609">
        <f t="shared" si="527"/>
        <v>0</v>
      </c>
      <c r="HA609">
        <v>0</v>
      </c>
      <c r="HB609">
        <v>0</v>
      </c>
      <c r="HC609">
        <f t="shared" si="528"/>
        <v>0</v>
      </c>
      <c r="HE609" t="s">
        <v>3</v>
      </c>
      <c r="HF609" t="s">
        <v>3</v>
      </c>
      <c r="HM609" t="s">
        <v>3</v>
      </c>
      <c r="HN609" t="s">
        <v>3</v>
      </c>
      <c r="HO609" t="s">
        <v>3</v>
      </c>
      <c r="HP609" t="s">
        <v>3</v>
      </c>
      <c r="HQ609" t="s">
        <v>3</v>
      </c>
      <c r="IK609">
        <v>0</v>
      </c>
    </row>
    <row r="610" spans="1:245" x14ac:dyDescent="0.2">
      <c r="A610">
        <v>17</v>
      </c>
      <c r="B610">
        <v>1</v>
      </c>
      <c r="D610">
        <f>ROW(EtalonRes!A513)</f>
        <v>513</v>
      </c>
      <c r="E610" t="s">
        <v>3</v>
      </c>
      <c r="F610" t="s">
        <v>442</v>
      </c>
      <c r="G610" t="s">
        <v>443</v>
      </c>
      <c r="H610" t="s">
        <v>32</v>
      </c>
      <c r="I610">
        <f>ROUND(ROUND(2+2+2,9),9)</f>
        <v>6</v>
      </c>
      <c r="J610">
        <v>0</v>
      </c>
      <c r="K610">
        <f>ROUND(ROUND(2+2+2,9),9)</f>
        <v>6</v>
      </c>
      <c r="O610">
        <f t="shared" si="498"/>
        <v>1703.04</v>
      </c>
      <c r="P610">
        <f t="shared" si="499"/>
        <v>0</v>
      </c>
      <c r="Q610">
        <f t="shared" si="500"/>
        <v>0</v>
      </c>
      <c r="R610">
        <f t="shared" si="501"/>
        <v>0</v>
      </c>
      <c r="S610">
        <f t="shared" si="502"/>
        <v>1703.04</v>
      </c>
      <c r="T610">
        <f t="shared" si="503"/>
        <v>0</v>
      </c>
      <c r="U610">
        <f t="shared" si="504"/>
        <v>3.3600000000000003</v>
      </c>
      <c r="V610">
        <f t="shared" si="505"/>
        <v>0</v>
      </c>
      <c r="W610">
        <f t="shared" si="506"/>
        <v>0</v>
      </c>
      <c r="X610">
        <f t="shared" si="507"/>
        <v>1192.1300000000001</v>
      </c>
      <c r="Y610">
        <f t="shared" si="507"/>
        <v>170.3</v>
      </c>
      <c r="AA610">
        <v>-1</v>
      </c>
      <c r="AB610">
        <f t="shared" si="508"/>
        <v>283.83999999999997</v>
      </c>
      <c r="AC610">
        <f>ROUND(((ES610*4)),6)</f>
        <v>0</v>
      </c>
      <c r="AD610">
        <f>ROUND(((((ET610*4))-((EU610*4)))+AE610),6)</f>
        <v>0</v>
      </c>
      <c r="AE610">
        <f>ROUND(((EU610*4)),6)</f>
        <v>0</v>
      </c>
      <c r="AF610">
        <f>ROUND(((EV610*4)),6)</f>
        <v>283.83999999999997</v>
      </c>
      <c r="AG610">
        <f t="shared" si="509"/>
        <v>0</v>
      </c>
      <c r="AH610">
        <f>((EW610*4))</f>
        <v>0.56000000000000005</v>
      </c>
      <c r="AI610">
        <f>((EX610*4))</f>
        <v>0</v>
      </c>
      <c r="AJ610">
        <f t="shared" si="510"/>
        <v>0</v>
      </c>
      <c r="AK610">
        <v>70.959999999999994</v>
      </c>
      <c r="AL610">
        <v>0</v>
      </c>
      <c r="AM610">
        <v>0</v>
      </c>
      <c r="AN610">
        <v>0</v>
      </c>
      <c r="AO610">
        <v>70.959999999999994</v>
      </c>
      <c r="AP610">
        <v>0</v>
      </c>
      <c r="AQ610">
        <v>0.14000000000000001</v>
      </c>
      <c r="AR610">
        <v>0</v>
      </c>
      <c r="AS610">
        <v>0</v>
      </c>
      <c r="AT610">
        <v>70</v>
      </c>
      <c r="AU610">
        <v>10</v>
      </c>
      <c r="AV610">
        <v>1</v>
      </c>
      <c r="AW610">
        <v>1</v>
      </c>
      <c r="AZ610">
        <v>1</v>
      </c>
      <c r="BA610">
        <v>1</v>
      </c>
      <c r="BB610">
        <v>1</v>
      </c>
      <c r="BC610">
        <v>1</v>
      </c>
      <c r="BD610" t="s">
        <v>3</v>
      </c>
      <c r="BE610" t="s">
        <v>3</v>
      </c>
      <c r="BF610" t="s">
        <v>3</v>
      </c>
      <c r="BG610" t="s">
        <v>3</v>
      </c>
      <c r="BH610">
        <v>0</v>
      </c>
      <c r="BI610">
        <v>4</v>
      </c>
      <c r="BJ610" t="s">
        <v>444</v>
      </c>
      <c r="BM610">
        <v>0</v>
      </c>
      <c r="BN610">
        <v>0</v>
      </c>
      <c r="BO610" t="s">
        <v>3</v>
      </c>
      <c r="BP610">
        <v>0</v>
      </c>
      <c r="BQ610">
        <v>1</v>
      </c>
      <c r="BR610">
        <v>0</v>
      </c>
      <c r="BS610">
        <v>1</v>
      </c>
      <c r="BT610">
        <v>1</v>
      </c>
      <c r="BU610">
        <v>1</v>
      </c>
      <c r="BV610">
        <v>1</v>
      </c>
      <c r="BW610">
        <v>1</v>
      </c>
      <c r="BX610">
        <v>1</v>
      </c>
      <c r="BY610" t="s">
        <v>3</v>
      </c>
      <c r="BZ610">
        <v>70</v>
      </c>
      <c r="CA610">
        <v>10</v>
      </c>
      <c r="CB610" t="s">
        <v>3</v>
      </c>
      <c r="CE610">
        <v>0</v>
      </c>
      <c r="CF610">
        <v>0</v>
      </c>
      <c r="CG610">
        <v>0</v>
      </c>
      <c r="CM610">
        <v>0</v>
      </c>
      <c r="CN610" t="s">
        <v>3</v>
      </c>
      <c r="CO610">
        <v>0</v>
      </c>
      <c r="CP610">
        <f t="shared" si="511"/>
        <v>1703.04</v>
      </c>
      <c r="CQ610">
        <f t="shared" si="512"/>
        <v>0</v>
      </c>
      <c r="CR610">
        <f>(((((ET610*4))*BB610-((EU610*4))*BS610)+AE610*BS610)*AV610)</f>
        <v>0</v>
      </c>
      <c r="CS610">
        <f t="shared" si="513"/>
        <v>0</v>
      </c>
      <c r="CT610">
        <f t="shared" si="514"/>
        <v>283.83999999999997</v>
      </c>
      <c r="CU610">
        <f t="shared" si="515"/>
        <v>0</v>
      </c>
      <c r="CV610">
        <f t="shared" si="516"/>
        <v>0.56000000000000005</v>
      </c>
      <c r="CW610">
        <f t="shared" si="517"/>
        <v>0</v>
      </c>
      <c r="CX610">
        <f t="shared" si="517"/>
        <v>0</v>
      </c>
      <c r="CY610">
        <f t="shared" si="518"/>
        <v>1192.1279999999999</v>
      </c>
      <c r="CZ610">
        <f t="shared" si="519"/>
        <v>170.304</v>
      </c>
      <c r="DC610" t="s">
        <v>3</v>
      </c>
      <c r="DD610" t="s">
        <v>22</v>
      </c>
      <c r="DE610" t="s">
        <v>22</v>
      </c>
      <c r="DF610" t="s">
        <v>22</v>
      </c>
      <c r="DG610" t="s">
        <v>22</v>
      </c>
      <c r="DH610" t="s">
        <v>3</v>
      </c>
      <c r="DI610" t="s">
        <v>22</v>
      </c>
      <c r="DJ610" t="s">
        <v>22</v>
      </c>
      <c r="DK610" t="s">
        <v>3</v>
      </c>
      <c r="DL610" t="s">
        <v>3</v>
      </c>
      <c r="DM610" t="s">
        <v>3</v>
      </c>
      <c r="DN610">
        <v>0</v>
      </c>
      <c r="DO610">
        <v>0</v>
      </c>
      <c r="DP610">
        <v>1</v>
      </c>
      <c r="DQ610">
        <v>1</v>
      </c>
      <c r="DU610">
        <v>16987630</v>
      </c>
      <c r="DV610" t="s">
        <v>32</v>
      </c>
      <c r="DW610" t="s">
        <v>32</v>
      </c>
      <c r="DX610">
        <v>1</v>
      </c>
      <c r="DZ610" t="s">
        <v>3</v>
      </c>
      <c r="EA610" t="s">
        <v>3</v>
      </c>
      <c r="EB610" t="s">
        <v>3</v>
      </c>
      <c r="EC610" t="s">
        <v>3</v>
      </c>
      <c r="EE610">
        <v>1441815344</v>
      </c>
      <c r="EF610">
        <v>1</v>
      </c>
      <c r="EG610" t="s">
        <v>23</v>
      </c>
      <c r="EH610">
        <v>0</v>
      </c>
      <c r="EI610" t="s">
        <v>3</v>
      </c>
      <c r="EJ610">
        <v>4</v>
      </c>
      <c r="EK610">
        <v>0</v>
      </c>
      <c r="EL610" t="s">
        <v>24</v>
      </c>
      <c r="EM610" t="s">
        <v>25</v>
      </c>
      <c r="EO610" t="s">
        <v>3</v>
      </c>
      <c r="EQ610">
        <v>1024</v>
      </c>
      <c r="ER610">
        <v>70.959999999999994</v>
      </c>
      <c r="ES610">
        <v>0</v>
      </c>
      <c r="ET610">
        <v>0</v>
      </c>
      <c r="EU610">
        <v>0</v>
      </c>
      <c r="EV610">
        <v>70.959999999999994</v>
      </c>
      <c r="EW610">
        <v>0.14000000000000001</v>
      </c>
      <c r="EX610">
        <v>0</v>
      </c>
      <c r="EY610">
        <v>0</v>
      </c>
      <c r="FQ610">
        <v>0</v>
      </c>
      <c r="FR610">
        <f t="shared" si="520"/>
        <v>0</v>
      </c>
      <c r="FS610">
        <v>0</v>
      </c>
      <c r="FX610">
        <v>70</v>
      </c>
      <c r="FY610">
        <v>10</v>
      </c>
      <c r="GA610" t="s">
        <v>3</v>
      </c>
      <c r="GD610">
        <v>0</v>
      </c>
      <c r="GF610">
        <v>-1648066009</v>
      </c>
      <c r="GG610">
        <v>2</v>
      </c>
      <c r="GH610">
        <v>1</v>
      </c>
      <c r="GI610">
        <v>-2</v>
      </c>
      <c r="GJ610">
        <v>0</v>
      </c>
      <c r="GK610">
        <f>ROUND(R610*(R12)/100,2)</f>
        <v>0</v>
      </c>
      <c r="GL610">
        <f t="shared" si="521"/>
        <v>0</v>
      </c>
      <c r="GM610">
        <f t="shared" si="522"/>
        <v>3065.47</v>
      </c>
      <c r="GN610">
        <f t="shared" si="523"/>
        <v>0</v>
      </c>
      <c r="GO610">
        <f t="shared" si="524"/>
        <v>0</v>
      </c>
      <c r="GP610">
        <f t="shared" si="525"/>
        <v>3065.47</v>
      </c>
      <c r="GR610">
        <v>0</v>
      </c>
      <c r="GS610">
        <v>3</v>
      </c>
      <c r="GT610">
        <v>0</v>
      </c>
      <c r="GU610" t="s">
        <v>3</v>
      </c>
      <c r="GV610">
        <f t="shared" si="526"/>
        <v>0</v>
      </c>
      <c r="GW610">
        <v>1</v>
      </c>
      <c r="GX610">
        <f t="shared" si="527"/>
        <v>0</v>
      </c>
      <c r="HA610">
        <v>0</v>
      </c>
      <c r="HB610">
        <v>0</v>
      </c>
      <c r="HC610">
        <f t="shared" si="528"/>
        <v>0</v>
      </c>
      <c r="HE610" t="s">
        <v>3</v>
      </c>
      <c r="HF610" t="s">
        <v>3</v>
      </c>
      <c r="HM610" t="s">
        <v>3</v>
      </c>
      <c r="HN610" t="s">
        <v>3</v>
      </c>
      <c r="HO610" t="s">
        <v>3</v>
      </c>
      <c r="HP610" t="s">
        <v>3</v>
      </c>
      <c r="HQ610" t="s">
        <v>3</v>
      </c>
      <c r="IK610">
        <v>0</v>
      </c>
    </row>
    <row r="611" spans="1:245" x14ac:dyDescent="0.2">
      <c r="A611">
        <v>17</v>
      </c>
      <c r="B611">
        <v>1</v>
      </c>
      <c r="D611">
        <f>ROW(EtalonRes!A514)</f>
        <v>514</v>
      </c>
      <c r="E611" t="s">
        <v>3</v>
      </c>
      <c r="F611" t="s">
        <v>445</v>
      </c>
      <c r="G611" t="s">
        <v>446</v>
      </c>
      <c r="H611" t="s">
        <v>32</v>
      </c>
      <c r="I611">
        <f>ROUND(ROUND(2+2+2,9),9)</f>
        <v>6</v>
      </c>
      <c r="J611">
        <v>0</v>
      </c>
      <c r="K611">
        <f>ROUND(ROUND(2+2+2,9),9)</f>
        <v>6</v>
      </c>
      <c r="O611">
        <f t="shared" si="498"/>
        <v>28709.4</v>
      </c>
      <c r="P611">
        <f t="shared" si="499"/>
        <v>0</v>
      </c>
      <c r="Q611">
        <f t="shared" si="500"/>
        <v>0</v>
      </c>
      <c r="R611">
        <f t="shared" si="501"/>
        <v>0</v>
      </c>
      <c r="S611">
        <f t="shared" si="502"/>
        <v>28709.4</v>
      </c>
      <c r="T611">
        <f t="shared" si="503"/>
        <v>0</v>
      </c>
      <c r="U611">
        <f t="shared" si="504"/>
        <v>56.64</v>
      </c>
      <c r="V611">
        <f t="shared" si="505"/>
        <v>0</v>
      </c>
      <c r="W611">
        <f t="shared" si="506"/>
        <v>0</v>
      </c>
      <c r="X611">
        <f t="shared" si="507"/>
        <v>20096.580000000002</v>
      </c>
      <c r="Y611">
        <f t="shared" si="507"/>
        <v>2870.94</v>
      </c>
      <c r="AA611">
        <v>-1</v>
      </c>
      <c r="AB611">
        <f t="shared" si="508"/>
        <v>4784.8999999999996</v>
      </c>
      <c r="AC611">
        <f>ROUND(((ES611*118)),6)</f>
        <v>0</v>
      </c>
      <c r="AD611">
        <f>ROUND(((((ET611*118))-((EU611*118)))+AE611),6)</f>
        <v>0</v>
      </c>
      <c r="AE611">
        <f>ROUND(((EU611*118)),6)</f>
        <v>0</v>
      </c>
      <c r="AF611">
        <f>ROUND(((EV611*118)),6)</f>
        <v>4784.8999999999996</v>
      </c>
      <c r="AG611">
        <f t="shared" si="509"/>
        <v>0</v>
      </c>
      <c r="AH611">
        <f>((EW611*118))</f>
        <v>9.44</v>
      </c>
      <c r="AI611">
        <f>((EX611*118))</f>
        <v>0</v>
      </c>
      <c r="AJ611">
        <f t="shared" si="510"/>
        <v>0</v>
      </c>
      <c r="AK611">
        <v>40.549999999999997</v>
      </c>
      <c r="AL611">
        <v>0</v>
      </c>
      <c r="AM611">
        <v>0</v>
      </c>
      <c r="AN611">
        <v>0</v>
      </c>
      <c r="AO611">
        <v>40.549999999999997</v>
      </c>
      <c r="AP611">
        <v>0</v>
      </c>
      <c r="AQ611">
        <v>0.08</v>
      </c>
      <c r="AR611">
        <v>0</v>
      </c>
      <c r="AS611">
        <v>0</v>
      </c>
      <c r="AT611">
        <v>70</v>
      </c>
      <c r="AU611">
        <v>10</v>
      </c>
      <c r="AV611">
        <v>1</v>
      </c>
      <c r="AW611">
        <v>1</v>
      </c>
      <c r="AZ611">
        <v>1</v>
      </c>
      <c r="BA611">
        <v>1</v>
      </c>
      <c r="BB611">
        <v>1</v>
      </c>
      <c r="BC611">
        <v>1</v>
      </c>
      <c r="BD611" t="s">
        <v>3</v>
      </c>
      <c r="BE611" t="s">
        <v>3</v>
      </c>
      <c r="BF611" t="s">
        <v>3</v>
      </c>
      <c r="BG611" t="s">
        <v>3</v>
      </c>
      <c r="BH611">
        <v>0</v>
      </c>
      <c r="BI611">
        <v>4</v>
      </c>
      <c r="BJ611" t="s">
        <v>447</v>
      </c>
      <c r="BM611">
        <v>0</v>
      </c>
      <c r="BN611">
        <v>0</v>
      </c>
      <c r="BO611" t="s">
        <v>3</v>
      </c>
      <c r="BP611">
        <v>0</v>
      </c>
      <c r="BQ611">
        <v>1</v>
      </c>
      <c r="BR611">
        <v>0</v>
      </c>
      <c r="BS611">
        <v>1</v>
      </c>
      <c r="BT611">
        <v>1</v>
      </c>
      <c r="BU611">
        <v>1</v>
      </c>
      <c r="BV611">
        <v>1</v>
      </c>
      <c r="BW611">
        <v>1</v>
      </c>
      <c r="BX611">
        <v>1</v>
      </c>
      <c r="BY611" t="s">
        <v>3</v>
      </c>
      <c r="BZ611">
        <v>70</v>
      </c>
      <c r="CA611">
        <v>10</v>
      </c>
      <c r="CB611" t="s">
        <v>3</v>
      </c>
      <c r="CE611">
        <v>0</v>
      </c>
      <c r="CF611">
        <v>0</v>
      </c>
      <c r="CG611">
        <v>0</v>
      </c>
      <c r="CM611">
        <v>0</v>
      </c>
      <c r="CN611" t="s">
        <v>3</v>
      </c>
      <c r="CO611">
        <v>0</v>
      </c>
      <c r="CP611">
        <f t="shared" si="511"/>
        <v>28709.4</v>
      </c>
      <c r="CQ611">
        <f t="shared" si="512"/>
        <v>0</v>
      </c>
      <c r="CR611">
        <f>(((((ET611*118))*BB611-((EU611*118))*BS611)+AE611*BS611)*AV611)</f>
        <v>0</v>
      </c>
      <c r="CS611">
        <f t="shared" si="513"/>
        <v>0</v>
      </c>
      <c r="CT611">
        <f t="shared" si="514"/>
        <v>4784.8999999999996</v>
      </c>
      <c r="CU611">
        <f t="shared" si="515"/>
        <v>0</v>
      </c>
      <c r="CV611">
        <f t="shared" si="516"/>
        <v>9.44</v>
      </c>
      <c r="CW611">
        <f t="shared" si="517"/>
        <v>0</v>
      </c>
      <c r="CX611">
        <f t="shared" si="517"/>
        <v>0</v>
      </c>
      <c r="CY611">
        <f t="shared" si="518"/>
        <v>20096.580000000002</v>
      </c>
      <c r="CZ611">
        <f t="shared" si="519"/>
        <v>2870.94</v>
      </c>
      <c r="DC611" t="s">
        <v>3</v>
      </c>
      <c r="DD611" t="s">
        <v>448</v>
      </c>
      <c r="DE611" t="s">
        <v>448</v>
      </c>
      <c r="DF611" t="s">
        <v>448</v>
      </c>
      <c r="DG611" t="s">
        <v>448</v>
      </c>
      <c r="DH611" t="s">
        <v>3</v>
      </c>
      <c r="DI611" t="s">
        <v>448</v>
      </c>
      <c r="DJ611" t="s">
        <v>448</v>
      </c>
      <c r="DK611" t="s">
        <v>3</v>
      </c>
      <c r="DL611" t="s">
        <v>3</v>
      </c>
      <c r="DM611" t="s">
        <v>3</v>
      </c>
      <c r="DN611">
        <v>0</v>
      </c>
      <c r="DO611">
        <v>0</v>
      </c>
      <c r="DP611">
        <v>1</v>
      </c>
      <c r="DQ611">
        <v>1</v>
      </c>
      <c r="DU611">
        <v>16987630</v>
      </c>
      <c r="DV611" t="s">
        <v>32</v>
      </c>
      <c r="DW611" t="s">
        <v>32</v>
      </c>
      <c r="DX611">
        <v>1</v>
      </c>
      <c r="DZ611" t="s">
        <v>3</v>
      </c>
      <c r="EA611" t="s">
        <v>3</v>
      </c>
      <c r="EB611" t="s">
        <v>3</v>
      </c>
      <c r="EC611" t="s">
        <v>3</v>
      </c>
      <c r="EE611">
        <v>1441815344</v>
      </c>
      <c r="EF611">
        <v>1</v>
      </c>
      <c r="EG611" t="s">
        <v>23</v>
      </c>
      <c r="EH611">
        <v>0</v>
      </c>
      <c r="EI611" t="s">
        <v>3</v>
      </c>
      <c r="EJ611">
        <v>4</v>
      </c>
      <c r="EK611">
        <v>0</v>
      </c>
      <c r="EL611" t="s">
        <v>24</v>
      </c>
      <c r="EM611" t="s">
        <v>25</v>
      </c>
      <c r="EO611" t="s">
        <v>3</v>
      </c>
      <c r="EQ611">
        <v>1311744</v>
      </c>
      <c r="ER611">
        <v>40.549999999999997</v>
      </c>
      <c r="ES611">
        <v>0</v>
      </c>
      <c r="ET611">
        <v>0</v>
      </c>
      <c r="EU611">
        <v>0</v>
      </c>
      <c r="EV611">
        <v>40.549999999999997</v>
      </c>
      <c r="EW611">
        <v>0.08</v>
      </c>
      <c r="EX611">
        <v>0</v>
      </c>
      <c r="EY611">
        <v>0</v>
      </c>
      <c r="FQ611">
        <v>0</v>
      </c>
      <c r="FR611">
        <f t="shared" si="520"/>
        <v>0</v>
      </c>
      <c r="FS611">
        <v>0</v>
      </c>
      <c r="FX611">
        <v>70</v>
      </c>
      <c r="FY611">
        <v>10</v>
      </c>
      <c r="GA611" t="s">
        <v>3</v>
      </c>
      <c r="GD611">
        <v>0</v>
      </c>
      <c r="GF611">
        <v>-760003618</v>
      </c>
      <c r="GG611">
        <v>2</v>
      </c>
      <c r="GH611">
        <v>1</v>
      </c>
      <c r="GI611">
        <v>-2</v>
      </c>
      <c r="GJ611">
        <v>0</v>
      </c>
      <c r="GK611">
        <f>ROUND(R611*(R12)/100,2)</f>
        <v>0</v>
      </c>
      <c r="GL611">
        <f t="shared" si="521"/>
        <v>0</v>
      </c>
      <c r="GM611">
        <f t="shared" si="522"/>
        <v>51676.92</v>
      </c>
      <c r="GN611">
        <f t="shared" si="523"/>
        <v>0</v>
      </c>
      <c r="GO611">
        <f t="shared" si="524"/>
        <v>0</v>
      </c>
      <c r="GP611">
        <f t="shared" si="525"/>
        <v>51676.92</v>
      </c>
      <c r="GR611">
        <v>0</v>
      </c>
      <c r="GS611">
        <v>3</v>
      </c>
      <c r="GT611">
        <v>0</v>
      </c>
      <c r="GU611" t="s">
        <v>3</v>
      </c>
      <c r="GV611">
        <f t="shared" si="526"/>
        <v>0</v>
      </c>
      <c r="GW611">
        <v>1</v>
      </c>
      <c r="GX611">
        <f t="shared" si="527"/>
        <v>0</v>
      </c>
      <c r="HA611">
        <v>0</v>
      </c>
      <c r="HB611">
        <v>0</v>
      </c>
      <c r="HC611">
        <f t="shared" si="528"/>
        <v>0</v>
      </c>
      <c r="HE611" t="s">
        <v>3</v>
      </c>
      <c r="HF611" t="s">
        <v>3</v>
      </c>
      <c r="HM611" t="s">
        <v>3</v>
      </c>
      <c r="HN611" t="s">
        <v>3</v>
      </c>
      <c r="HO611" t="s">
        <v>3</v>
      </c>
      <c r="HP611" t="s">
        <v>3</v>
      </c>
      <c r="HQ611" t="s">
        <v>3</v>
      </c>
      <c r="IK611">
        <v>0</v>
      </c>
    </row>
    <row r="612" spans="1:245" x14ac:dyDescent="0.2">
      <c r="A612">
        <v>19</v>
      </c>
      <c r="B612">
        <v>1</v>
      </c>
      <c r="F612" t="s">
        <v>3</v>
      </c>
      <c r="G612" t="s">
        <v>449</v>
      </c>
      <c r="H612" t="s">
        <v>3</v>
      </c>
      <c r="AA612">
        <v>1</v>
      </c>
      <c r="IK612">
        <v>0</v>
      </c>
    </row>
    <row r="613" spans="1:245" x14ac:dyDescent="0.2">
      <c r="A613">
        <v>17</v>
      </c>
      <c r="B613">
        <v>1</v>
      </c>
      <c r="D613">
        <f>ROW(EtalonRes!A519)</f>
        <v>519</v>
      </c>
      <c r="E613" t="s">
        <v>450</v>
      </c>
      <c r="F613" t="s">
        <v>424</v>
      </c>
      <c r="G613" t="s">
        <v>451</v>
      </c>
      <c r="H613" t="s">
        <v>32</v>
      </c>
      <c r="I613">
        <v>1</v>
      </c>
      <c r="J613">
        <v>0</v>
      </c>
      <c r="K613">
        <v>1</v>
      </c>
      <c r="O613">
        <f t="shared" ref="O613:O621" si="529">ROUND(CP613,2)</f>
        <v>15025.29</v>
      </c>
      <c r="P613">
        <f t="shared" ref="P613:P621" si="530">ROUND(CQ613*I613,2)</f>
        <v>205.53</v>
      </c>
      <c r="Q613">
        <f t="shared" ref="Q613:Q621" si="531">ROUND(CR613*I613,2)</f>
        <v>0</v>
      </c>
      <c r="R613">
        <f t="shared" ref="R613:R621" si="532">ROUND(CS613*I613,2)</f>
        <v>0</v>
      </c>
      <c r="S613">
        <f t="shared" ref="S613:S621" si="533">ROUND(CT613*I613,2)</f>
        <v>14819.76</v>
      </c>
      <c r="T613">
        <f t="shared" ref="T613:T621" si="534">ROUND(CU613*I613,2)</f>
        <v>0</v>
      </c>
      <c r="U613">
        <f t="shared" ref="U613:U621" si="535">CV613*I613</f>
        <v>24</v>
      </c>
      <c r="V613">
        <f t="shared" ref="V613:V621" si="536">CW613*I613</f>
        <v>0</v>
      </c>
      <c r="W613">
        <f t="shared" ref="W613:W621" si="537">ROUND(CX613*I613,2)</f>
        <v>0</v>
      </c>
      <c r="X613">
        <f t="shared" ref="X613:X621" si="538">ROUND(CY613,2)</f>
        <v>10373.83</v>
      </c>
      <c r="Y613">
        <f t="shared" ref="Y613:Y621" si="539">ROUND(CZ613,2)</f>
        <v>1481.98</v>
      </c>
      <c r="AA613">
        <v>1472224561</v>
      </c>
      <c r="AB613">
        <f t="shared" ref="AB613:AB621" si="540">ROUND((AC613+AD613+AF613),6)</f>
        <v>15025.29</v>
      </c>
      <c r="AC613">
        <f>ROUND((ES613),6)</f>
        <v>205.53</v>
      </c>
      <c r="AD613">
        <f>ROUND((((ET613)-(EU613))+AE613),6)</f>
        <v>0</v>
      </c>
      <c r="AE613">
        <f>ROUND((EU613),6)</f>
        <v>0</v>
      </c>
      <c r="AF613">
        <f>ROUND((EV613),6)</f>
        <v>14819.76</v>
      </c>
      <c r="AG613">
        <f t="shared" ref="AG613:AG621" si="541">ROUND((AP613),6)</f>
        <v>0</v>
      </c>
      <c r="AH613">
        <f>(EW613)</f>
        <v>24</v>
      </c>
      <c r="AI613">
        <f>(EX613)</f>
        <v>0</v>
      </c>
      <c r="AJ613">
        <f t="shared" ref="AJ613:AJ621" si="542">(AS613)</f>
        <v>0</v>
      </c>
      <c r="AK613">
        <v>15025.29</v>
      </c>
      <c r="AL613">
        <v>205.53</v>
      </c>
      <c r="AM613">
        <v>0</v>
      </c>
      <c r="AN613">
        <v>0</v>
      </c>
      <c r="AO613">
        <v>14819.76</v>
      </c>
      <c r="AP613">
        <v>0</v>
      </c>
      <c r="AQ613">
        <v>24</v>
      </c>
      <c r="AR613">
        <v>0</v>
      </c>
      <c r="AS613">
        <v>0</v>
      </c>
      <c r="AT613">
        <v>70</v>
      </c>
      <c r="AU613">
        <v>10</v>
      </c>
      <c r="AV613">
        <v>1</v>
      </c>
      <c r="AW613">
        <v>1</v>
      </c>
      <c r="AZ613">
        <v>1</v>
      </c>
      <c r="BA613">
        <v>1</v>
      </c>
      <c r="BB613">
        <v>1</v>
      </c>
      <c r="BC613">
        <v>1</v>
      </c>
      <c r="BD613" t="s">
        <v>3</v>
      </c>
      <c r="BE613" t="s">
        <v>3</v>
      </c>
      <c r="BF613" t="s">
        <v>3</v>
      </c>
      <c r="BG613" t="s">
        <v>3</v>
      </c>
      <c r="BH613">
        <v>0</v>
      </c>
      <c r="BI613">
        <v>4</v>
      </c>
      <c r="BJ613" t="s">
        <v>426</v>
      </c>
      <c r="BM613">
        <v>0</v>
      </c>
      <c r="BN613">
        <v>0</v>
      </c>
      <c r="BO613" t="s">
        <v>3</v>
      </c>
      <c r="BP613">
        <v>0</v>
      </c>
      <c r="BQ613">
        <v>1</v>
      </c>
      <c r="BR613">
        <v>0</v>
      </c>
      <c r="BS613">
        <v>1</v>
      </c>
      <c r="BT613">
        <v>1</v>
      </c>
      <c r="BU613">
        <v>1</v>
      </c>
      <c r="BV613">
        <v>1</v>
      </c>
      <c r="BW613">
        <v>1</v>
      </c>
      <c r="BX613">
        <v>1</v>
      </c>
      <c r="BY613" t="s">
        <v>3</v>
      </c>
      <c r="BZ613">
        <v>70</v>
      </c>
      <c r="CA613">
        <v>10</v>
      </c>
      <c r="CB613" t="s">
        <v>3</v>
      </c>
      <c r="CE613">
        <v>0</v>
      </c>
      <c r="CF613">
        <v>0</v>
      </c>
      <c r="CG613">
        <v>0</v>
      </c>
      <c r="CM613">
        <v>0</v>
      </c>
      <c r="CN613" t="s">
        <v>3</v>
      </c>
      <c r="CO613">
        <v>0</v>
      </c>
      <c r="CP613">
        <f t="shared" ref="CP613:CP621" si="543">(P613+Q613+S613)</f>
        <v>15025.29</v>
      </c>
      <c r="CQ613">
        <f t="shared" ref="CQ613:CQ621" si="544">(AC613*BC613*AW613)</f>
        <v>205.53</v>
      </c>
      <c r="CR613">
        <f>((((ET613)*BB613-(EU613)*BS613)+AE613*BS613)*AV613)</f>
        <v>0</v>
      </c>
      <c r="CS613">
        <f t="shared" ref="CS613:CS621" si="545">(AE613*BS613*AV613)</f>
        <v>0</v>
      </c>
      <c r="CT613">
        <f t="shared" ref="CT613:CT621" si="546">(AF613*BA613*AV613)</f>
        <v>14819.76</v>
      </c>
      <c r="CU613">
        <f t="shared" ref="CU613:CU621" si="547">AG613</f>
        <v>0</v>
      </c>
      <c r="CV613">
        <f t="shared" ref="CV613:CV621" si="548">(AH613*AV613)</f>
        <v>24</v>
      </c>
      <c r="CW613">
        <f t="shared" ref="CW613:CW621" si="549">AI613</f>
        <v>0</v>
      </c>
      <c r="CX613">
        <f t="shared" ref="CX613:CX621" si="550">AJ613</f>
        <v>0</v>
      </c>
      <c r="CY613">
        <f t="shared" ref="CY613:CY621" si="551">((S613*BZ613)/100)</f>
        <v>10373.832</v>
      </c>
      <c r="CZ613">
        <f t="shared" ref="CZ613:CZ621" si="552">((S613*CA613)/100)</f>
        <v>1481.9760000000001</v>
      </c>
      <c r="DC613" t="s">
        <v>3</v>
      </c>
      <c r="DD613" t="s">
        <v>3</v>
      </c>
      <c r="DE613" t="s">
        <v>3</v>
      </c>
      <c r="DF613" t="s">
        <v>3</v>
      </c>
      <c r="DG613" t="s">
        <v>3</v>
      </c>
      <c r="DH613" t="s">
        <v>3</v>
      </c>
      <c r="DI613" t="s">
        <v>3</v>
      </c>
      <c r="DJ613" t="s">
        <v>3</v>
      </c>
      <c r="DK613" t="s">
        <v>3</v>
      </c>
      <c r="DL613" t="s">
        <v>3</v>
      </c>
      <c r="DM613" t="s">
        <v>3</v>
      </c>
      <c r="DN613">
        <v>0</v>
      </c>
      <c r="DO613">
        <v>0</v>
      </c>
      <c r="DP613">
        <v>1</v>
      </c>
      <c r="DQ613">
        <v>1</v>
      </c>
      <c r="DU613">
        <v>16987630</v>
      </c>
      <c r="DV613" t="s">
        <v>32</v>
      </c>
      <c r="DW613" t="s">
        <v>32</v>
      </c>
      <c r="DX613">
        <v>1</v>
      </c>
      <c r="DZ613" t="s">
        <v>3</v>
      </c>
      <c r="EA613" t="s">
        <v>3</v>
      </c>
      <c r="EB613" t="s">
        <v>3</v>
      </c>
      <c r="EC613" t="s">
        <v>3</v>
      </c>
      <c r="EE613">
        <v>1441815344</v>
      </c>
      <c r="EF613">
        <v>1</v>
      </c>
      <c r="EG613" t="s">
        <v>23</v>
      </c>
      <c r="EH613">
        <v>0</v>
      </c>
      <c r="EI613" t="s">
        <v>3</v>
      </c>
      <c r="EJ613">
        <v>4</v>
      </c>
      <c r="EK613">
        <v>0</v>
      </c>
      <c r="EL613" t="s">
        <v>24</v>
      </c>
      <c r="EM613" t="s">
        <v>25</v>
      </c>
      <c r="EO613" t="s">
        <v>3</v>
      </c>
      <c r="EQ613">
        <v>0</v>
      </c>
      <c r="ER613">
        <v>15025.29</v>
      </c>
      <c r="ES613">
        <v>205.53</v>
      </c>
      <c r="ET613">
        <v>0</v>
      </c>
      <c r="EU613">
        <v>0</v>
      </c>
      <c r="EV613">
        <v>14819.76</v>
      </c>
      <c r="EW613">
        <v>24</v>
      </c>
      <c r="EX613">
        <v>0</v>
      </c>
      <c r="EY613">
        <v>0</v>
      </c>
      <c r="FQ613">
        <v>0</v>
      </c>
      <c r="FR613">
        <f t="shared" ref="FR613:FR621" si="553">ROUND(IF(BI613=3,GM613,0),2)</f>
        <v>0</v>
      </c>
      <c r="FS613">
        <v>0</v>
      </c>
      <c r="FX613">
        <v>70</v>
      </c>
      <c r="FY613">
        <v>10</v>
      </c>
      <c r="GA613" t="s">
        <v>3</v>
      </c>
      <c r="GD613">
        <v>0</v>
      </c>
      <c r="GF613">
        <v>1432440124</v>
      </c>
      <c r="GG613">
        <v>2</v>
      </c>
      <c r="GH613">
        <v>1</v>
      </c>
      <c r="GI613">
        <v>-2</v>
      </c>
      <c r="GJ613">
        <v>0</v>
      </c>
      <c r="GK613">
        <f>ROUND(R613*(R12)/100,2)</f>
        <v>0</v>
      </c>
      <c r="GL613">
        <f t="shared" ref="GL613:GL621" si="554">ROUND(IF(AND(BH613=3,BI613=3,FS613&lt;&gt;0),P613,0),2)</f>
        <v>0</v>
      </c>
      <c r="GM613">
        <f t="shared" ref="GM613:GM621" si="555">ROUND(O613+X613+Y613+GK613,2)+GX613</f>
        <v>26881.1</v>
      </c>
      <c r="GN613">
        <f t="shared" ref="GN613:GN621" si="556">IF(OR(BI613=0,BI613=1),GM613-GX613,0)</f>
        <v>0</v>
      </c>
      <c r="GO613">
        <f t="shared" ref="GO613:GO621" si="557">IF(BI613=2,GM613-GX613,0)</f>
        <v>0</v>
      </c>
      <c r="GP613">
        <f t="shared" ref="GP613:GP621" si="558">IF(BI613=4,GM613-GX613,0)</f>
        <v>26881.1</v>
      </c>
      <c r="GR613">
        <v>0</v>
      </c>
      <c r="GS613">
        <v>3</v>
      </c>
      <c r="GT613">
        <v>0</v>
      </c>
      <c r="GU613" t="s">
        <v>3</v>
      </c>
      <c r="GV613">
        <f t="shared" ref="GV613:GV621" si="559">ROUND((GT613),6)</f>
        <v>0</v>
      </c>
      <c r="GW613">
        <v>1</v>
      </c>
      <c r="GX613">
        <f t="shared" ref="GX613:GX621" si="560">ROUND(HC613*I613,2)</f>
        <v>0</v>
      </c>
      <c r="HA613">
        <v>0</v>
      </c>
      <c r="HB613">
        <v>0</v>
      </c>
      <c r="HC613">
        <f t="shared" ref="HC613:HC621" si="561">GV613*GW613</f>
        <v>0</v>
      </c>
      <c r="HE613" t="s">
        <v>3</v>
      </c>
      <c r="HF613" t="s">
        <v>3</v>
      </c>
      <c r="HM613" t="s">
        <v>3</v>
      </c>
      <c r="HN613" t="s">
        <v>3</v>
      </c>
      <c r="HO613" t="s">
        <v>3</v>
      </c>
      <c r="HP613" t="s">
        <v>3</v>
      </c>
      <c r="HQ613" t="s">
        <v>3</v>
      </c>
      <c r="IK613">
        <v>0</v>
      </c>
    </row>
    <row r="614" spans="1:245" x14ac:dyDescent="0.2">
      <c r="A614">
        <v>17</v>
      </c>
      <c r="B614">
        <v>1</v>
      </c>
      <c r="D614">
        <f>ROW(EtalonRes!A521)</f>
        <v>521</v>
      </c>
      <c r="E614" t="s">
        <v>3</v>
      </c>
      <c r="F614" t="s">
        <v>427</v>
      </c>
      <c r="G614" t="s">
        <v>452</v>
      </c>
      <c r="H614" t="s">
        <v>32</v>
      </c>
      <c r="I614">
        <v>1</v>
      </c>
      <c r="J614">
        <v>0</v>
      </c>
      <c r="K614">
        <v>1</v>
      </c>
      <c r="O614">
        <f t="shared" si="529"/>
        <v>1484.19</v>
      </c>
      <c r="P614">
        <f t="shared" si="530"/>
        <v>2.2200000000000002</v>
      </c>
      <c r="Q614">
        <f t="shared" si="531"/>
        <v>0</v>
      </c>
      <c r="R614">
        <f t="shared" si="532"/>
        <v>0</v>
      </c>
      <c r="S614">
        <f t="shared" si="533"/>
        <v>1481.97</v>
      </c>
      <c r="T614">
        <f t="shared" si="534"/>
        <v>0</v>
      </c>
      <c r="U614">
        <f t="shared" si="535"/>
        <v>2.4000000000000004</v>
      </c>
      <c r="V614">
        <f t="shared" si="536"/>
        <v>0</v>
      </c>
      <c r="W614">
        <f t="shared" si="537"/>
        <v>0</v>
      </c>
      <c r="X614">
        <f t="shared" si="538"/>
        <v>1037.3800000000001</v>
      </c>
      <c r="Y614">
        <f t="shared" si="539"/>
        <v>148.19999999999999</v>
      </c>
      <c r="AA614">
        <v>-1</v>
      </c>
      <c r="AB614">
        <f t="shared" si="540"/>
        <v>1484.19</v>
      </c>
      <c r="AC614">
        <f>ROUND(((ES614*3)),6)</f>
        <v>2.2200000000000002</v>
      </c>
      <c r="AD614">
        <f>ROUND(((((ET614*3))-((EU614*3)))+AE614),6)</f>
        <v>0</v>
      </c>
      <c r="AE614">
        <f>ROUND(((EU614*3)),6)</f>
        <v>0</v>
      </c>
      <c r="AF614">
        <f>ROUND(((EV614*3)),6)</f>
        <v>1481.97</v>
      </c>
      <c r="AG614">
        <f t="shared" si="541"/>
        <v>0</v>
      </c>
      <c r="AH614">
        <f>((EW614*3))</f>
        <v>2.4000000000000004</v>
      </c>
      <c r="AI614">
        <f>((EX614*3))</f>
        <v>0</v>
      </c>
      <c r="AJ614">
        <f t="shared" si="542"/>
        <v>0</v>
      </c>
      <c r="AK614">
        <v>494.73</v>
      </c>
      <c r="AL614">
        <v>0.74</v>
      </c>
      <c r="AM614">
        <v>0</v>
      </c>
      <c r="AN614">
        <v>0</v>
      </c>
      <c r="AO614">
        <v>493.99</v>
      </c>
      <c r="AP614">
        <v>0</v>
      </c>
      <c r="AQ614">
        <v>0.8</v>
      </c>
      <c r="AR614">
        <v>0</v>
      </c>
      <c r="AS614">
        <v>0</v>
      </c>
      <c r="AT614">
        <v>70</v>
      </c>
      <c r="AU614">
        <v>10</v>
      </c>
      <c r="AV614">
        <v>1</v>
      </c>
      <c r="AW614">
        <v>1</v>
      </c>
      <c r="AZ614">
        <v>1</v>
      </c>
      <c r="BA614">
        <v>1</v>
      </c>
      <c r="BB614">
        <v>1</v>
      </c>
      <c r="BC614">
        <v>1</v>
      </c>
      <c r="BD614" t="s">
        <v>3</v>
      </c>
      <c r="BE614" t="s">
        <v>3</v>
      </c>
      <c r="BF614" t="s">
        <v>3</v>
      </c>
      <c r="BG614" t="s">
        <v>3</v>
      </c>
      <c r="BH614">
        <v>0</v>
      </c>
      <c r="BI614">
        <v>4</v>
      </c>
      <c r="BJ614" t="s">
        <v>429</v>
      </c>
      <c r="BM614">
        <v>0</v>
      </c>
      <c r="BN614">
        <v>0</v>
      </c>
      <c r="BO614" t="s">
        <v>3</v>
      </c>
      <c r="BP614">
        <v>0</v>
      </c>
      <c r="BQ614">
        <v>1</v>
      </c>
      <c r="BR614">
        <v>0</v>
      </c>
      <c r="BS614">
        <v>1</v>
      </c>
      <c r="BT614">
        <v>1</v>
      </c>
      <c r="BU614">
        <v>1</v>
      </c>
      <c r="BV614">
        <v>1</v>
      </c>
      <c r="BW614">
        <v>1</v>
      </c>
      <c r="BX614">
        <v>1</v>
      </c>
      <c r="BY614" t="s">
        <v>3</v>
      </c>
      <c r="BZ614">
        <v>70</v>
      </c>
      <c r="CA614">
        <v>10</v>
      </c>
      <c r="CB614" t="s">
        <v>3</v>
      </c>
      <c r="CE614">
        <v>0</v>
      </c>
      <c r="CF614">
        <v>0</v>
      </c>
      <c r="CG614">
        <v>0</v>
      </c>
      <c r="CM614">
        <v>0</v>
      </c>
      <c r="CN614" t="s">
        <v>3</v>
      </c>
      <c r="CO614">
        <v>0</v>
      </c>
      <c r="CP614">
        <f t="shared" si="543"/>
        <v>1484.19</v>
      </c>
      <c r="CQ614">
        <f t="shared" si="544"/>
        <v>2.2200000000000002</v>
      </c>
      <c r="CR614">
        <f>(((((ET614*3))*BB614-((EU614*3))*BS614)+AE614*BS614)*AV614)</f>
        <v>0</v>
      </c>
      <c r="CS614">
        <f t="shared" si="545"/>
        <v>0</v>
      </c>
      <c r="CT614">
        <f t="shared" si="546"/>
        <v>1481.97</v>
      </c>
      <c r="CU614">
        <f t="shared" si="547"/>
        <v>0</v>
      </c>
      <c r="CV614">
        <f t="shared" si="548"/>
        <v>2.4000000000000004</v>
      </c>
      <c r="CW614">
        <f t="shared" si="549"/>
        <v>0</v>
      </c>
      <c r="CX614">
        <f t="shared" si="550"/>
        <v>0</v>
      </c>
      <c r="CY614">
        <f t="shared" si="551"/>
        <v>1037.3790000000001</v>
      </c>
      <c r="CZ614">
        <f t="shared" si="552"/>
        <v>148.197</v>
      </c>
      <c r="DC614" t="s">
        <v>3</v>
      </c>
      <c r="DD614" t="s">
        <v>290</v>
      </c>
      <c r="DE614" t="s">
        <v>290</v>
      </c>
      <c r="DF614" t="s">
        <v>290</v>
      </c>
      <c r="DG614" t="s">
        <v>290</v>
      </c>
      <c r="DH614" t="s">
        <v>3</v>
      </c>
      <c r="DI614" t="s">
        <v>290</v>
      </c>
      <c r="DJ614" t="s">
        <v>290</v>
      </c>
      <c r="DK614" t="s">
        <v>3</v>
      </c>
      <c r="DL614" t="s">
        <v>3</v>
      </c>
      <c r="DM614" t="s">
        <v>3</v>
      </c>
      <c r="DN614">
        <v>0</v>
      </c>
      <c r="DO614">
        <v>0</v>
      </c>
      <c r="DP614">
        <v>1</v>
      </c>
      <c r="DQ614">
        <v>1</v>
      </c>
      <c r="DU614">
        <v>16987630</v>
      </c>
      <c r="DV614" t="s">
        <v>32</v>
      </c>
      <c r="DW614" t="s">
        <v>32</v>
      </c>
      <c r="DX614">
        <v>1</v>
      </c>
      <c r="DZ614" t="s">
        <v>3</v>
      </c>
      <c r="EA614" t="s">
        <v>3</v>
      </c>
      <c r="EB614" t="s">
        <v>3</v>
      </c>
      <c r="EC614" t="s">
        <v>3</v>
      </c>
      <c r="EE614">
        <v>1441815344</v>
      </c>
      <c r="EF614">
        <v>1</v>
      </c>
      <c r="EG614" t="s">
        <v>23</v>
      </c>
      <c r="EH614">
        <v>0</v>
      </c>
      <c r="EI614" t="s">
        <v>3</v>
      </c>
      <c r="EJ614">
        <v>4</v>
      </c>
      <c r="EK614">
        <v>0</v>
      </c>
      <c r="EL614" t="s">
        <v>24</v>
      </c>
      <c r="EM614" t="s">
        <v>25</v>
      </c>
      <c r="EO614" t="s">
        <v>3</v>
      </c>
      <c r="EQ614">
        <v>1024</v>
      </c>
      <c r="ER614">
        <v>494.73</v>
      </c>
      <c r="ES614">
        <v>0.74</v>
      </c>
      <c r="ET614">
        <v>0</v>
      </c>
      <c r="EU614">
        <v>0</v>
      </c>
      <c r="EV614">
        <v>493.99</v>
      </c>
      <c r="EW614">
        <v>0.8</v>
      </c>
      <c r="EX614">
        <v>0</v>
      </c>
      <c r="EY614">
        <v>0</v>
      </c>
      <c r="FQ614">
        <v>0</v>
      </c>
      <c r="FR614">
        <f t="shared" si="553"/>
        <v>0</v>
      </c>
      <c r="FS614">
        <v>0</v>
      </c>
      <c r="FX614">
        <v>70</v>
      </c>
      <c r="FY614">
        <v>10</v>
      </c>
      <c r="GA614" t="s">
        <v>3</v>
      </c>
      <c r="GD614">
        <v>0</v>
      </c>
      <c r="GF614">
        <v>292563352</v>
      </c>
      <c r="GG614">
        <v>2</v>
      </c>
      <c r="GH614">
        <v>1</v>
      </c>
      <c r="GI614">
        <v>-2</v>
      </c>
      <c r="GJ614">
        <v>0</v>
      </c>
      <c r="GK614">
        <f>ROUND(R614*(R12)/100,2)</f>
        <v>0</v>
      </c>
      <c r="GL614">
        <f t="shared" si="554"/>
        <v>0</v>
      </c>
      <c r="GM614">
        <f t="shared" si="555"/>
        <v>2669.77</v>
      </c>
      <c r="GN614">
        <f t="shared" si="556"/>
        <v>0</v>
      </c>
      <c r="GO614">
        <f t="shared" si="557"/>
        <v>0</v>
      </c>
      <c r="GP614">
        <f t="shared" si="558"/>
        <v>2669.77</v>
      </c>
      <c r="GR614">
        <v>0</v>
      </c>
      <c r="GS614">
        <v>3</v>
      </c>
      <c r="GT614">
        <v>0</v>
      </c>
      <c r="GU614" t="s">
        <v>3</v>
      </c>
      <c r="GV614">
        <f t="shared" si="559"/>
        <v>0</v>
      </c>
      <c r="GW614">
        <v>1</v>
      </c>
      <c r="GX614">
        <f t="shared" si="560"/>
        <v>0</v>
      </c>
      <c r="HA614">
        <v>0</v>
      </c>
      <c r="HB614">
        <v>0</v>
      </c>
      <c r="HC614">
        <f t="shared" si="561"/>
        <v>0</v>
      </c>
      <c r="HE614" t="s">
        <v>3</v>
      </c>
      <c r="HF614" t="s">
        <v>3</v>
      </c>
      <c r="HM614" t="s">
        <v>3</v>
      </c>
      <c r="HN614" t="s">
        <v>3</v>
      </c>
      <c r="HO614" t="s">
        <v>3</v>
      </c>
      <c r="HP614" t="s">
        <v>3</v>
      </c>
      <c r="HQ614" t="s">
        <v>3</v>
      </c>
      <c r="IK614">
        <v>0</v>
      </c>
    </row>
    <row r="615" spans="1:245" x14ac:dyDescent="0.2">
      <c r="A615">
        <v>17</v>
      </c>
      <c r="B615">
        <v>1</v>
      </c>
      <c r="D615">
        <f>ROW(EtalonRes!A526)</f>
        <v>526</v>
      </c>
      <c r="E615" t="s">
        <v>453</v>
      </c>
      <c r="F615" t="s">
        <v>431</v>
      </c>
      <c r="G615" t="s">
        <v>454</v>
      </c>
      <c r="H615" t="s">
        <v>32</v>
      </c>
      <c r="I615">
        <v>1</v>
      </c>
      <c r="J615">
        <v>0</v>
      </c>
      <c r="K615">
        <v>1</v>
      </c>
      <c r="O615">
        <f t="shared" si="529"/>
        <v>11268.96</v>
      </c>
      <c r="P615">
        <f t="shared" si="530"/>
        <v>154.13999999999999</v>
      </c>
      <c r="Q615">
        <f t="shared" si="531"/>
        <v>0</v>
      </c>
      <c r="R615">
        <f t="shared" si="532"/>
        <v>0</v>
      </c>
      <c r="S615">
        <f t="shared" si="533"/>
        <v>11114.82</v>
      </c>
      <c r="T615">
        <f t="shared" si="534"/>
        <v>0</v>
      </c>
      <c r="U615">
        <f t="shared" si="535"/>
        <v>18</v>
      </c>
      <c r="V615">
        <f t="shared" si="536"/>
        <v>0</v>
      </c>
      <c r="W615">
        <f t="shared" si="537"/>
        <v>0</v>
      </c>
      <c r="X615">
        <f t="shared" si="538"/>
        <v>7780.37</v>
      </c>
      <c r="Y615">
        <f t="shared" si="539"/>
        <v>1111.48</v>
      </c>
      <c r="AA615">
        <v>1472224561</v>
      </c>
      <c r="AB615">
        <f t="shared" si="540"/>
        <v>11268.96</v>
      </c>
      <c r="AC615">
        <f>ROUND((ES615),6)</f>
        <v>154.13999999999999</v>
      </c>
      <c r="AD615">
        <f>ROUND((((ET615)-(EU615))+AE615),6)</f>
        <v>0</v>
      </c>
      <c r="AE615">
        <f>ROUND((EU615),6)</f>
        <v>0</v>
      </c>
      <c r="AF615">
        <f>ROUND((EV615),6)</f>
        <v>11114.82</v>
      </c>
      <c r="AG615">
        <f t="shared" si="541"/>
        <v>0</v>
      </c>
      <c r="AH615">
        <f>(EW615)</f>
        <v>18</v>
      </c>
      <c r="AI615">
        <f>(EX615)</f>
        <v>0</v>
      </c>
      <c r="AJ615">
        <f t="shared" si="542"/>
        <v>0</v>
      </c>
      <c r="AK615">
        <v>11268.96</v>
      </c>
      <c r="AL615">
        <v>154.13999999999999</v>
      </c>
      <c r="AM615">
        <v>0</v>
      </c>
      <c r="AN615">
        <v>0</v>
      </c>
      <c r="AO615">
        <v>11114.82</v>
      </c>
      <c r="AP615">
        <v>0</v>
      </c>
      <c r="AQ615">
        <v>18</v>
      </c>
      <c r="AR615">
        <v>0</v>
      </c>
      <c r="AS615">
        <v>0</v>
      </c>
      <c r="AT615">
        <v>70</v>
      </c>
      <c r="AU615">
        <v>10</v>
      </c>
      <c r="AV615">
        <v>1</v>
      </c>
      <c r="AW615">
        <v>1</v>
      </c>
      <c r="AZ615">
        <v>1</v>
      </c>
      <c r="BA615">
        <v>1</v>
      </c>
      <c r="BB615">
        <v>1</v>
      </c>
      <c r="BC615">
        <v>1</v>
      </c>
      <c r="BD615" t="s">
        <v>3</v>
      </c>
      <c r="BE615" t="s">
        <v>3</v>
      </c>
      <c r="BF615" t="s">
        <v>3</v>
      </c>
      <c r="BG615" t="s">
        <v>3</v>
      </c>
      <c r="BH615">
        <v>0</v>
      </c>
      <c r="BI615">
        <v>4</v>
      </c>
      <c r="BJ615" t="s">
        <v>433</v>
      </c>
      <c r="BM615">
        <v>0</v>
      </c>
      <c r="BN615">
        <v>0</v>
      </c>
      <c r="BO615" t="s">
        <v>3</v>
      </c>
      <c r="BP615">
        <v>0</v>
      </c>
      <c r="BQ615">
        <v>1</v>
      </c>
      <c r="BR615">
        <v>0</v>
      </c>
      <c r="BS615">
        <v>1</v>
      </c>
      <c r="BT615">
        <v>1</v>
      </c>
      <c r="BU615">
        <v>1</v>
      </c>
      <c r="BV615">
        <v>1</v>
      </c>
      <c r="BW615">
        <v>1</v>
      </c>
      <c r="BX615">
        <v>1</v>
      </c>
      <c r="BY615" t="s">
        <v>3</v>
      </c>
      <c r="BZ615">
        <v>70</v>
      </c>
      <c r="CA615">
        <v>10</v>
      </c>
      <c r="CB615" t="s">
        <v>3</v>
      </c>
      <c r="CE615">
        <v>0</v>
      </c>
      <c r="CF615">
        <v>0</v>
      </c>
      <c r="CG615">
        <v>0</v>
      </c>
      <c r="CM615">
        <v>0</v>
      </c>
      <c r="CN615" t="s">
        <v>3</v>
      </c>
      <c r="CO615">
        <v>0</v>
      </c>
      <c r="CP615">
        <f t="shared" si="543"/>
        <v>11268.96</v>
      </c>
      <c r="CQ615">
        <f t="shared" si="544"/>
        <v>154.13999999999999</v>
      </c>
      <c r="CR615">
        <f>((((ET615)*BB615-(EU615)*BS615)+AE615*BS615)*AV615)</f>
        <v>0</v>
      </c>
      <c r="CS615">
        <f t="shared" si="545"/>
        <v>0</v>
      </c>
      <c r="CT615">
        <f t="shared" si="546"/>
        <v>11114.82</v>
      </c>
      <c r="CU615">
        <f t="shared" si="547"/>
        <v>0</v>
      </c>
      <c r="CV615">
        <f t="shared" si="548"/>
        <v>18</v>
      </c>
      <c r="CW615">
        <f t="shared" si="549"/>
        <v>0</v>
      </c>
      <c r="CX615">
        <f t="shared" si="550"/>
        <v>0</v>
      </c>
      <c r="CY615">
        <f t="shared" si="551"/>
        <v>7780.3739999999998</v>
      </c>
      <c r="CZ615">
        <f t="shared" si="552"/>
        <v>1111.482</v>
      </c>
      <c r="DC615" t="s">
        <v>3</v>
      </c>
      <c r="DD615" t="s">
        <v>3</v>
      </c>
      <c r="DE615" t="s">
        <v>3</v>
      </c>
      <c r="DF615" t="s">
        <v>3</v>
      </c>
      <c r="DG615" t="s">
        <v>3</v>
      </c>
      <c r="DH615" t="s">
        <v>3</v>
      </c>
      <c r="DI615" t="s">
        <v>3</v>
      </c>
      <c r="DJ615" t="s">
        <v>3</v>
      </c>
      <c r="DK615" t="s">
        <v>3</v>
      </c>
      <c r="DL615" t="s">
        <v>3</v>
      </c>
      <c r="DM615" t="s">
        <v>3</v>
      </c>
      <c r="DN615">
        <v>0</v>
      </c>
      <c r="DO615">
        <v>0</v>
      </c>
      <c r="DP615">
        <v>1</v>
      </c>
      <c r="DQ615">
        <v>1</v>
      </c>
      <c r="DU615">
        <v>16987630</v>
      </c>
      <c r="DV615" t="s">
        <v>32</v>
      </c>
      <c r="DW615" t="s">
        <v>32</v>
      </c>
      <c r="DX615">
        <v>1</v>
      </c>
      <c r="DZ615" t="s">
        <v>3</v>
      </c>
      <c r="EA615" t="s">
        <v>3</v>
      </c>
      <c r="EB615" t="s">
        <v>3</v>
      </c>
      <c r="EC615" t="s">
        <v>3</v>
      </c>
      <c r="EE615">
        <v>1441815344</v>
      </c>
      <c r="EF615">
        <v>1</v>
      </c>
      <c r="EG615" t="s">
        <v>23</v>
      </c>
      <c r="EH615">
        <v>0</v>
      </c>
      <c r="EI615" t="s">
        <v>3</v>
      </c>
      <c r="EJ615">
        <v>4</v>
      </c>
      <c r="EK615">
        <v>0</v>
      </c>
      <c r="EL615" t="s">
        <v>24</v>
      </c>
      <c r="EM615" t="s">
        <v>25</v>
      </c>
      <c r="EO615" t="s">
        <v>3</v>
      </c>
      <c r="EQ615">
        <v>0</v>
      </c>
      <c r="ER615">
        <v>11268.96</v>
      </c>
      <c r="ES615">
        <v>154.13999999999999</v>
      </c>
      <c r="ET615">
        <v>0</v>
      </c>
      <c r="EU615">
        <v>0</v>
      </c>
      <c r="EV615">
        <v>11114.82</v>
      </c>
      <c r="EW615">
        <v>18</v>
      </c>
      <c r="EX615">
        <v>0</v>
      </c>
      <c r="EY615">
        <v>0</v>
      </c>
      <c r="FQ615">
        <v>0</v>
      </c>
      <c r="FR615">
        <f t="shared" si="553"/>
        <v>0</v>
      </c>
      <c r="FS615">
        <v>0</v>
      </c>
      <c r="FX615">
        <v>70</v>
      </c>
      <c r="FY615">
        <v>10</v>
      </c>
      <c r="GA615" t="s">
        <v>3</v>
      </c>
      <c r="GD615">
        <v>0</v>
      </c>
      <c r="GF615">
        <v>1707787077</v>
      </c>
      <c r="GG615">
        <v>2</v>
      </c>
      <c r="GH615">
        <v>1</v>
      </c>
      <c r="GI615">
        <v>-2</v>
      </c>
      <c r="GJ615">
        <v>0</v>
      </c>
      <c r="GK615">
        <f>ROUND(R615*(R12)/100,2)</f>
        <v>0</v>
      </c>
      <c r="GL615">
        <f t="shared" si="554"/>
        <v>0</v>
      </c>
      <c r="GM615">
        <f t="shared" si="555"/>
        <v>20160.810000000001</v>
      </c>
      <c r="GN615">
        <f t="shared" si="556"/>
        <v>0</v>
      </c>
      <c r="GO615">
        <f t="shared" si="557"/>
        <v>0</v>
      </c>
      <c r="GP615">
        <f t="shared" si="558"/>
        <v>20160.810000000001</v>
      </c>
      <c r="GR615">
        <v>0</v>
      </c>
      <c r="GS615">
        <v>3</v>
      </c>
      <c r="GT615">
        <v>0</v>
      </c>
      <c r="GU615" t="s">
        <v>3</v>
      </c>
      <c r="GV615">
        <f t="shared" si="559"/>
        <v>0</v>
      </c>
      <c r="GW615">
        <v>1</v>
      </c>
      <c r="GX615">
        <f t="shared" si="560"/>
        <v>0</v>
      </c>
      <c r="HA615">
        <v>0</v>
      </c>
      <c r="HB615">
        <v>0</v>
      </c>
      <c r="HC615">
        <f t="shared" si="561"/>
        <v>0</v>
      </c>
      <c r="HE615" t="s">
        <v>3</v>
      </c>
      <c r="HF615" t="s">
        <v>3</v>
      </c>
      <c r="HM615" t="s">
        <v>3</v>
      </c>
      <c r="HN615" t="s">
        <v>3</v>
      </c>
      <c r="HO615" t="s">
        <v>3</v>
      </c>
      <c r="HP615" t="s">
        <v>3</v>
      </c>
      <c r="HQ615" t="s">
        <v>3</v>
      </c>
      <c r="IK615">
        <v>0</v>
      </c>
    </row>
    <row r="616" spans="1:245" x14ac:dyDescent="0.2">
      <c r="A616">
        <v>17</v>
      </c>
      <c r="B616">
        <v>1</v>
      </c>
      <c r="D616">
        <f>ROW(EtalonRes!A528)</f>
        <v>528</v>
      </c>
      <c r="E616" t="s">
        <v>3</v>
      </c>
      <c r="F616" t="s">
        <v>434</v>
      </c>
      <c r="G616" t="s">
        <v>455</v>
      </c>
      <c r="H616" t="s">
        <v>32</v>
      </c>
      <c r="I616">
        <v>1</v>
      </c>
      <c r="J616">
        <v>0</v>
      </c>
      <c r="K616">
        <v>1</v>
      </c>
      <c r="O616">
        <f t="shared" si="529"/>
        <v>1113.69</v>
      </c>
      <c r="P616">
        <f t="shared" si="530"/>
        <v>2.2200000000000002</v>
      </c>
      <c r="Q616">
        <f t="shared" si="531"/>
        <v>0</v>
      </c>
      <c r="R616">
        <f t="shared" si="532"/>
        <v>0</v>
      </c>
      <c r="S616">
        <f t="shared" si="533"/>
        <v>1111.47</v>
      </c>
      <c r="T616">
        <f t="shared" si="534"/>
        <v>0</v>
      </c>
      <c r="U616">
        <f t="shared" si="535"/>
        <v>1.7999999999999998</v>
      </c>
      <c r="V616">
        <f t="shared" si="536"/>
        <v>0</v>
      </c>
      <c r="W616">
        <f t="shared" si="537"/>
        <v>0</v>
      </c>
      <c r="X616">
        <f t="shared" si="538"/>
        <v>778.03</v>
      </c>
      <c r="Y616">
        <f t="shared" si="539"/>
        <v>111.15</v>
      </c>
      <c r="AA616">
        <v>-1</v>
      </c>
      <c r="AB616">
        <f t="shared" si="540"/>
        <v>1113.69</v>
      </c>
      <c r="AC616">
        <f>ROUND(((ES616*3)),6)</f>
        <v>2.2200000000000002</v>
      </c>
      <c r="AD616">
        <f>ROUND(((((ET616*3))-((EU616*3)))+AE616),6)</f>
        <v>0</v>
      </c>
      <c r="AE616">
        <f>ROUND(((EU616*3)),6)</f>
        <v>0</v>
      </c>
      <c r="AF616">
        <f>ROUND(((EV616*3)),6)</f>
        <v>1111.47</v>
      </c>
      <c r="AG616">
        <f t="shared" si="541"/>
        <v>0</v>
      </c>
      <c r="AH616">
        <f>((EW616*3))</f>
        <v>1.7999999999999998</v>
      </c>
      <c r="AI616">
        <f>((EX616*3))</f>
        <v>0</v>
      </c>
      <c r="AJ616">
        <f t="shared" si="542"/>
        <v>0</v>
      </c>
      <c r="AK616">
        <v>371.23</v>
      </c>
      <c r="AL616">
        <v>0.74</v>
      </c>
      <c r="AM616">
        <v>0</v>
      </c>
      <c r="AN616">
        <v>0</v>
      </c>
      <c r="AO616">
        <v>370.49</v>
      </c>
      <c r="AP616">
        <v>0</v>
      </c>
      <c r="AQ616">
        <v>0.6</v>
      </c>
      <c r="AR616">
        <v>0</v>
      </c>
      <c r="AS616">
        <v>0</v>
      </c>
      <c r="AT616">
        <v>70</v>
      </c>
      <c r="AU616">
        <v>10</v>
      </c>
      <c r="AV616">
        <v>1</v>
      </c>
      <c r="AW616">
        <v>1</v>
      </c>
      <c r="AZ616">
        <v>1</v>
      </c>
      <c r="BA616">
        <v>1</v>
      </c>
      <c r="BB616">
        <v>1</v>
      </c>
      <c r="BC616">
        <v>1</v>
      </c>
      <c r="BD616" t="s">
        <v>3</v>
      </c>
      <c r="BE616" t="s">
        <v>3</v>
      </c>
      <c r="BF616" t="s">
        <v>3</v>
      </c>
      <c r="BG616" t="s">
        <v>3</v>
      </c>
      <c r="BH616">
        <v>0</v>
      </c>
      <c r="BI616">
        <v>4</v>
      </c>
      <c r="BJ616" t="s">
        <v>436</v>
      </c>
      <c r="BM616">
        <v>0</v>
      </c>
      <c r="BN616">
        <v>0</v>
      </c>
      <c r="BO616" t="s">
        <v>3</v>
      </c>
      <c r="BP616">
        <v>0</v>
      </c>
      <c r="BQ616">
        <v>1</v>
      </c>
      <c r="BR616">
        <v>0</v>
      </c>
      <c r="BS616">
        <v>1</v>
      </c>
      <c r="BT616">
        <v>1</v>
      </c>
      <c r="BU616">
        <v>1</v>
      </c>
      <c r="BV616">
        <v>1</v>
      </c>
      <c r="BW616">
        <v>1</v>
      </c>
      <c r="BX616">
        <v>1</v>
      </c>
      <c r="BY616" t="s">
        <v>3</v>
      </c>
      <c r="BZ616">
        <v>70</v>
      </c>
      <c r="CA616">
        <v>10</v>
      </c>
      <c r="CB616" t="s">
        <v>3</v>
      </c>
      <c r="CE616">
        <v>0</v>
      </c>
      <c r="CF616">
        <v>0</v>
      </c>
      <c r="CG616">
        <v>0</v>
      </c>
      <c r="CM616">
        <v>0</v>
      </c>
      <c r="CN616" t="s">
        <v>3</v>
      </c>
      <c r="CO616">
        <v>0</v>
      </c>
      <c r="CP616">
        <f t="shared" si="543"/>
        <v>1113.69</v>
      </c>
      <c r="CQ616">
        <f t="shared" si="544"/>
        <v>2.2200000000000002</v>
      </c>
      <c r="CR616">
        <f>(((((ET616*3))*BB616-((EU616*3))*BS616)+AE616*BS616)*AV616)</f>
        <v>0</v>
      </c>
      <c r="CS616">
        <f t="shared" si="545"/>
        <v>0</v>
      </c>
      <c r="CT616">
        <f t="shared" si="546"/>
        <v>1111.47</v>
      </c>
      <c r="CU616">
        <f t="shared" si="547"/>
        <v>0</v>
      </c>
      <c r="CV616">
        <f t="shared" si="548"/>
        <v>1.7999999999999998</v>
      </c>
      <c r="CW616">
        <f t="shared" si="549"/>
        <v>0</v>
      </c>
      <c r="CX616">
        <f t="shared" si="550"/>
        <v>0</v>
      </c>
      <c r="CY616">
        <f t="shared" si="551"/>
        <v>778.02900000000011</v>
      </c>
      <c r="CZ616">
        <f t="shared" si="552"/>
        <v>111.14700000000001</v>
      </c>
      <c r="DC616" t="s">
        <v>3</v>
      </c>
      <c r="DD616" t="s">
        <v>290</v>
      </c>
      <c r="DE616" t="s">
        <v>290</v>
      </c>
      <c r="DF616" t="s">
        <v>290</v>
      </c>
      <c r="DG616" t="s">
        <v>290</v>
      </c>
      <c r="DH616" t="s">
        <v>3</v>
      </c>
      <c r="DI616" t="s">
        <v>290</v>
      </c>
      <c r="DJ616" t="s">
        <v>290</v>
      </c>
      <c r="DK616" t="s">
        <v>3</v>
      </c>
      <c r="DL616" t="s">
        <v>3</v>
      </c>
      <c r="DM616" t="s">
        <v>3</v>
      </c>
      <c r="DN616">
        <v>0</v>
      </c>
      <c r="DO616">
        <v>0</v>
      </c>
      <c r="DP616">
        <v>1</v>
      </c>
      <c r="DQ616">
        <v>1</v>
      </c>
      <c r="DU616">
        <v>16987630</v>
      </c>
      <c r="DV616" t="s">
        <v>32</v>
      </c>
      <c r="DW616" t="s">
        <v>32</v>
      </c>
      <c r="DX616">
        <v>1</v>
      </c>
      <c r="DZ616" t="s">
        <v>3</v>
      </c>
      <c r="EA616" t="s">
        <v>3</v>
      </c>
      <c r="EB616" t="s">
        <v>3</v>
      </c>
      <c r="EC616" t="s">
        <v>3</v>
      </c>
      <c r="EE616">
        <v>1441815344</v>
      </c>
      <c r="EF616">
        <v>1</v>
      </c>
      <c r="EG616" t="s">
        <v>23</v>
      </c>
      <c r="EH616">
        <v>0</v>
      </c>
      <c r="EI616" t="s">
        <v>3</v>
      </c>
      <c r="EJ616">
        <v>4</v>
      </c>
      <c r="EK616">
        <v>0</v>
      </c>
      <c r="EL616" t="s">
        <v>24</v>
      </c>
      <c r="EM616" t="s">
        <v>25</v>
      </c>
      <c r="EO616" t="s">
        <v>3</v>
      </c>
      <c r="EQ616">
        <v>1024</v>
      </c>
      <c r="ER616">
        <v>371.23</v>
      </c>
      <c r="ES616">
        <v>0.74</v>
      </c>
      <c r="ET616">
        <v>0</v>
      </c>
      <c r="EU616">
        <v>0</v>
      </c>
      <c r="EV616">
        <v>370.49</v>
      </c>
      <c r="EW616">
        <v>0.6</v>
      </c>
      <c r="EX616">
        <v>0</v>
      </c>
      <c r="EY616">
        <v>0</v>
      </c>
      <c r="FQ616">
        <v>0</v>
      </c>
      <c r="FR616">
        <f t="shared" si="553"/>
        <v>0</v>
      </c>
      <c r="FS616">
        <v>0</v>
      </c>
      <c r="FX616">
        <v>70</v>
      </c>
      <c r="FY616">
        <v>10</v>
      </c>
      <c r="GA616" t="s">
        <v>3</v>
      </c>
      <c r="GD616">
        <v>0</v>
      </c>
      <c r="GF616">
        <v>-877781462</v>
      </c>
      <c r="GG616">
        <v>2</v>
      </c>
      <c r="GH616">
        <v>1</v>
      </c>
      <c r="GI616">
        <v>-2</v>
      </c>
      <c r="GJ616">
        <v>0</v>
      </c>
      <c r="GK616">
        <f>ROUND(R616*(R12)/100,2)</f>
        <v>0</v>
      </c>
      <c r="GL616">
        <f t="shared" si="554"/>
        <v>0</v>
      </c>
      <c r="GM616">
        <f t="shared" si="555"/>
        <v>2002.87</v>
      </c>
      <c r="GN616">
        <f t="shared" si="556"/>
        <v>0</v>
      </c>
      <c r="GO616">
        <f t="shared" si="557"/>
        <v>0</v>
      </c>
      <c r="GP616">
        <f t="shared" si="558"/>
        <v>2002.87</v>
      </c>
      <c r="GR616">
        <v>0</v>
      </c>
      <c r="GS616">
        <v>3</v>
      </c>
      <c r="GT616">
        <v>0</v>
      </c>
      <c r="GU616" t="s">
        <v>3</v>
      </c>
      <c r="GV616">
        <f t="shared" si="559"/>
        <v>0</v>
      </c>
      <c r="GW616">
        <v>1</v>
      </c>
      <c r="GX616">
        <f t="shared" si="560"/>
        <v>0</v>
      </c>
      <c r="HA616">
        <v>0</v>
      </c>
      <c r="HB616">
        <v>0</v>
      </c>
      <c r="HC616">
        <f t="shared" si="561"/>
        <v>0</v>
      </c>
      <c r="HE616" t="s">
        <v>3</v>
      </c>
      <c r="HF616" t="s">
        <v>3</v>
      </c>
      <c r="HM616" t="s">
        <v>3</v>
      </c>
      <c r="HN616" t="s">
        <v>3</v>
      </c>
      <c r="HO616" t="s">
        <v>3</v>
      </c>
      <c r="HP616" t="s">
        <v>3</v>
      </c>
      <c r="HQ616" t="s">
        <v>3</v>
      </c>
      <c r="IK616">
        <v>0</v>
      </c>
    </row>
    <row r="617" spans="1:245" x14ac:dyDescent="0.2">
      <c r="A617">
        <v>17</v>
      </c>
      <c r="B617">
        <v>1</v>
      </c>
      <c r="D617">
        <f>ROW(EtalonRes!A533)</f>
        <v>533</v>
      </c>
      <c r="E617" t="s">
        <v>456</v>
      </c>
      <c r="F617" t="s">
        <v>431</v>
      </c>
      <c r="G617" t="s">
        <v>432</v>
      </c>
      <c r="H617" t="s">
        <v>32</v>
      </c>
      <c r="I617">
        <v>1</v>
      </c>
      <c r="J617">
        <v>0</v>
      </c>
      <c r="K617">
        <v>1</v>
      </c>
      <c r="O617">
        <f t="shared" si="529"/>
        <v>11268.96</v>
      </c>
      <c r="P617">
        <f t="shared" si="530"/>
        <v>154.13999999999999</v>
      </c>
      <c r="Q617">
        <f t="shared" si="531"/>
        <v>0</v>
      </c>
      <c r="R617">
        <f t="shared" si="532"/>
        <v>0</v>
      </c>
      <c r="S617">
        <f t="shared" si="533"/>
        <v>11114.82</v>
      </c>
      <c r="T617">
        <f t="shared" si="534"/>
        <v>0</v>
      </c>
      <c r="U617">
        <f t="shared" si="535"/>
        <v>18</v>
      </c>
      <c r="V617">
        <f t="shared" si="536"/>
        <v>0</v>
      </c>
      <c r="W617">
        <f t="shared" si="537"/>
        <v>0</v>
      </c>
      <c r="X617">
        <f t="shared" si="538"/>
        <v>7780.37</v>
      </c>
      <c r="Y617">
        <f t="shared" si="539"/>
        <v>1111.48</v>
      </c>
      <c r="AA617">
        <v>1472224561</v>
      </c>
      <c r="AB617">
        <f t="shared" si="540"/>
        <v>11268.96</v>
      </c>
      <c r="AC617">
        <f>ROUND((ES617),6)</f>
        <v>154.13999999999999</v>
      </c>
      <c r="AD617">
        <f>ROUND((((ET617)-(EU617))+AE617),6)</f>
        <v>0</v>
      </c>
      <c r="AE617">
        <f>ROUND((EU617),6)</f>
        <v>0</v>
      </c>
      <c r="AF617">
        <f>ROUND((EV617),6)</f>
        <v>11114.82</v>
      </c>
      <c r="AG617">
        <f t="shared" si="541"/>
        <v>0</v>
      </c>
      <c r="AH617">
        <f>(EW617)</f>
        <v>18</v>
      </c>
      <c r="AI617">
        <f>(EX617)</f>
        <v>0</v>
      </c>
      <c r="AJ617">
        <f t="shared" si="542"/>
        <v>0</v>
      </c>
      <c r="AK617">
        <v>11268.96</v>
      </c>
      <c r="AL617">
        <v>154.13999999999999</v>
      </c>
      <c r="AM617">
        <v>0</v>
      </c>
      <c r="AN617">
        <v>0</v>
      </c>
      <c r="AO617">
        <v>11114.82</v>
      </c>
      <c r="AP617">
        <v>0</v>
      </c>
      <c r="AQ617">
        <v>18</v>
      </c>
      <c r="AR617">
        <v>0</v>
      </c>
      <c r="AS617">
        <v>0</v>
      </c>
      <c r="AT617">
        <v>70</v>
      </c>
      <c r="AU617">
        <v>10</v>
      </c>
      <c r="AV617">
        <v>1</v>
      </c>
      <c r="AW617">
        <v>1</v>
      </c>
      <c r="AZ617">
        <v>1</v>
      </c>
      <c r="BA617">
        <v>1</v>
      </c>
      <c r="BB617">
        <v>1</v>
      </c>
      <c r="BC617">
        <v>1</v>
      </c>
      <c r="BD617" t="s">
        <v>3</v>
      </c>
      <c r="BE617" t="s">
        <v>3</v>
      </c>
      <c r="BF617" t="s">
        <v>3</v>
      </c>
      <c r="BG617" t="s">
        <v>3</v>
      </c>
      <c r="BH617">
        <v>0</v>
      </c>
      <c r="BI617">
        <v>4</v>
      </c>
      <c r="BJ617" t="s">
        <v>433</v>
      </c>
      <c r="BM617">
        <v>0</v>
      </c>
      <c r="BN617">
        <v>0</v>
      </c>
      <c r="BO617" t="s">
        <v>3</v>
      </c>
      <c r="BP617">
        <v>0</v>
      </c>
      <c r="BQ617">
        <v>1</v>
      </c>
      <c r="BR617">
        <v>0</v>
      </c>
      <c r="BS617">
        <v>1</v>
      </c>
      <c r="BT617">
        <v>1</v>
      </c>
      <c r="BU617">
        <v>1</v>
      </c>
      <c r="BV617">
        <v>1</v>
      </c>
      <c r="BW617">
        <v>1</v>
      </c>
      <c r="BX617">
        <v>1</v>
      </c>
      <c r="BY617" t="s">
        <v>3</v>
      </c>
      <c r="BZ617">
        <v>70</v>
      </c>
      <c r="CA617">
        <v>10</v>
      </c>
      <c r="CB617" t="s">
        <v>3</v>
      </c>
      <c r="CE617">
        <v>0</v>
      </c>
      <c r="CF617">
        <v>0</v>
      </c>
      <c r="CG617">
        <v>0</v>
      </c>
      <c r="CM617">
        <v>0</v>
      </c>
      <c r="CN617" t="s">
        <v>3</v>
      </c>
      <c r="CO617">
        <v>0</v>
      </c>
      <c r="CP617">
        <f t="shared" si="543"/>
        <v>11268.96</v>
      </c>
      <c r="CQ617">
        <f t="shared" si="544"/>
        <v>154.13999999999999</v>
      </c>
      <c r="CR617">
        <f>((((ET617)*BB617-(EU617)*BS617)+AE617*BS617)*AV617)</f>
        <v>0</v>
      </c>
      <c r="CS617">
        <f t="shared" si="545"/>
        <v>0</v>
      </c>
      <c r="CT617">
        <f t="shared" si="546"/>
        <v>11114.82</v>
      </c>
      <c r="CU617">
        <f t="shared" si="547"/>
        <v>0</v>
      </c>
      <c r="CV617">
        <f t="shared" si="548"/>
        <v>18</v>
      </c>
      <c r="CW617">
        <f t="shared" si="549"/>
        <v>0</v>
      </c>
      <c r="CX617">
        <f t="shared" si="550"/>
        <v>0</v>
      </c>
      <c r="CY617">
        <f t="shared" si="551"/>
        <v>7780.3739999999998</v>
      </c>
      <c r="CZ617">
        <f t="shared" si="552"/>
        <v>1111.482</v>
      </c>
      <c r="DC617" t="s">
        <v>3</v>
      </c>
      <c r="DD617" t="s">
        <v>3</v>
      </c>
      <c r="DE617" t="s">
        <v>3</v>
      </c>
      <c r="DF617" t="s">
        <v>3</v>
      </c>
      <c r="DG617" t="s">
        <v>3</v>
      </c>
      <c r="DH617" t="s">
        <v>3</v>
      </c>
      <c r="DI617" t="s">
        <v>3</v>
      </c>
      <c r="DJ617" t="s">
        <v>3</v>
      </c>
      <c r="DK617" t="s">
        <v>3</v>
      </c>
      <c r="DL617" t="s">
        <v>3</v>
      </c>
      <c r="DM617" t="s">
        <v>3</v>
      </c>
      <c r="DN617">
        <v>0</v>
      </c>
      <c r="DO617">
        <v>0</v>
      </c>
      <c r="DP617">
        <v>1</v>
      </c>
      <c r="DQ617">
        <v>1</v>
      </c>
      <c r="DU617">
        <v>16987630</v>
      </c>
      <c r="DV617" t="s">
        <v>32</v>
      </c>
      <c r="DW617" t="s">
        <v>32</v>
      </c>
      <c r="DX617">
        <v>1</v>
      </c>
      <c r="DZ617" t="s">
        <v>3</v>
      </c>
      <c r="EA617" t="s">
        <v>3</v>
      </c>
      <c r="EB617" t="s">
        <v>3</v>
      </c>
      <c r="EC617" t="s">
        <v>3</v>
      </c>
      <c r="EE617">
        <v>1441815344</v>
      </c>
      <c r="EF617">
        <v>1</v>
      </c>
      <c r="EG617" t="s">
        <v>23</v>
      </c>
      <c r="EH617">
        <v>0</v>
      </c>
      <c r="EI617" t="s">
        <v>3</v>
      </c>
      <c r="EJ617">
        <v>4</v>
      </c>
      <c r="EK617">
        <v>0</v>
      </c>
      <c r="EL617" t="s">
        <v>24</v>
      </c>
      <c r="EM617" t="s">
        <v>25</v>
      </c>
      <c r="EO617" t="s">
        <v>3</v>
      </c>
      <c r="EQ617">
        <v>0</v>
      </c>
      <c r="ER617">
        <v>11268.96</v>
      </c>
      <c r="ES617">
        <v>154.13999999999999</v>
      </c>
      <c r="ET617">
        <v>0</v>
      </c>
      <c r="EU617">
        <v>0</v>
      </c>
      <c r="EV617">
        <v>11114.82</v>
      </c>
      <c r="EW617">
        <v>18</v>
      </c>
      <c r="EX617">
        <v>0</v>
      </c>
      <c r="EY617">
        <v>0</v>
      </c>
      <c r="FQ617">
        <v>0</v>
      </c>
      <c r="FR617">
        <f t="shared" si="553"/>
        <v>0</v>
      </c>
      <c r="FS617">
        <v>0</v>
      </c>
      <c r="FX617">
        <v>70</v>
      </c>
      <c r="FY617">
        <v>10</v>
      </c>
      <c r="GA617" t="s">
        <v>3</v>
      </c>
      <c r="GD617">
        <v>0</v>
      </c>
      <c r="GF617">
        <v>-1402653077</v>
      </c>
      <c r="GG617">
        <v>2</v>
      </c>
      <c r="GH617">
        <v>1</v>
      </c>
      <c r="GI617">
        <v>-2</v>
      </c>
      <c r="GJ617">
        <v>0</v>
      </c>
      <c r="GK617">
        <f>ROUND(R617*(R12)/100,2)</f>
        <v>0</v>
      </c>
      <c r="GL617">
        <f t="shared" si="554"/>
        <v>0</v>
      </c>
      <c r="GM617">
        <f t="shared" si="555"/>
        <v>20160.810000000001</v>
      </c>
      <c r="GN617">
        <f t="shared" si="556"/>
        <v>0</v>
      </c>
      <c r="GO617">
        <f t="shared" si="557"/>
        <v>0</v>
      </c>
      <c r="GP617">
        <f t="shared" si="558"/>
        <v>20160.810000000001</v>
      </c>
      <c r="GR617">
        <v>0</v>
      </c>
      <c r="GS617">
        <v>3</v>
      </c>
      <c r="GT617">
        <v>0</v>
      </c>
      <c r="GU617" t="s">
        <v>3</v>
      </c>
      <c r="GV617">
        <f t="shared" si="559"/>
        <v>0</v>
      </c>
      <c r="GW617">
        <v>1</v>
      </c>
      <c r="GX617">
        <f t="shared" si="560"/>
        <v>0</v>
      </c>
      <c r="HA617">
        <v>0</v>
      </c>
      <c r="HB617">
        <v>0</v>
      </c>
      <c r="HC617">
        <f t="shared" si="561"/>
        <v>0</v>
      </c>
      <c r="HE617" t="s">
        <v>3</v>
      </c>
      <c r="HF617" t="s">
        <v>3</v>
      </c>
      <c r="HM617" t="s">
        <v>3</v>
      </c>
      <c r="HN617" t="s">
        <v>3</v>
      </c>
      <c r="HO617" t="s">
        <v>3</v>
      </c>
      <c r="HP617" t="s">
        <v>3</v>
      </c>
      <c r="HQ617" t="s">
        <v>3</v>
      </c>
      <c r="IK617">
        <v>0</v>
      </c>
    </row>
    <row r="618" spans="1:245" x14ac:dyDescent="0.2">
      <c r="A618">
        <v>17</v>
      </c>
      <c r="B618">
        <v>1</v>
      </c>
      <c r="D618">
        <f>ROW(EtalonRes!A535)</f>
        <v>535</v>
      </c>
      <c r="E618" t="s">
        <v>3</v>
      </c>
      <c r="F618" t="s">
        <v>434</v>
      </c>
      <c r="G618" t="s">
        <v>435</v>
      </c>
      <c r="H618" t="s">
        <v>32</v>
      </c>
      <c r="I618">
        <f>ROUND(ROUND(1+1,9),9)</f>
        <v>2</v>
      </c>
      <c r="J618">
        <v>0</v>
      </c>
      <c r="K618">
        <f>ROUND(ROUND(1+1,9),9)</f>
        <v>2</v>
      </c>
      <c r="O618">
        <f t="shared" si="529"/>
        <v>11879.36</v>
      </c>
      <c r="P618">
        <f t="shared" si="530"/>
        <v>23.68</v>
      </c>
      <c r="Q618">
        <f t="shared" si="531"/>
        <v>0</v>
      </c>
      <c r="R618">
        <f t="shared" si="532"/>
        <v>0</v>
      </c>
      <c r="S618">
        <f t="shared" si="533"/>
        <v>11855.68</v>
      </c>
      <c r="T618">
        <f t="shared" si="534"/>
        <v>0</v>
      </c>
      <c r="U618">
        <f t="shared" si="535"/>
        <v>19.2</v>
      </c>
      <c r="V618">
        <f t="shared" si="536"/>
        <v>0</v>
      </c>
      <c r="W618">
        <f t="shared" si="537"/>
        <v>0</v>
      </c>
      <c r="X618">
        <f t="shared" si="538"/>
        <v>8298.98</v>
      </c>
      <c r="Y618">
        <f t="shared" si="539"/>
        <v>1185.57</v>
      </c>
      <c r="AA618">
        <v>-1</v>
      </c>
      <c r="AB618">
        <f t="shared" si="540"/>
        <v>5939.68</v>
      </c>
      <c r="AC618">
        <f>ROUND(((ES618*16)),6)</f>
        <v>11.84</v>
      </c>
      <c r="AD618">
        <f>ROUND(((((ET618*16))-((EU618*16)))+AE618),6)</f>
        <v>0</v>
      </c>
      <c r="AE618">
        <f>ROUND(((EU618*16)),6)</f>
        <v>0</v>
      </c>
      <c r="AF618">
        <f>ROUND(((EV618*16)),6)</f>
        <v>5927.84</v>
      </c>
      <c r="AG618">
        <f t="shared" si="541"/>
        <v>0</v>
      </c>
      <c r="AH618">
        <f>((EW618*16))</f>
        <v>9.6</v>
      </c>
      <c r="AI618">
        <f>((EX618*16))</f>
        <v>0</v>
      </c>
      <c r="AJ618">
        <f t="shared" si="542"/>
        <v>0</v>
      </c>
      <c r="AK618">
        <v>371.23</v>
      </c>
      <c r="AL618">
        <v>0.74</v>
      </c>
      <c r="AM618">
        <v>0</v>
      </c>
      <c r="AN618">
        <v>0</v>
      </c>
      <c r="AO618">
        <v>370.49</v>
      </c>
      <c r="AP618">
        <v>0</v>
      </c>
      <c r="AQ618">
        <v>0.6</v>
      </c>
      <c r="AR618">
        <v>0</v>
      </c>
      <c r="AS618">
        <v>0</v>
      </c>
      <c r="AT618">
        <v>70</v>
      </c>
      <c r="AU618">
        <v>10</v>
      </c>
      <c r="AV618">
        <v>1</v>
      </c>
      <c r="AW618">
        <v>1</v>
      </c>
      <c r="AZ618">
        <v>1</v>
      </c>
      <c r="BA618">
        <v>1</v>
      </c>
      <c r="BB618">
        <v>1</v>
      </c>
      <c r="BC618">
        <v>1</v>
      </c>
      <c r="BD618" t="s">
        <v>3</v>
      </c>
      <c r="BE618" t="s">
        <v>3</v>
      </c>
      <c r="BF618" t="s">
        <v>3</v>
      </c>
      <c r="BG618" t="s">
        <v>3</v>
      </c>
      <c r="BH618">
        <v>0</v>
      </c>
      <c r="BI618">
        <v>4</v>
      </c>
      <c r="BJ618" t="s">
        <v>436</v>
      </c>
      <c r="BM618">
        <v>0</v>
      </c>
      <c r="BN618">
        <v>0</v>
      </c>
      <c r="BO618" t="s">
        <v>3</v>
      </c>
      <c r="BP618">
        <v>0</v>
      </c>
      <c r="BQ618">
        <v>1</v>
      </c>
      <c r="BR618">
        <v>0</v>
      </c>
      <c r="BS618">
        <v>1</v>
      </c>
      <c r="BT618">
        <v>1</v>
      </c>
      <c r="BU618">
        <v>1</v>
      </c>
      <c r="BV618">
        <v>1</v>
      </c>
      <c r="BW618">
        <v>1</v>
      </c>
      <c r="BX618">
        <v>1</v>
      </c>
      <c r="BY618" t="s">
        <v>3</v>
      </c>
      <c r="BZ618">
        <v>70</v>
      </c>
      <c r="CA618">
        <v>10</v>
      </c>
      <c r="CB618" t="s">
        <v>3</v>
      </c>
      <c r="CE618">
        <v>0</v>
      </c>
      <c r="CF618">
        <v>0</v>
      </c>
      <c r="CG618">
        <v>0</v>
      </c>
      <c r="CM618">
        <v>0</v>
      </c>
      <c r="CN618" t="s">
        <v>3</v>
      </c>
      <c r="CO618">
        <v>0</v>
      </c>
      <c r="CP618">
        <f t="shared" si="543"/>
        <v>11879.36</v>
      </c>
      <c r="CQ618">
        <f t="shared" si="544"/>
        <v>11.84</v>
      </c>
      <c r="CR618">
        <f>(((((ET618*16))*BB618-((EU618*16))*BS618)+AE618*BS618)*AV618)</f>
        <v>0</v>
      </c>
      <c r="CS618">
        <f t="shared" si="545"/>
        <v>0</v>
      </c>
      <c r="CT618">
        <f t="shared" si="546"/>
        <v>5927.84</v>
      </c>
      <c r="CU618">
        <f t="shared" si="547"/>
        <v>0</v>
      </c>
      <c r="CV618">
        <f t="shared" si="548"/>
        <v>9.6</v>
      </c>
      <c r="CW618">
        <f t="shared" si="549"/>
        <v>0</v>
      </c>
      <c r="CX618">
        <f t="shared" si="550"/>
        <v>0</v>
      </c>
      <c r="CY618">
        <f t="shared" si="551"/>
        <v>8298.9760000000006</v>
      </c>
      <c r="CZ618">
        <f t="shared" si="552"/>
        <v>1185.568</v>
      </c>
      <c r="DC618" t="s">
        <v>3</v>
      </c>
      <c r="DD618" t="s">
        <v>437</v>
      </c>
      <c r="DE618" t="s">
        <v>437</v>
      </c>
      <c r="DF618" t="s">
        <v>437</v>
      </c>
      <c r="DG618" t="s">
        <v>437</v>
      </c>
      <c r="DH618" t="s">
        <v>3</v>
      </c>
      <c r="DI618" t="s">
        <v>437</v>
      </c>
      <c r="DJ618" t="s">
        <v>437</v>
      </c>
      <c r="DK618" t="s">
        <v>3</v>
      </c>
      <c r="DL618" t="s">
        <v>3</v>
      </c>
      <c r="DM618" t="s">
        <v>3</v>
      </c>
      <c r="DN618">
        <v>0</v>
      </c>
      <c r="DO618">
        <v>0</v>
      </c>
      <c r="DP618">
        <v>1</v>
      </c>
      <c r="DQ618">
        <v>1</v>
      </c>
      <c r="DU618">
        <v>16987630</v>
      </c>
      <c r="DV618" t="s">
        <v>32</v>
      </c>
      <c r="DW618" t="s">
        <v>32</v>
      </c>
      <c r="DX618">
        <v>1</v>
      </c>
      <c r="DZ618" t="s">
        <v>3</v>
      </c>
      <c r="EA618" t="s">
        <v>3</v>
      </c>
      <c r="EB618" t="s">
        <v>3</v>
      </c>
      <c r="EC618" t="s">
        <v>3</v>
      </c>
      <c r="EE618">
        <v>1441815344</v>
      </c>
      <c r="EF618">
        <v>1</v>
      </c>
      <c r="EG618" t="s">
        <v>23</v>
      </c>
      <c r="EH618">
        <v>0</v>
      </c>
      <c r="EI618" t="s">
        <v>3</v>
      </c>
      <c r="EJ618">
        <v>4</v>
      </c>
      <c r="EK618">
        <v>0</v>
      </c>
      <c r="EL618" t="s">
        <v>24</v>
      </c>
      <c r="EM618" t="s">
        <v>25</v>
      </c>
      <c r="EO618" t="s">
        <v>3</v>
      </c>
      <c r="EQ618">
        <v>1024</v>
      </c>
      <c r="ER618">
        <v>371.23</v>
      </c>
      <c r="ES618">
        <v>0.74</v>
      </c>
      <c r="ET618">
        <v>0</v>
      </c>
      <c r="EU618">
        <v>0</v>
      </c>
      <c r="EV618">
        <v>370.49</v>
      </c>
      <c r="EW618">
        <v>0.6</v>
      </c>
      <c r="EX618">
        <v>0</v>
      </c>
      <c r="EY618">
        <v>0</v>
      </c>
      <c r="FQ618">
        <v>0</v>
      </c>
      <c r="FR618">
        <f t="shared" si="553"/>
        <v>0</v>
      </c>
      <c r="FS618">
        <v>0</v>
      </c>
      <c r="FX618">
        <v>70</v>
      </c>
      <c r="FY618">
        <v>10</v>
      </c>
      <c r="GA618" t="s">
        <v>3</v>
      </c>
      <c r="GD618">
        <v>0</v>
      </c>
      <c r="GF618">
        <v>1529709528</v>
      </c>
      <c r="GG618">
        <v>2</v>
      </c>
      <c r="GH618">
        <v>1</v>
      </c>
      <c r="GI618">
        <v>-2</v>
      </c>
      <c r="GJ618">
        <v>0</v>
      </c>
      <c r="GK618">
        <f>ROUND(R618*(R12)/100,2)</f>
        <v>0</v>
      </c>
      <c r="GL618">
        <f t="shared" si="554"/>
        <v>0</v>
      </c>
      <c r="GM618">
        <f t="shared" si="555"/>
        <v>21363.91</v>
      </c>
      <c r="GN618">
        <f t="shared" si="556"/>
        <v>0</v>
      </c>
      <c r="GO618">
        <f t="shared" si="557"/>
        <v>0</v>
      </c>
      <c r="GP618">
        <f t="shared" si="558"/>
        <v>21363.91</v>
      </c>
      <c r="GR618">
        <v>0</v>
      </c>
      <c r="GS618">
        <v>3</v>
      </c>
      <c r="GT618">
        <v>0</v>
      </c>
      <c r="GU618" t="s">
        <v>3</v>
      </c>
      <c r="GV618">
        <f t="shared" si="559"/>
        <v>0</v>
      </c>
      <c r="GW618">
        <v>1</v>
      </c>
      <c r="GX618">
        <f t="shared" si="560"/>
        <v>0</v>
      </c>
      <c r="HA618">
        <v>0</v>
      </c>
      <c r="HB618">
        <v>0</v>
      </c>
      <c r="HC618">
        <f t="shared" si="561"/>
        <v>0</v>
      </c>
      <c r="HE618" t="s">
        <v>3</v>
      </c>
      <c r="HF618" t="s">
        <v>3</v>
      </c>
      <c r="HM618" t="s">
        <v>3</v>
      </c>
      <c r="HN618" t="s">
        <v>3</v>
      </c>
      <c r="HO618" t="s">
        <v>3</v>
      </c>
      <c r="HP618" t="s">
        <v>3</v>
      </c>
      <c r="HQ618" t="s">
        <v>3</v>
      </c>
      <c r="IK618">
        <v>0</v>
      </c>
    </row>
    <row r="619" spans="1:245" x14ac:dyDescent="0.2">
      <c r="A619">
        <v>17</v>
      </c>
      <c r="B619">
        <v>1</v>
      </c>
      <c r="D619">
        <f>ROW(EtalonRes!A537)</f>
        <v>537</v>
      </c>
      <c r="E619" t="s">
        <v>457</v>
      </c>
      <c r="F619" t="s">
        <v>439</v>
      </c>
      <c r="G619" t="s">
        <v>440</v>
      </c>
      <c r="H619" t="s">
        <v>32</v>
      </c>
      <c r="I619">
        <f>ROUND(ROUND(2+2+2,9),9)</f>
        <v>6</v>
      </c>
      <c r="J619">
        <v>0</v>
      </c>
      <c r="K619">
        <f>ROUND(ROUND(2+2+2,9),9)</f>
        <v>6</v>
      </c>
      <c r="O619">
        <f t="shared" si="529"/>
        <v>2033.28</v>
      </c>
      <c r="P619">
        <f t="shared" si="530"/>
        <v>9.42</v>
      </c>
      <c r="Q619">
        <f t="shared" si="531"/>
        <v>0</v>
      </c>
      <c r="R619">
        <f t="shared" si="532"/>
        <v>0</v>
      </c>
      <c r="S619">
        <f t="shared" si="533"/>
        <v>2023.86</v>
      </c>
      <c r="T619">
        <f t="shared" si="534"/>
        <v>0</v>
      </c>
      <c r="U619">
        <f t="shared" si="535"/>
        <v>3.5999999999999996</v>
      </c>
      <c r="V619">
        <f t="shared" si="536"/>
        <v>0</v>
      </c>
      <c r="W619">
        <f t="shared" si="537"/>
        <v>0</v>
      </c>
      <c r="X619">
        <f t="shared" si="538"/>
        <v>1416.7</v>
      </c>
      <c r="Y619">
        <f t="shared" si="539"/>
        <v>202.39</v>
      </c>
      <c r="AA619">
        <v>1472224561</v>
      </c>
      <c r="AB619">
        <f t="shared" si="540"/>
        <v>338.88</v>
      </c>
      <c r="AC619">
        <f>ROUND((ES619),6)</f>
        <v>1.57</v>
      </c>
      <c r="AD619">
        <f>ROUND((((ET619)-(EU619))+AE619),6)</f>
        <v>0</v>
      </c>
      <c r="AE619">
        <f>ROUND((EU619),6)</f>
        <v>0</v>
      </c>
      <c r="AF619">
        <f>ROUND((EV619),6)</f>
        <v>337.31</v>
      </c>
      <c r="AG619">
        <f t="shared" si="541"/>
        <v>0</v>
      </c>
      <c r="AH619">
        <f>(EW619)</f>
        <v>0.6</v>
      </c>
      <c r="AI619">
        <f>(EX619)</f>
        <v>0</v>
      </c>
      <c r="AJ619">
        <f t="shared" si="542"/>
        <v>0</v>
      </c>
      <c r="AK619">
        <v>338.88</v>
      </c>
      <c r="AL619">
        <v>1.57</v>
      </c>
      <c r="AM619">
        <v>0</v>
      </c>
      <c r="AN619">
        <v>0</v>
      </c>
      <c r="AO619">
        <v>337.31</v>
      </c>
      <c r="AP619">
        <v>0</v>
      </c>
      <c r="AQ619">
        <v>0.6</v>
      </c>
      <c r="AR619">
        <v>0</v>
      </c>
      <c r="AS619">
        <v>0</v>
      </c>
      <c r="AT619">
        <v>70</v>
      </c>
      <c r="AU619">
        <v>10</v>
      </c>
      <c r="AV619">
        <v>1</v>
      </c>
      <c r="AW619">
        <v>1</v>
      </c>
      <c r="AZ619">
        <v>1</v>
      </c>
      <c r="BA619">
        <v>1</v>
      </c>
      <c r="BB619">
        <v>1</v>
      </c>
      <c r="BC619">
        <v>1</v>
      </c>
      <c r="BD619" t="s">
        <v>3</v>
      </c>
      <c r="BE619" t="s">
        <v>3</v>
      </c>
      <c r="BF619" t="s">
        <v>3</v>
      </c>
      <c r="BG619" t="s">
        <v>3</v>
      </c>
      <c r="BH619">
        <v>0</v>
      </c>
      <c r="BI619">
        <v>4</v>
      </c>
      <c r="BJ619" t="s">
        <v>441</v>
      </c>
      <c r="BM619">
        <v>0</v>
      </c>
      <c r="BN619">
        <v>0</v>
      </c>
      <c r="BO619" t="s">
        <v>3</v>
      </c>
      <c r="BP619">
        <v>0</v>
      </c>
      <c r="BQ619">
        <v>1</v>
      </c>
      <c r="BR619">
        <v>0</v>
      </c>
      <c r="BS619">
        <v>1</v>
      </c>
      <c r="BT619">
        <v>1</v>
      </c>
      <c r="BU619">
        <v>1</v>
      </c>
      <c r="BV619">
        <v>1</v>
      </c>
      <c r="BW619">
        <v>1</v>
      </c>
      <c r="BX619">
        <v>1</v>
      </c>
      <c r="BY619" t="s">
        <v>3</v>
      </c>
      <c r="BZ619">
        <v>70</v>
      </c>
      <c r="CA619">
        <v>10</v>
      </c>
      <c r="CB619" t="s">
        <v>3</v>
      </c>
      <c r="CE619">
        <v>0</v>
      </c>
      <c r="CF619">
        <v>0</v>
      </c>
      <c r="CG619">
        <v>0</v>
      </c>
      <c r="CM619">
        <v>0</v>
      </c>
      <c r="CN619" t="s">
        <v>3</v>
      </c>
      <c r="CO619">
        <v>0</v>
      </c>
      <c r="CP619">
        <f t="shared" si="543"/>
        <v>2033.28</v>
      </c>
      <c r="CQ619">
        <f t="shared" si="544"/>
        <v>1.57</v>
      </c>
      <c r="CR619">
        <f>((((ET619)*BB619-(EU619)*BS619)+AE619*BS619)*AV619)</f>
        <v>0</v>
      </c>
      <c r="CS619">
        <f t="shared" si="545"/>
        <v>0</v>
      </c>
      <c r="CT619">
        <f t="shared" si="546"/>
        <v>337.31</v>
      </c>
      <c r="CU619">
        <f t="shared" si="547"/>
        <v>0</v>
      </c>
      <c r="CV619">
        <f t="shared" si="548"/>
        <v>0.6</v>
      </c>
      <c r="CW619">
        <f t="shared" si="549"/>
        <v>0</v>
      </c>
      <c r="CX619">
        <f t="shared" si="550"/>
        <v>0</v>
      </c>
      <c r="CY619">
        <f t="shared" si="551"/>
        <v>1416.7019999999998</v>
      </c>
      <c r="CZ619">
        <f t="shared" si="552"/>
        <v>202.386</v>
      </c>
      <c r="DC619" t="s">
        <v>3</v>
      </c>
      <c r="DD619" t="s">
        <v>3</v>
      </c>
      <c r="DE619" t="s">
        <v>3</v>
      </c>
      <c r="DF619" t="s">
        <v>3</v>
      </c>
      <c r="DG619" t="s">
        <v>3</v>
      </c>
      <c r="DH619" t="s">
        <v>3</v>
      </c>
      <c r="DI619" t="s">
        <v>3</v>
      </c>
      <c r="DJ619" t="s">
        <v>3</v>
      </c>
      <c r="DK619" t="s">
        <v>3</v>
      </c>
      <c r="DL619" t="s">
        <v>3</v>
      </c>
      <c r="DM619" t="s">
        <v>3</v>
      </c>
      <c r="DN619">
        <v>0</v>
      </c>
      <c r="DO619">
        <v>0</v>
      </c>
      <c r="DP619">
        <v>1</v>
      </c>
      <c r="DQ619">
        <v>1</v>
      </c>
      <c r="DU619">
        <v>16987630</v>
      </c>
      <c r="DV619" t="s">
        <v>32</v>
      </c>
      <c r="DW619" t="s">
        <v>32</v>
      </c>
      <c r="DX619">
        <v>1</v>
      </c>
      <c r="DZ619" t="s">
        <v>3</v>
      </c>
      <c r="EA619" t="s">
        <v>3</v>
      </c>
      <c r="EB619" t="s">
        <v>3</v>
      </c>
      <c r="EC619" t="s">
        <v>3</v>
      </c>
      <c r="EE619">
        <v>1441815344</v>
      </c>
      <c r="EF619">
        <v>1</v>
      </c>
      <c r="EG619" t="s">
        <v>23</v>
      </c>
      <c r="EH619">
        <v>0</v>
      </c>
      <c r="EI619" t="s">
        <v>3</v>
      </c>
      <c r="EJ619">
        <v>4</v>
      </c>
      <c r="EK619">
        <v>0</v>
      </c>
      <c r="EL619" t="s">
        <v>24</v>
      </c>
      <c r="EM619" t="s">
        <v>25</v>
      </c>
      <c r="EO619" t="s">
        <v>3</v>
      </c>
      <c r="EQ619">
        <v>1310720</v>
      </c>
      <c r="ER619">
        <v>338.88</v>
      </c>
      <c r="ES619">
        <v>1.57</v>
      </c>
      <c r="ET619">
        <v>0</v>
      </c>
      <c r="EU619">
        <v>0</v>
      </c>
      <c r="EV619">
        <v>337.31</v>
      </c>
      <c r="EW619">
        <v>0.6</v>
      </c>
      <c r="EX619">
        <v>0</v>
      </c>
      <c r="EY619">
        <v>0</v>
      </c>
      <c r="FQ619">
        <v>0</v>
      </c>
      <c r="FR619">
        <f t="shared" si="553"/>
        <v>0</v>
      </c>
      <c r="FS619">
        <v>0</v>
      </c>
      <c r="FX619">
        <v>70</v>
      </c>
      <c r="FY619">
        <v>10</v>
      </c>
      <c r="GA619" t="s">
        <v>3</v>
      </c>
      <c r="GD619">
        <v>0</v>
      </c>
      <c r="GF619">
        <v>595984218</v>
      </c>
      <c r="GG619">
        <v>2</v>
      </c>
      <c r="GH619">
        <v>1</v>
      </c>
      <c r="GI619">
        <v>-2</v>
      </c>
      <c r="GJ619">
        <v>0</v>
      </c>
      <c r="GK619">
        <f>ROUND(R619*(R12)/100,2)</f>
        <v>0</v>
      </c>
      <c r="GL619">
        <f t="shared" si="554"/>
        <v>0</v>
      </c>
      <c r="GM619">
        <f t="shared" si="555"/>
        <v>3652.37</v>
      </c>
      <c r="GN619">
        <f t="shared" si="556"/>
        <v>0</v>
      </c>
      <c r="GO619">
        <f t="shared" si="557"/>
        <v>0</v>
      </c>
      <c r="GP619">
        <f t="shared" si="558"/>
        <v>3652.37</v>
      </c>
      <c r="GR619">
        <v>0</v>
      </c>
      <c r="GS619">
        <v>3</v>
      </c>
      <c r="GT619">
        <v>0</v>
      </c>
      <c r="GU619" t="s">
        <v>3</v>
      </c>
      <c r="GV619">
        <f t="shared" si="559"/>
        <v>0</v>
      </c>
      <c r="GW619">
        <v>1</v>
      </c>
      <c r="GX619">
        <f t="shared" si="560"/>
        <v>0</v>
      </c>
      <c r="HA619">
        <v>0</v>
      </c>
      <c r="HB619">
        <v>0</v>
      </c>
      <c r="HC619">
        <f t="shared" si="561"/>
        <v>0</v>
      </c>
      <c r="HE619" t="s">
        <v>3</v>
      </c>
      <c r="HF619" t="s">
        <v>3</v>
      </c>
      <c r="HM619" t="s">
        <v>3</v>
      </c>
      <c r="HN619" t="s">
        <v>3</v>
      </c>
      <c r="HO619" t="s">
        <v>3</v>
      </c>
      <c r="HP619" t="s">
        <v>3</v>
      </c>
      <c r="HQ619" t="s">
        <v>3</v>
      </c>
      <c r="IK619">
        <v>0</v>
      </c>
    </row>
    <row r="620" spans="1:245" x14ac:dyDescent="0.2">
      <c r="A620">
        <v>17</v>
      </c>
      <c r="B620">
        <v>1</v>
      </c>
      <c r="D620">
        <f>ROW(EtalonRes!A538)</f>
        <v>538</v>
      </c>
      <c r="E620" t="s">
        <v>3</v>
      </c>
      <c r="F620" t="s">
        <v>442</v>
      </c>
      <c r="G620" t="s">
        <v>443</v>
      </c>
      <c r="H620" t="s">
        <v>32</v>
      </c>
      <c r="I620">
        <f>ROUND(ROUND(2+2+2,9),9)</f>
        <v>6</v>
      </c>
      <c r="J620">
        <v>0</v>
      </c>
      <c r="K620">
        <f>ROUND(ROUND(2+2+2,9),9)</f>
        <v>6</v>
      </c>
      <c r="O620">
        <f t="shared" si="529"/>
        <v>1703.04</v>
      </c>
      <c r="P620">
        <f t="shared" si="530"/>
        <v>0</v>
      </c>
      <c r="Q620">
        <f t="shared" si="531"/>
        <v>0</v>
      </c>
      <c r="R620">
        <f t="shared" si="532"/>
        <v>0</v>
      </c>
      <c r="S620">
        <f t="shared" si="533"/>
        <v>1703.04</v>
      </c>
      <c r="T620">
        <f t="shared" si="534"/>
        <v>0</v>
      </c>
      <c r="U620">
        <f t="shared" si="535"/>
        <v>3.3600000000000003</v>
      </c>
      <c r="V620">
        <f t="shared" si="536"/>
        <v>0</v>
      </c>
      <c r="W620">
        <f t="shared" si="537"/>
        <v>0</v>
      </c>
      <c r="X620">
        <f t="shared" si="538"/>
        <v>1192.1300000000001</v>
      </c>
      <c r="Y620">
        <f t="shared" si="539"/>
        <v>170.3</v>
      </c>
      <c r="AA620">
        <v>-1</v>
      </c>
      <c r="AB620">
        <f t="shared" si="540"/>
        <v>283.83999999999997</v>
      </c>
      <c r="AC620">
        <f>ROUND(((ES620*4)),6)</f>
        <v>0</v>
      </c>
      <c r="AD620">
        <f>ROUND(((((ET620*4))-((EU620*4)))+AE620),6)</f>
        <v>0</v>
      </c>
      <c r="AE620">
        <f>ROUND(((EU620*4)),6)</f>
        <v>0</v>
      </c>
      <c r="AF620">
        <f>ROUND(((EV620*4)),6)</f>
        <v>283.83999999999997</v>
      </c>
      <c r="AG620">
        <f t="shared" si="541"/>
        <v>0</v>
      </c>
      <c r="AH620">
        <f>((EW620*4))</f>
        <v>0.56000000000000005</v>
      </c>
      <c r="AI620">
        <f>((EX620*4))</f>
        <v>0</v>
      </c>
      <c r="AJ620">
        <f t="shared" si="542"/>
        <v>0</v>
      </c>
      <c r="AK620">
        <v>70.959999999999994</v>
      </c>
      <c r="AL620">
        <v>0</v>
      </c>
      <c r="AM620">
        <v>0</v>
      </c>
      <c r="AN620">
        <v>0</v>
      </c>
      <c r="AO620">
        <v>70.959999999999994</v>
      </c>
      <c r="AP620">
        <v>0</v>
      </c>
      <c r="AQ620">
        <v>0.14000000000000001</v>
      </c>
      <c r="AR620">
        <v>0</v>
      </c>
      <c r="AS620">
        <v>0</v>
      </c>
      <c r="AT620">
        <v>70</v>
      </c>
      <c r="AU620">
        <v>10</v>
      </c>
      <c r="AV620">
        <v>1</v>
      </c>
      <c r="AW620">
        <v>1</v>
      </c>
      <c r="AZ620">
        <v>1</v>
      </c>
      <c r="BA620">
        <v>1</v>
      </c>
      <c r="BB620">
        <v>1</v>
      </c>
      <c r="BC620">
        <v>1</v>
      </c>
      <c r="BD620" t="s">
        <v>3</v>
      </c>
      <c r="BE620" t="s">
        <v>3</v>
      </c>
      <c r="BF620" t="s">
        <v>3</v>
      </c>
      <c r="BG620" t="s">
        <v>3</v>
      </c>
      <c r="BH620">
        <v>0</v>
      </c>
      <c r="BI620">
        <v>4</v>
      </c>
      <c r="BJ620" t="s">
        <v>444</v>
      </c>
      <c r="BM620">
        <v>0</v>
      </c>
      <c r="BN620">
        <v>0</v>
      </c>
      <c r="BO620" t="s">
        <v>3</v>
      </c>
      <c r="BP620">
        <v>0</v>
      </c>
      <c r="BQ620">
        <v>1</v>
      </c>
      <c r="BR620">
        <v>0</v>
      </c>
      <c r="BS620">
        <v>1</v>
      </c>
      <c r="BT620">
        <v>1</v>
      </c>
      <c r="BU620">
        <v>1</v>
      </c>
      <c r="BV620">
        <v>1</v>
      </c>
      <c r="BW620">
        <v>1</v>
      </c>
      <c r="BX620">
        <v>1</v>
      </c>
      <c r="BY620" t="s">
        <v>3</v>
      </c>
      <c r="BZ620">
        <v>70</v>
      </c>
      <c r="CA620">
        <v>10</v>
      </c>
      <c r="CB620" t="s">
        <v>3</v>
      </c>
      <c r="CE620">
        <v>0</v>
      </c>
      <c r="CF620">
        <v>0</v>
      </c>
      <c r="CG620">
        <v>0</v>
      </c>
      <c r="CM620">
        <v>0</v>
      </c>
      <c r="CN620" t="s">
        <v>3</v>
      </c>
      <c r="CO620">
        <v>0</v>
      </c>
      <c r="CP620">
        <f t="shared" si="543"/>
        <v>1703.04</v>
      </c>
      <c r="CQ620">
        <f t="shared" si="544"/>
        <v>0</v>
      </c>
      <c r="CR620">
        <f>(((((ET620*4))*BB620-((EU620*4))*BS620)+AE620*BS620)*AV620)</f>
        <v>0</v>
      </c>
      <c r="CS620">
        <f t="shared" si="545"/>
        <v>0</v>
      </c>
      <c r="CT620">
        <f t="shared" si="546"/>
        <v>283.83999999999997</v>
      </c>
      <c r="CU620">
        <f t="shared" si="547"/>
        <v>0</v>
      </c>
      <c r="CV620">
        <f t="shared" si="548"/>
        <v>0.56000000000000005</v>
      </c>
      <c r="CW620">
        <f t="shared" si="549"/>
        <v>0</v>
      </c>
      <c r="CX620">
        <f t="shared" si="550"/>
        <v>0</v>
      </c>
      <c r="CY620">
        <f t="shared" si="551"/>
        <v>1192.1279999999999</v>
      </c>
      <c r="CZ620">
        <f t="shared" si="552"/>
        <v>170.304</v>
      </c>
      <c r="DC620" t="s">
        <v>3</v>
      </c>
      <c r="DD620" t="s">
        <v>22</v>
      </c>
      <c r="DE620" t="s">
        <v>22</v>
      </c>
      <c r="DF620" t="s">
        <v>22</v>
      </c>
      <c r="DG620" t="s">
        <v>22</v>
      </c>
      <c r="DH620" t="s">
        <v>3</v>
      </c>
      <c r="DI620" t="s">
        <v>22</v>
      </c>
      <c r="DJ620" t="s">
        <v>22</v>
      </c>
      <c r="DK620" t="s">
        <v>3</v>
      </c>
      <c r="DL620" t="s">
        <v>3</v>
      </c>
      <c r="DM620" t="s">
        <v>3</v>
      </c>
      <c r="DN620">
        <v>0</v>
      </c>
      <c r="DO620">
        <v>0</v>
      </c>
      <c r="DP620">
        <v>1</v>
      </c>
      <c r="DQ620">
        <v>1</v>
      </c>
      <c r="DU620">
        <v>16987630</v>
      </c>
      <c r="DV620" t="s">
        <v>32</v>
      </c>
      <c r="DW620" t="s">
        <v>32</v>
      </c>
      <c r="DX620">
        <v>1</v>
      </c>
      <c r="DZ620" t="s">
        <v>3</v>
      </c>
      <c r="EA620" t="s">
        <v>3</v>
      </c>
      <c r="EB620" t="s">
        <v>3</v>
      </c>
      <c r="EC620" t="s">
        <v>3</v>
      </c>
      <c r="EE620">
        <v>1441815344</v>
      </c>
      <c r="EF620">
        <v>1</v>
      </c>
      <c r="EG620" t="s">
        <v>23</v>
      </c>
      <c r="EH620">
        <v>0</v>
      </c>
      <c r="EI620" t="s">
        <v>3</v>
      </c>
      <c r="EJ620">
        <v>4</v>
      </c>
      <c r="EK620">
        <v>0</v>
      </c>
      <c r="EL620" t="s">
        <v>24</v>
      </c>
      <c r="EM620" t="s">
        <v>25</v>
      </c>
      <c r="EO620" t="s">
        <v>3</v>
      </c>
      <c r="EQ620">
        <v>1024</v>
      </c>
      <c r="ER620">
        <v>70.959999999999994</v>
      </c>
      <c r="ES620">
        <v>0</v>
      </c>
      <c r="ET620">
        <v>0</v>
      </c>
      <c r="EU620">
        <v>0</v>
      </c>
      <c r="EV620">
        <v>70.959999999999994</v>
      </c>
      <c r="EW620">
        <v>0.14000000000000001</v>
      </c>
      <c r="EX620">
        <v>0</v>
      </c>
      <c r="EY620">
        <v>0</v>
      </c>
      <c r="FQ620">
        <v>0</v>
      </c>
      <c r="FR620">
        <f t="shared" si="553"/>
        <v>0</v>
      </c>
      <c r="FS620">
        <v>0</v>
      </c>
      <c r="FX620">
        <v>70</v>
      </c>
      <c r="FY620">
        <v>10</v>
      </c>
      <c r="GA620" t="s">
        <v>3</v>
      </c>
      <c r="GD620">
        <v>0</v>
      </c>
      <c r="GF620">
        <v>-1648066009</v>
      </c>
      <c r="GG620">
        <v>2</v>
      </c>
      <c r="GH620">
        <v>1</v>
      </c>
      <c r="GI620">
        <v>-2</v>
      </c>
      <c r="GJ620">
        <v>0</v>
      </c>
      <c r="GK620">
        <f>ROUND(R620*(R12)/100,2)</f>
        <v>0</v>
      </c>
      <c r="GL620">
        <f t="shared" si="554"/>
        <v>0</v>
      </c>
      <c r="GM620">
        <f t="shared" si="555"/>
        <v>3065.47</v>
      </c>
      <c r="GN620">
        <f t="shared" si="556"/>
        <v>0</v>
      </c>
      <c r="GO620">
        <f t="shared" si="557"/>
        <v>0</v>
      </c>
      <c r="GP620">
        <f t="shared" si="558"/>
        <v>3065.47</v>
      </c>
      <c r="GR620">
        <v>0</v>
      </c>
      <c r="GS620">
        <v>3</v>
      </c>
      <c r="GT620">
        <v>0</v>
      </c>
      <c r="GU620" t="s">
        <v>3</v>
      </c>
      <c r="GV620">
        <f t="shared" si="559"/>
        <v>0</v>
      </c>
      <c r="GW620">
        <v>1</v>
      </c>
      <c r="GX620">
        <f t="shared" si="560"/>
        <v>0</v>
      </c>
      <c r="HA620">
        <v>0</v>
      </c>
      <c r="HB620">
        <v>0</v>
      </c>
      <c r="HC620">
        <f t="shared" si="561"/>
        <v>0</v>
      </c>
      <c r="HE620" t="s">
        <v>3</v>
      </c>
      <c r="HF620" t="s">
        <v>3</v>
      </c>
      <c r="HM620" t="s">
        <v>3</v>
      </c>
      <c r="HN620" t="s">
        <v>3</v>
      </c>
      <c r="HO620" t="s">
        <v>3</v>
      </c>
      <c r="HP620" t="s">
        <v>3</v>
      </c>
      <c r="HQ620" t="s">
        <v>3</v>
      </c>
      <c r="IK620">
        <v>0</v>
      </c>
    </row>
    <row r="621" spans="1:245" x14ac:dyDescent="0.2">
      <c r="A621">
        <v>17</v>
      </c>
      <c r="B621">
        <v>1</v>
      </c>
      <c r="D621">
        <f>ROW(EtalonRes!A539)</f>
        <v>539</v>
      </c>
      <c r="E621" t="s">
        <v>3</v>
      </c>
      <c r="F621" t="s">
        <v>445</v>
      </c>
      <c r="G621" t="s">
        <v>446</v>
      </c>
      <c r="H621" t="s">
        <v>32</v>
      </c>
      <c r="I621">
        <f>ROUND(ROUND(2+2+2,9),9)</f>
        <v>6</v>
      </c>
      <c r="J621">
        <v>0</v>
      </c>
      <c r="K621">
        <f>ROUND(ROUND(2+2+2,9),9)</f>
        <v>6</v>
      </c>
      <c r="O621">
        <f t="shared" si="529"/>
        <v>28709.4</v>
      </c>
      <c r="P621">
        <f t="shared" si="530"/>
        <v>0</v>
      </c>
      <c r="Q621">
        <f t="shared" si="531"/>
        <v>0</v>
      </c>
      <c r="R621">
        <f t="shared" si="532"/>
        <v>0</v>
      </c>
      <c r="S621">
        <f t="shared" si="533"/>
        <v>28709.4</v>
      </c>
      <c r="T621">
        <f t="shared" si="534"/>
        <v>0</v>
      </c>
      <c r="U621">
        <f t="shared" si="535"/>
        <v>56.64</v>
      </c>
      <c r="V621">
        <f t="shared" si="536"/>
        <v>0</v>
      </c>
      <c r="W621">
        <f t="shared" si="537"/>
        <v>0</v>
      </c>
      <c r="X621">
        <f t="shared" si="538"/>
        <v>20096.580000000002</v>
      </c>
      <c r="Y621">
        <f t="shared" si="539"/>
        <v>2870.94</v>
      </c>
      <c r="AA621">
        <v>-1</v>
      </c>
      <c r="AB621">
        <f t="shared" si="540"/>
        <v>4784.8999999999996</v>
      </c>
      <c r="AC621">
        <f>ROUND(((ES621*118)),6)</f>
        <v>0</v>
      </c>
      <c r="AD621">
        <f>ROUND(((((ET621*118))-((EU621*118)))+AE621),6)</f>
        <v>0</v>
      </c>
      <c r="AE621">
        <f>ROUND(((EU621*118)),6)</f>
        <v>0</v>
      </c>
      <c r="AF621">
        <f>ROUND(((EV621*118)),6)</f>
        <v>4784.8999999999996</v>
      </c>
      <c r="AG621">
        <f t="shared" si="541"/>
        <v>0</v>
      </c>
      <c r="AH621">
        <f>((EW621*118))</f>
        <v>9.44</v>
      </c>
      <c r="AI621">
        <f>((EX621*118))</f>
        <v>0</v>
      </c>
      <c r="AJ621">
        <f t="shared" si="542"/>
        <v>0</v>
      </c>
      <c r="AK621">
        <v>40.549999999999997</v>
      </c>
      <c r="AL621">
        <v>0</v>
      </c>
      <c r="AM621">
        <v>0</v>
      </c>
      <c r="AN621">
        <v>0</v>
      </c>
      <c r="AO621">
        <v>40.549999999999997</v>
      </c>
      <c r="AP621">
        <v>0</v>
      </c>
      <c r="AQ621">
        <v>0.08</v>
      </c>
      <c r="AR621">
        <v>0</v>
      </c>
      <c r="AS621">
        <v>0</v>
      </c>
      <c r="AT621">
        <v>70</v>
      </c>
      <c r="AU621">
        <v>10</v>
      </c>
      <c r="AV621">
        <v>1</v>
      </c>
      <c r="AW621">
        <v>1</v>
      </c>
      <c r="AZ621">
        <v>1</v>
      </c>
      <c r="BA621">
        <v>1</v>
      </c>
      <c r="BB621">
        <v>1</v>
      </c>
      <c r="BC621">
        <v>1</v>
      </c>
      <c r="BD621" t="s">
        <v>3</v>
      </c>
      <c r="BE621" t="s">
        <v>3</v>
      </c>
      <c r="BF621" t="s">
        <v>3</v>
      </c>
      <c r="BG621" t="s">
        <v>3</v>
      </c>
      <c r="BH621">
        <v>0</v>
      </c>
      <c r="BI621">
        <v>4</v>
      </c>
      <c r="BJ621" t="s">
        <v>447</v>
      </c>
      <c r="BM621">
        <v>0</v>
      </c>
      <c r="BN621">
        <v>0</v>
      </c>
      <c r="BO621" t="s">
        <v>3</v>
      </c>
      <c r="BP621">
        <v>0</v>
      </c>
      <c r="BQ621">
        <v>1</v>
      </c>
      <c r="BR621">
        <v>0</v>
      </c>
      <c r="BS621">
        <v>1</v>
      </c>
      <c r="BT621">
        <v>1</v>
      </c>
      <c r="BU621">
        <v>1</v>
      </c>
      <c r="BV621">
        <v>1</v>
      </c>
      <c r="BW621">
        <v>1</v>
      </c>
      <c r="BX621">
        <v>1</v>
      </c>
      <c r="BY621" t="s">
        <v>3</v>
      </c>
      <c r="BZ621">
        <v>70</v>
      </c>
      <c r="CA621">
        <v>10</v>
      </c>
      <c r="CB621" t="s">
        <v>3</v>
      </c>
      <c r="CE621">
        <v>0</v>
      </c>
      <c r="CF621">
        <v>0</v>
      </c>
      <c r="CG621">
        <v>0</v>
      </c>
      <c r="CM621">
        <v>0</v>
      </c>
      <c r="CN621" t="s">
        <v>3</v>
      </c>
      <c r="CO621">
        <v>0</v>
      </c>
      <c r="CP621">
        <f t="shared" si="543"/>
        <v>28709.4</v>
      </c>
      <c r="CQ621">
        <f t="shared" si="544"/>
        <v>0</v>
      </c>
      <c r="CR621">
        <f>(((((ET621*118))*BB621-((EU621*118))*BS621)+AE621*BS621)*AV621)</f>
        <v>0</v>
      </c>
      <c r="CS621">
        <f t="shared" si="545"/>
        <v>0</v>
      </c>
      <c r="CT621">
        <f t="shared" si="546"/>
        <v>4784.8999999999996</v>
      </c>
      <c r="CU621">
        <f t="shared" si="547"/>
        <v>0</v>
      </c>
      <c r="CV621">
        <f t="shared" si="548"/>
        <v>9.44</v>
      </c>
      <c r="CW621">
        <f t="shared" si="549"/>
        <v>0</v>
      </c>
      <c r="CX621">
        <f t="shared" si="550"/>
        <v>0</v>
      </c>
      <c r="CY621">
        <f t="shared" si="551"/>
        <v>20096.580000000002</v>
      </c>
      <c r="CZ621">
        <f t="shared" si="552"/>
        <v>2870.94</v>
      </c>
      <c r="DC621" t="s">
        <v>3</v>
      </c>
      <c r="DD621" t="s">
        <v>448</v>
      </c>
      <c r="DE621" t="s">
        <v>448</v>
      </c>
      <c r="DF621" t="s">
        <v>448</v>
      </c>
      <c r="DG621" t="s">
        <v>448</v>
      </c>
      <c r="DH621" t="s">
        <v>3</v>
      </c>
      <c r="DI621" t="s">
        <v>448</v>
      </c>
      <c r="DJ621" t="s">
        <v>448</v>
      </c>
      <c r="DK621" t="s">
        <v>3</v>
      </c>
      <c r="DL621" t="s">
        <v>3</v>
      </c>
      <c r="DM621" t="s">
        <v>3</v>
      </c>
      <c r="DN621">
        <v>0</v>
      </c>
      <c r="DO621">
        <v>0</v>
      </c>
      <c r="DP621">
        <v>1</v>
      </c>
      <c r="DQ621">
        <v>1</v>
      </c>
      <c r="DU621">
        <v>16987630</v>
      </c>
      <c r="DV621" t="s">
        <v>32</v>
      </c>
      <c r="DW621" t="s">
        <v>32</v>
      </c>
      <c r="DX621">
        <v>1</v>
      </c>
      <c r="DZ621" t="s">
        <v>3</v>
      </c>
      <c r="EA621" t="s">
        <v>3</v>
      </c>
      <c r="EB621" t="s">
        <v>3</v>
      </c>
      <c r="EC621" t="s">
        <v>3</v>
      </c>
      <c r="EE621">
        <v>1441815344</v>
      </c>
      <c r="EF621">
        <v>1</v>
      </c>
      <c r="EG621" t="s">
        <v>23</v>
      </c>
      <c r="EH621">
        <v>0</v>
      </c>
      <c r="EI621" t="s">
        <v>3</v>
      </c>
      <c r="EJ621">
        <v>4</v>
      </c>
      <c r="EK621">
        <v>0</v>
      </c>
      <c r="EL621" t="s">
        <v>24</v>
      </c>
      <c r="EM621" t="s">
        <v>25</v>
      </c>
      <c r="EO621" t="s">
        <v>3</v>
      </c>
      <c r="EQ621">
        <v>1311744</v>
      </c>
      <c r="ER621">
        <v>40.549999999999997</v>
      </c>
      <c r="ES621">
        <v>0</v>
      </c>
      <c r="ET621">
        <v>0</v>
      </c>
      <c r="EU621">
        <v>0</v>
      </c>
      <c r="EV621">
        <v>40.549999999999997</v>
      </c>
      <c r="EW621">
        <v>0.08</v>
      </c>
      <c r="EX621">
        <v>0</v>
      </c>
      <c r="EY621">
        <v>0</v>
      </c>
      <c r="FQ621">
        <v>0</v>
      </c>
      <c r="FR621">
        <f t="shared" si="553"/>
        <v>0</v>
      </c>
      <c r="FS621">
        <v>0</v>
      </c>
      <c r="FX621">
        <v>70</v>
      </c>
      <c r="FY621">
        <v>10</v>
      </c>
      <c r="GA621" t="s">
        <v>3</v>
      </c>
      <c r="GD621">
        <v>0</v>
      </c>
      <c r="GF621">
        <v>-760003618</v>
      </c>
      <c r="GG621">
        <v>2</v>
      </c>
      <c r="GH621">
        <v>1</v>
      </c>
      <c r="GI621">
        <v>-2</v>
      </c>
      <c r="GJ621">
        <v>0</v>
      </c>
      <c r="GK621">
        <f>ROUND(R621*(R12)/100,2)</f>
        <v>0</v>
      </c>
      <c r="GL621">
        <f t="shared" si="554"/>
        <v>0</v>
      </c>
      <c r="GM621">
        <f t="shared" si="555"/>
        <v>51676.92</v>
      </c>
      <c r="GN621">
        <f t="shared" si="556"/>
        <v>0</v>
      </c>
      <c r="GO621">
        <f t="shared" si="557"/>
        <v>0</v>
      </c>
      <c r="GP621">
        <f t="shared" si="558"/>
        <v>51676.92</v>
      </c>
      <c r="GR621">
        <v>0</v>
      </c>
      <c r="GS621">
        <v>3</v>
      </c>
      <c r="GT621">
        <v>0</v>
      </c>
      <c r="GU621" t="s">
        <v>3</v>
      </c>
      <c r="GV621">
        <f t="shared" si="559"/>
        <v>0</v>
      </c>
      <c r="GW621">
        <v>1</v>
      </c>
      <c r="GX621">
        <f t="shared" si="560"/>
        <v>0</v>
      </c>
      <c r="HA621">
        <v>0</v>
      </c>
      <c r="HB621">
        <v>0</v>
      </c>
      <c r="HC621">
        <f t="shared" si="561"/>
        <v>0</v>
      </c>
      <c r="HE621" t="s">
        <v>3</v>
      </c>
      <c r="HF621" t="s">
        <v>3</v>
      </c>
      <c r="HM621" t="s">
        <v>3</v>
      </c>
      <c r="HN621" t="s">
        <v>3</v>
      </c>
      <c r="HO621" t="s">
        <v>3</v>
      </c>
      <c r="HP621" t="s">
        <v>3</v>
      </c>
      <c r="HQ621" t="s">
        <v>3</v>
      </c>
      <c r="IK621">
        <v>0</v>
      </c>
    </row>
    <row r="622" spans="1:245" x14ac:dyDescent="0.2">
      <c r="A622">
        <v>19</v>
      </c>
      <c r="B622">
        <v>1</v>
      </c>
      <c r="F622" t="s">
        <v>3</v>
      </c>
      <c r="G622" t="s">
        <v>458</v>
      </c>
      <c r="H622" t="s">
        <v>3</v>
      </c>
      <c r="AA622">
        <v>1</v>
      </c>
      <c r="IK622">
        <v>0</v>
      </c>
    </row>
    <row r="623" spans="1:245" x14ac:dyDescent="0.2">
      <c r="A623">
        <v>17</v>
      </c>
      <c r="B623">
        <v>1</v>
      </c>
      <c r="D623">
        <f>ROW(EtalonRes!A541)</f>
        <v>541</v>
      </c>
      <c r="E623" t="s">
        <v>3</v>
      </c>
      <c r="F623" t="s">
        <v>459</v>
      </c>
      <c r="G623" t="s">
        <v>460</v>
      </c>
      <c r="H623" t="s">
        <v>37</v>
      </c>
      <c r="I623">
        <f>ROUND(ROUND(((9+360+53+5+7+23+1)*3+(80+2+50+15+11+3+34))/10,9),9)</f>
        <v>156.9</v>
      </c>
      <c r="J623">
        <v>0</v>
      </c>
      <c r="K623">
        <f>ROUND(ROUND(((9+360+53+5+7+23+1)*3+(80+2+50+15+11+3+34))/10,9),9)</f>
        <v>156.9</v>
      </c>
      <c r="O623">
        <f>ROUND(CP623,2)</f>
        <v>39742.769999999997</v>
      </c>
      <c r="P623">
        <f>ROUND(CQ623*I623,2)</f>
        <v>988.47</v>
      </c>
      <c r="Q623">
        <f>ROUND(CR623*I623,2)</f>
        <v>0</v>
      </c>
      <c r="R623">
        <f>ROUND(CS623*I623,2)</f>
        <v>0</v>
      </c>
      <c r="S623">
        <f>ROUND(CT623*I623,2)</f>
        <v>38754.300000000003</v>
      </c>
      <c r="T623">
        <f>ROUND(CU623*I623,2)</f>
        <v>0</v>
      </c>
      <c r="U623">
        <f>CV623*I623</f>
        <v>62.760000000000005</v>
      </c>
      <c r="V623">
        <f>CW623*I623</f>
        <v>0</v>
      </c>
      <c r="W623">
        <f>ROUND(CX623*I623,2)</f>
        <v>0</v>
      </c>
      <c r="X623">
        <f t="shared" ref="X623:Y626" si="562">ROUND(CY623,2)</f>
        <v>27128.01</v>
      </c>
      <c r="Y623">
        <f t="shared" si="562"/>
        <v>3875.43</v>
      </c>
      <c r="AA623">
        <v>-1</v>
      </c>
      <c r="AB623">
        <f>ROUND((AC623+AD623+AF623),6)</f>
        <v>253.3</v>
      </c>
      <c r="AC623">
        <f>ROUND((ES623),6)</f>
        <v>6.3</v>
      </c>
      <c r="AD623">
        <f>ROUND((((ET623)-(EU623))+AE623),6)</f>
        <v>0</v>
      </c>
      <c r="AE623">
        <f>ROUND((EU623),6)</f>
        <v>0</v>
      </c>
      <c r="AF623">
        <f>ROUND((EV623),6)</f>
        <v>247</v>
      </c>
      <c r="AG623">
        <f>ROUND((AP623),6)</f>
        <v>0</v>
      </c>
      <c r="AH623">
        <f>(EW623)</f>
        <v>0.4</v>
      </c>
      <c r="AI623">
        <f>(EX623)</f>
        <v>0</v>
      </c>
      <c r="AJ623">
        <f>(AS623)</f>
        <v>0</v>
      </c>
      <c r="AK623">
        <v>253.3</v>
      </c>
      <c r="AL623">
        <v>6.3</v>
      </c>
      <c r="AM623">
        <v>0</v>
      </c>
      <c r="AN623">
        <v>0</v>
      </c>
      <c r="AO623">
        <v>247</v>
      </c>
      <c r="AP623">
        <v>0</v>
      </c>
      <c r="AQ623">
        <v>0.4</v>
      </c>
      <c r="AR623">
        <v>0</v>
      </c>
      <c r="AS623">
        <v>0</v>
      </c>
      <c r="AT623">
        <v>70</v>
      </c>
      <c r="AU623">
        <v>10</v>
      </c>
      <c r="AV623">
        <v>1</v>
      </c>
      <c r="AW623">
        <v>1</v>
      </c>
      <c r="AZ623">
        <v>1</v>
      </c>
      <c r="BA623">
        <v>1</v>
      </c>
      <c r="BB623">
        <v>1</v>
      </c>
      <c r="BC623">
        <v>1</v>
      </c>
      <c r="BD623" t="s">
        <v>3</v>
      </c>
      <c r="BE623" t="s">
        <v>3</v>
      </c>
      <c r="BF623" t="s">
        <v>3</v>
      </c>
      <c r="BG623" t="s">
        <v>3</v>
      </c>
      <c r="BH623">
        <v>0</v>
      </c>
      <c r="BI623">
        <v>4</v>
      </c>
      <c r="BJ623" t="s">
        <v>461</v>
      </c>
      <c r="BM623">
        <v>0</v>
      </c>
      <c r="BN623">
        <v>0</v>
      </c>
      <c r="BO623" t="s">
        <v>3</v>
      </c>
      <c r="BP623">
        <v>0</v>
      </c>
      <c r="BQ623">
        <v>1</v>
      </c>
      <c r="BR623">
        <v>0</v>
      </c>
      <c r="BS623">
        <v>1</v>
      </c>
      <c r="BT623">
        <v>1</v>
      </c>
      <c r="BU623">
        <v>1</v>
      </c>
      <c r="BV623">
        <v>1</v>
      </c>
      <c r="BW623">
        <v>1</v>
      </c>
      <c r="BX623">
        <v>1</v>
      </c>
      <c r="BY623" t="s">
        <v>3</v>
      </c>
      <c r="BZ623">
        <v>70</v>
      </c>
      <c r="CA623">
        <v>10</v>
      </c>
      <c r="CB623" t="s">
        <v>3</v>
      </c>
      <c r="CE623">
        <v>0</v>
      </c>
      <c r="CF623">
        <v>0</v>
      </c>
      <c r="CG623">
        <v>0</v>
      </c>
      <c r="CM623">
        <v>0</v>
      </c>
      <c r="CN623" t="s">
        <v>3</v>
      </c>
      <c r="CO623">
        <v>0</v>
      </c>
      <c r="CP623">
        <f>(P623+Q623+S623)</f>
        <v>39742.770000000004</v>
      </c>
      <c r="CQ623">
        <f>(AC623*BC623*AW623)</f>
        <v>6.3</v>
      </c>
      <c r="CR623">
        <f>((((ET623)*BB623-(EU623)*BS623)+AE623*BS623)*AV623)</f>
        <v>0</v>
      </c>
      <c r="CS623">
        <f>(AE623*BS623*AV623)</f>
        <v>0</v>
      </c>
      <c r="CT623">
        <f>(AF623*BA623*AV623)</f>
        <v>247</v>
      </c>
      <c r="CU623">
        <f>AG623</f>
        <v>0</v>
      </c>
      <c r="CV623">
        <f>(AH623*AV623)</f>
        <v>0.4</v>
      </c>
      <c r="CW623">
        <f t="shared" ref="CW623:CX626" si="563">AI623</f>
        <v>0</v>
      </c>
      <c r="CX623">
        <f t="shared" si="563"/>
        <v>0</v>
      </c>
      <c r="CY623">
        <f>((S623*BZ623)/100)</f>
        <v>27128.01</v>
      </c>
      <c r="CZ623">
        <f>((S623*CA623)/100)</f>
        <v>3875.43</v>
      </c>
      <c r="DC623" t="s">
        <v>3</v>
      </c>
      <c r="DD623" t="s">
        <v>3</v>
      </c>
      <c r="DE623" t="s">
        <v>3</v>
      </c>
      <c r="DF623" t="s">
        <v>3</v>
      </c>
      <c r="DG623" t="s">
        <v>3</v>
      </c>
      <c r="DH623" t="s">
        <v>3</v>
      </c>
      <c r="DI623" t="s">
        <v>3</v>
      </c>
      <c r="DJ623" t="s">
        <v>3</v>
      </c>
      <c r="DK623" t="s">
        <v>3</v>
      </c>
      <c r="DL623" t="s">
        <v>3</v>
      </c>
      <c r="DM623" t="s">
        <v>3</v>
      </c>
      <c r="DN623">
        <v>0</v>
      </c>
      <c r="DO623">
        <v>0</v>
      </c>
      <c r="DP623">
        <v>1</v>
      </c>
      <c r="DQ623">
        <v>1</v>
      </c>
      <c r="DU623">
        <v>16987630</v>
      </c>
      <c r="DV623" t="s">
        <v>37</v>
      </c>
      <c r="DW623" t="s">
        <v>37</v>
      </c>
      <c r="DX623">
        <v>10</v>
      </c>
      <c r="DZ623" t="s">
        <v>3</v>
      </c>
      <c r="EA623" t="s">
        <v>3</v>
      </c>
      <c r="EB623" t="s">
        <v>3</v>
      </c>
      <c r="EC623" t="s">
        <v>3</v>
      </c>
      <c r="EE623">
        <v>1441815344</v>
      </c>
      <c r="EF623">
        <v>1</v>
      </c>
      <c r="EG623" t="s">
        <v>23</v>
      </c>
      <c r="EH623">
        <v>0</v>
      </c>
      <c r="EI623" t="s">
        <v>3</v>
      </c>
      <c r="EJ623">
        <v>4</v>
      </c>
      <c r="EK623">
        <v>0</v>
      </c>
      <c r="EL623" t="s">
        <v>24</v>
      </c>
      <c r="EM623" t="s">
        <v>25</v>
      </c>
      <c r="EO623" t="s">
        <v>3</v>
      </c>
      <c r="EQ623">
        <v>1024</v>
      </c>
      <c r="ER623">
        <v>253.3</v>
      </c>
      <c r="ES623">
        <v>6.3</v>
      </c>
      <c r="ET623">
        <v>0</v>
      </c>
      <c r="EU623">
        <v>0</v>
      </c>
      <c r="EV623">
        <v>247</v>
      </c>
      <c r="EW623">
        <v>0.4</v>
      </c>
      <c r="EX623">
        <v>0</v>
      </c>
      <c r="EY623">
        <v>0</v>
      </c>
      <c r="FQ623">
        <v>0</v>
      </c>
      <c r="FR623">
        <f>ROUND(IF(BI623=3,GM623,0),2)</f>
        <v>0</v>
      </c>
      <c r="FS623">
        <v>0</v>
      </c>
      <c r="FX623">
        <v>70</v>
      </c>
      <c r="FY623">
        <v>10</v>
      </c>
      <c r="GA623" t="s">
        <v>3</v>
      </c>
      <c r="GD623">
        <v>0</v>
      </c>
      <c r="GF623">
        <v>526043079</v>
      </c>
      <c r="GG623">
        <v>2</v>
      </c>
      <c r="GH623">
        <v>1</v>
      </c>
      <c r="GI623">
        <v>-2</v>
      </c>
      <c r="GJ623">
        <v>0</v>
      </c>
      <c r="GK623">
        <f>ROUND(R623*(R12)/100,2)</f>
        <v>0</v>
      </c>
      <c r="GL623">
        <f>ROUND(IF(AND(BH623=3,BI623=3,FS623&lt;&gt;0),P623,0),2)</f>
        <v>0</v>
      </c>
      <c r="GM623">
        <f>ROUND(O623+X623+Y623+GK623,2)+GX623</f>
        <v>70746.210000000006</v>
      </c>
      <c r="GN623">
        <f>IF(OR(BI623=0,BI623=1),GM623-GX623,0)</f>
        <v>0</v>
      </c>
      <c r="GO623">
        <f>IF(BI623=2,GM623-GX623,0)</f>
        <v>0</v>
      </c>
      <c r="GP623">
        <f>IF(BI623=4,GM623-GX623,0)</f>
        <v>70746.210000000006</v>
      </c>
      <c r="GR623">
        <v>0</v>
      </c>
      <c r="GS623">
        <v>3</v>
      </c>
      <c r="GT623">
        <v>0</v>
      </c>
      <c r="GU623" t="s">
        <v>3</v>
      </c>
      <c r="GV623">
        <f>ROUND((GT623),6)</f>
        <v>0</v>
      </c>
      <c r="GW623">
        <v>1</v>
      </c>
      <c r="GX623">
        <f>ROUND(HC623*I623,2)</f>
        <v>0</v>
      </c>
      <c r="HA623">
        <v>0</v>
      </c>
      <c r="HB623">
        <v>0</v>
      </c>
      <c r="HC623">
        <f>GV623*GW623</f>
        <v>0</v>
      </c>
      <c r="HE623" t="s">
        <v>3</v>
      </c>
      <c r="HF623" t="s">
        <v>3</v>
      </c>
      <c r="HM623" t="s">
        <v>3</v>
      </c>
      <c r="HN623" t="s">
        <v>3</v>
      </c>
      <c r="HO623" t="s">
        <v>3</v>
      </c>
      <c r="HP623" t="s">
        <v>3</v>
      </c>
      <c r="HQ623" t="s">
        <v>3</v>
      </c>
      <c r="IK623">
        <v>0</v>
      </c>
    </row>
    <row r="624" spans="1:245" x14ac:dyDescent="0.2">
      <c r="A624">
        <v>17</v>
      </c>
      <c r="B624">
        <v>1</v>
      </c>
      <c r="D624">
        <f>ROW(EtalonRes!A543)</f>
        <v>543</v>
      </c>
      <c r="E624" t="s">
        <v>462</v>
      </c>
      <c r="F624" t="s">
        <v>463</v>
      </c>
      <c r="G624" t="s">
        <v>464</v>
      </c>
      <c r="H624" t="s">
        <v>37</v>
      </c>
      <c r="I624">
        <f>ROUND(ROUND((9+360+53+5+7+23+1)*3/10,9),9)</f>
        <v>137.4</v>
      </c>
      <c r="J624">
        <v>0</v>
      </c>
      <c r="K624">
        <f>ROUND(ROUND((9+360+53+5+7+23+1)*3/10,9),9)</f>
        <v>137.4</v>
      </c>
      <c r="O624">
        <f>ROUND(CP624,2)</f>
        <v>16137.63</v>
      </c>
      <c r="P624">
        <f>ROUND(CQ624*I624,2)</f>
        <v>865.62</v>
      </c>
      <c r="Q624">
        <f>ROUND(CR624*I624,2)</f>
        <v>0</v>
      </c>
      <c r="R624">
        <f>ROUND(CS624*I624,2)</f>
        <v>0</v>
      </c>
      <c r="S624">
        <f>ROUND(CT624*I624,2)</f>
        <v>15272.01</v>
      </c>
      <c r="T624">
        <f>ROUND(CU624*I624,2)</f>
        <v>0</v>
      </c>
      <c r="U624">
        <f>CV624*I624</f>
        <v>24.731999999999999</v>
      </c>
      <c r="V624">
        <f>CW624*I624</f>
        <v>0</v>
      </c>
      <c r="W624">
        <f>ROUND(CX624*I624,2)</f>
        <v>0</v>
      </c>
      <c r="X624">
        <f t="shared" si="562"/>
        <v>10690.41</v>
      </c>
      <c r="Y624">
        <f t="shared" si="562"/>
        <v>1527.2</v>
      </c>
      <c r="AA624">
        <v>1472224561</v>
      </c>
      <c r="AB624">
        <f>ROUND((AC624+AD624+AF624),6)</f>
        <v>117.45</v>
      </c>
      <c r="AC624">
        <f>ROUND((ES624),6)</f>
        <v>6.3</v>
      </c>
      <c r="AD624">
        <f>ROUND((((ET624)-(EU624))+AE624),6)</f>
        <v>0</v>
      </c>
      <c r="AE624">
        <f>ROUND((EU624),6)</f>
        <v>0</v>
      </c>
      <c r="AF624">
        <f>ROUND((EV624),6)</f>
        <v>111.15</v>
      </c>
      <c r="AG624">
        <f>ROUND((AP624),6)</f>
        <v>0</v>
      </c>
      <c r="AH624">
        <f>(EW624)</f>
        <v>0.18</v>
      </c>
      <c r="AI624">
        <f>(EX624)</f>
        <v>0</v>
      </c>
      <c r="AJ624">
        <f>(AS624)</f>
        <v>0</v>
      </c>
      <c r="AK624">
        <v>117.45</v>
      </c>
      <c r="AL624">
        <v>6.3</v>
      </c>
      <c r="AM624">
        <v>0</v>
      </c>
      <c r="AN624">
        <v>0</v>
      </c>
      <c r="AO624">
        <v>111.15</v>
      </c>
      <c r="AP624">
        <v>0</v>
      </c>
      <c r="AQ624">
        <v>0.18</v>
      </c>
      <c r="AR624">
        <v>0</v>
      </c>
      <c r="AS624">
        <v>0</v>
      </c>
      <c r="AT624">
        <v>70</v>
      </c>
      <c r="AU624">
        <v>10</v>
      </c>
      <c r="AV624">
        <v>1</v>
      </c>
      <c r="AW624">
        <v>1</v>
      </c>
      <c r="AZ624">
        <v>1</v>
      </c>
      <c r="BA624">
        <v>1</v>
      </c>
      <c r="BB624">
        <v>1</v>
      </c>
      <c r="BC624">
        <v>1</v>
      </c>
      <c r="BD624" t="s">
        <v>3</v>
      </c>
      <c r="BE624" t="s">
        <v>3</v>
      </c>
      <c r="BF624" t="s">
        <v>3</v>
      </c>
      <c r="BG624" t="s">
        <v>3</v>
      </c>
      <c r="BH624">
        <v>0</v>
      </c>
      <c r="BI624">
        <v>4</v>
      </c>
      <c r="BJ624" t="s">
        <v>465</v>
      </c>
      <c r="BM624">
        <v>0</v>
      </c>
      <c r="BN624">
        <v>0</v>
      </c>
      <c r="BO624" t="s">
        <v>3</v>
      </c>
      <c r="BP624">
        <v>0</v>
      </c>
      <c r="BQ624">
        <v>1</v>
      </c>
      <c r="BR624">
        <v>0</v>
      </c>
      <c r="BS624">
        <v>1</v>
      </c>
      <c r="BT624">
        <v>1</v>
      </c>
      <c r="BU624">
        <v>1</v>
      </c>
      <c r="BV624">
        <v>1</v>
      </c>
      <c r="BW624">
        <v>1</v>
      </c>
      <c r="BX624">
        <v>1</v>
      </c>
      <c r="BY624" t="s">
        <v>3</v>
      </c>
      <c r="BZ624">
        <v>70</v>
      </c>
      <c r="CA624">
        <v>10</v>
      </c>
      <c r="CB624" t="s">
        <v>3</v>
      </c>
      <c r="CE624">
        <v>0</v>
      </c>
      <c r="CF624">
        <v>0</v>
      </c>
      <c r="CG624">
        <v>0</v>
      </c>
      <c r="CM624">
        <v>0</v>
      </c>
      <c r="CN624" t="s">
        <v>3</v>
      </c>
      <c r="CO624">
        <v>0</v>
      </c>
      <c r="CP624">
        <f>(P624+Q624+S624)</f>
        <v>16137.630000000001</v>
      </c>
      <c r="CQ624">
        <f>(AC624*BC624*AW624)</f>
        <v>6.3</v>
      </c>
      <c r="CR624">
        <f>((((ET624)*BB624-(EU624)*BS624)+AE624*BS624)*AV624)</f>
        <v>0</v>
      </c>
      <c r="CS624">
        <f>(AE624*BS624*AV624)</f>
        <v>0</v>
      </c>
      <c r="CT624">
        <f>(AF624*BA624*AV624)</f>
        <v>111.15</v>
      </c>
      <c r="CU624">
        <f>AG624</f>
        <v>0</v>
      </c>
      <c r="CV624">
        <f>(AH624*AV624)</f>
        <v>0.18</v>
      </c>
      <c r="CW624">
        <f t="shared" si="563"/>
        <v>0</v>
      </c>
      <c r="CX624">
        <f t="shared" si="563"/>
        <v>0</v>
      </c>
      <c r="CY624">
        <f>((S624*BZ624)/100)</f>
        <v>10690.406999999999</v>
      </c>
      <c r="CZ624">
        <f>((S624*CA624)/100)</f>
        <v>1527.201</v>
      </c>
      <c r="DC624" t="s">
        <v>3</v>
      </c>
      <c r="DD624" t="s">
        <v>3</v>
      </c>
      <c r="DE624" t="s">
        <v>3</v>
      </c>
      <c r="DF624" t="s">
        <v>3</v>
      </c>
      <c r="DG624" t="s">
        <v>3</v>
      </c>
      <c r="DH624" t="s">
        <v>3</v>
      </c>
      <c r="DI624" t="s">
        <v>3</v>
      </c>
      <c r="DJ624" t="s">
        <v>3</v>
      </c>
      <c r="DK624" t="s">
        <v>3</v>
      </c>
      <c r="DL624" t="s">
        <v>3</v>
      </c>
      <c r="DM624" t="s">
        <v>3</v>
      </c>
      <c r="DN624">
        <v>0</v>
      </c>
      <c r="DO624">
        <v>0</v>
      </c>
      <c r="DP624">
        <v>1</v>
      </c>
      <c r="DQ624">
        <v>1</v>
      </c>
      <c r="DU624">
        <v>16987630</v>
      </c>
      <c r="DV624" t="s">
        <v>37</v>
      </c>
      <c r="DW624" t="s">
        <v>37</v>
      </c>
      <c r="DX624">
        <v>10</v>
      </c>
      <c r="DZ624" t="s">
        <v>3</v>
      </c>
      <c r="EA624" t="s">
        <v>3</v>
      </c>
      <c r="EB624" t="s">
        <v>3</v>
      </c>
      <c r="EC624" t="s">
        <v>3</v>
      </c>
      <c r="EE624">
        <v>1441815344</v>
      </c>
      <c r="EF624">
        <v>1</v>
      </c>
      <c r="EG624" t="s">
        <v>23</v>
      </c>
      <c r="EH624">
        <v>0</v>
      </c>
      <c r="EI624" t="s">
        <v>3</v>
      </c>
      <c r="EJ624">
        <v>4</v>
      </c>
      <c r="EK624">
        <v>0</v>
      </c>
      <c r="EL624" t="s">
        <v>24</v>
      </c>
      <c r="EM624" t="s">
        <v>25</v>
      </c>
      <c r="EO624" t="s">
        <v>3</v>
      </c>
      <c r="EQ624">
        <v>0</v>
      </c>
      <c r="ER624">
        <v>117.45</v>
      </c>
      <c r="ES624">
        <v>6.3</v>
      </c>
      <c r="ET624">
        <v>0</v>
      </c>
      <c r="EU624">
        <v>0</v>
      </c>
      <c r="EV624">
        <v>111.15</v>
      </c>
      <c r="EW624">
        <v>0.18</v>
      </c>
      <c r="EX624">
        <v>0</v>
      </c>
      <c r="EY624">
        <v>0</v>
      </c>
      <c r="FQ624">
        <v>0</v>
      </c>
      <c r="FR624">
        <f>ROUND(IF(BI624=3,GM624,0),2)</f>
        <v>0</v>
      </c>
      <c r="FS624">
        <v>0</v>
      </c>
      <c r="FX624">
        <v>70</v>
      </c>
      <c r="FY624">
        <v>10</v>
      </c>
      <c r="GA624" t="s">
        <v>3</v>
      </c>
      <c r="GD624">
        <v>0</v>
      </c>
      <c r="GF624">
        <v>1310870617</v>
      </c>
      <c r="GG624">
        <v>2</v>
      </c>
      <c r="GH624">
        <v>1</v>
      </c>
      <c r="GI624">
        <v>-2</v>
      </c>
      <c r="GJ624">
        <v>0</v>
      </c>
      <c r="GK624">
        <f>ROUND(R624*(R12)/100,2)</f>
        <v>0</v>
      </c>
      <c r="GL624">
        <f>ROUND(IF(AND(BH624=3,BI624=3,FS624&lt;&gt;0),P624,0),2)</f>
        <v>0</v>
      </c>
      <c r="GM624">
        <f>ROUND(O624+X624+Y624+GK624,2)+GX624</f>
        <v>28355.24</v>
      </c>
      <c r="GN624">
        <f>IF(OR(BI624=0,BI624=1),GM624-GX624,0)</f>
        <v>0</v>
      </c>
      <c r="GO624">
        <f>IF(BI624=2,GM624-GX624,0)</f>
        <v>0</v>
      </c>
      <c r="GP624">
        <f>IF(BI624=4,GM624-GX624,0)</f>
        <v>28355.24</v>
      </c>
      <c r="GR624">
        <v>0</v>
      </c>
      <c r="GS624">
        <v>3</v>
      </c>
      <c r="GT624">
        <v>0</v>
      </c>
      <c r="GU624" t="s">
        <v>3</v>
      </c>
      <c r="GV624">
        <f>ROUND((GT624),6)</f>
        <v>0</v>
      </c>
      <c r="GW624">
        <v>1</v>
      </c>
      <c r="GX624">
        <f>ROUND(HC624*I624,2)</f>
        <v>0</v>
      </c>
      <c r="HA624">
        <v>0</v>
      </c>
      <c r="HB624">
        <v>0</v>
      </c>
      <c r="HC624">
        <f>GV624*GW624</f>
        <v>0</v>
      </c>
      <c r="HE624" t="s">
        <v>3</v>
      </c>
      <c r="HF624" t="s">
        <v>3</v>
      </c>
      <c r="HM624" t="s">
        <v>3</v>
      </c>
      <c r="HN624" t="s">
        <v>3</v>
      </c>
      <c r="HO624" t="s">
        <v>3</v>
      </c>
      <c r="HP624" t="s">
        <v>3</v>
      </c>
      <c r="HQ624" t="s">
        <v>3</v>
      </c>
      <c r="IK624">
        <v>0</v>
      </c>
    </row>
    <row r="625" spans="1:245" x14ac:dyDescent="0.2">
      <c r="A625">
        <v>17</v>
      </c>
      <c r="B625">
        <v>1</v>
      </c>
      <c r="D625">
        <f>ROW(EtalonRes!A544)</f>
        <v>544</v>
      </c>
      <c r="E625" t="s">
        <v>3</v>
      </c>
      <c r="F625" t="s">
        <v>466</v>
      </c>
      <c r="G625" t="s">
        <v>467</v>
      </c>
      <c r="H625" t="s">
        <v>112</v>
      </c>
      <c r="I625">
        <f>ROUND(ROUND((9+360+53+5+7+23+1)*3/100,9),9)</f>
        <v>13.74</v>
      </c>
      <c r="J625">
        <v>0</v>
      </c>
      <c r="K625">
        <f>ROUND(ROUND((9+360+53+5+7+23+1)*3/100,9),9)</f>
        <v>13.74</v>
      </c>
      <c r="O625">
        <f>ROUND(CP625,2)</f>
        <v>5014</v>
      </c>
      <c r="P625">
        <f>ROUND(CQ625*I625,2)</f>
        <v>0</v>
      </c>
      <c r="Q625">
        <f>ROUND(CR625*I625,2)</f>
        <v>0</v>
      </c>
      <c r="R625">
        <f>ROUND(CS625*I625,2)</f>
        <v>0</v>
      </c>
      <c r="S625">
        <f>ROUND(CT625*I625,2)</f>
        <v>5014</v>
      </c>
      <c r="T625">
        <f>ROUND(CU625*I625,2)</f>
        <v>0</v>
      </c>
      <c r="U625">
        <f>CV625*I625</f>
        <v>9.8927999999999994</v>
      </c>
      <c r="V625">
        <f>CW625*I625</f>
        <v>0</v>
      </c>
      <c r="W625">
        <f>ROUND(CX625*I625,2)</f>
        <v>0</v>
      </c>
      <c r="X625">
        <f t="shared" si="562"/>
        <v>3509.8</v>
      </c>
      <c r="Y625">
        <f t="shared" si="562"/>
        <v>501.4</v>
      </c>
      <c r="AA625">
        <v>-1</v>
      </c>
      <c r="AB625">
        <f>ROUND((AC625+AD625+AF625),6)</f>
        <v>364.92</v>
      </c>
      <c r="AC625">
        <f>ROUND(((ES625*3)),6)</f>
        <v>0</v>
      </c>
      <c r="AD625">
        <f>ROUND(((((ET625*3))-((EU625*3)))+AE625),6)</f>
        <v>0</v>
      </c>
      <c r="AE625">
        <f>ROUND(((EU625*3)),6)</f>
        <v>0</v>
      </c>
      <c r="AF625">
        <f>ROUND(((EV625*3)),6)</f>
        <v>364.92</v>
      </c>
      <c r="AG625">
        <f>ROUND((AP625),6)</f>
        <v>0</v>
      </c>
      <c r="AH625">
        <f>((EW625*3))</f>
        <v>0.72</v>
      </c>
      <c r="AI625">
        <f>((EX625*3))</f>
        <v>0</v>
      </c>
      <c r="AJ625">
        <f>(AS625)</f>
        <v>0</v>
      </c>
      <c r="AK625">
        <v>121.64</v>
      </c>
      <c r="AL625">
        <v>0</v>
      </c>
      <c r="AM625">
        <v>0</v>
      </c>
      <c r="AN625">
        <v>0</v>
      </c>
      <c r="AO625">
        <v>121.64</v>
      </c>
      <c r="AP625">
        <v>0</v>
      </c>
      <c r="AQ625">
        <v>0.24</v>
      </c>
      <c r="AR625">
        <v>0</v>
      </c>
      <c r="AS625">
        <v>0</v>
      </c>
      <c r="AT625">
        <v>70</v>
      </c>
      <c r="AU625">
        <v>10</v>
      </c>
      <c r="AV625">
        <v>1</v>
      </c>
      <c r="AW625">
        <v>1</v>
      </c>
      <c r="AZ625">
        <v>1</v>
      </c>
      <c r="BA625">
        <v>1</v>
      </c>
      <c r="BB625">
        <v>1</v>
      </c>
      <c r="BC625">
        <v>1</v>
      </c>
      <c r="BD625" t="s">
        <v>3</v>
      </c>
      <c r="BE625" t="s">
        <v>3</v>
      </c>
      <c r="BF625" t="s">
        <v>3</v>
      </c>
      <c r="BG625" t="s">
        <v>3</v>
      </c>
      <c r="BH625">
        <v>0</v>
      </c>
      <c r="BI625">
        <v>4</v>
      </c>
      <c r="BJ625" t="s">
        <v>468</v>
      </c>
      <c r="BM625">
        <v>0</v>
      </c>
      <c r="BN625">
        <v>0</v>
      </c>
      <c r="BO625" t="s">
        <v>3</v>
      </c>
      <c r="BP625">
        <v>0</v>
      </c>
      <c r="BQ625">
        <v>1</v>
      </c>
      <c r="BR625">
        <v>0</v>
      </c>
      <c r="BS625">
        <v>1</v>
      </c>
      <c r="BT625">
        <v>1</v>
      </c>
      <c r="BU625">
        <v>1</v>
      </c>
      <c r="BV625">
        <v>1</v>
      </c>
      <c r="BW625">
        <v>1</v>
      </c>
      <c r="BX625">
        <v>1</v>
      </c>
      <c r="BY625" t="s">
        <v>3</v>
      </c>
      <c r="BZ625">
        <v>70</v>
      </c>
      <c r="CA625">
        <v>10</v>
      </c>
      <c r="CB625" t="s">
        <v>3</v>
      </c>
      <c r="CE625">
        <v>0</v>
      </c>
      <c r="CF625">
        <v>0</v>
      </c>
      <c r="CG625">
        <v>0</v>
      </c>
      <c r="CM625">
        <v>0</v>
      </c>
      <c r="CN625" t="s">
        <v>3</v>
      </c>
      <c r="CO625">
        <v>0</v>
      </c>
      <c r="CP625">
        <f>(P625+Q625+S625)</f>
        <v>5014</v>
      </c>
      <c r="CQ625">
        <f>(AC625*BC625*AW625)</f>
        <v>0</v>
      </c>
      <c r="CR625">
        <f>(((((ET625*3))*BB625-((EU625*3))*BS625)+AE625*BS625)*AV625)</f>
        <v>0</v>
      </c>
      <c r="CS625">
        <f>(AE625*BS625*AV625)</f>
        <v>0</v>
      </c>
      <c r="CT625">
        <f>(AF625*BA625*AV625)</f>
        <v>364.92</v>
      </c>
      <c r="CU625">
        <f>AG625</f>
        <v>0</v>
      </c>
      <c r="CV625">
        <f>(AH625*AV625)</f>
        <v>0.72</v>
      </c>
      <c r="CW625">
        <f t="shared" si="563"/>
        <v>0</v>
      </c>
      <c r="CX625">
        <f t="shared" si="563"/>
        <v>0</v>
      </c>
      <c r="CY625">
        <f>((S625*BZ625)/100)</f>
        <v>3509.8</v>
      </c>
      <c r="CZ625">
        <f>((S625*CA625)/100)</f>
        <v>501.4</v>
      </c>
      <c r="DC625" t="s">
        <v>3</v>
      </c>
      <c r="DD625" t="s">
        <v>290</v>
      </c>
      <c r="DE625" t="s">
        <v>290</v>
      </c>
      <c r="DF625" t="s">
        <v>290</v>
      </c>
      <c r="DG625" t="s">
        <v>290</v>
      </c>
      <c r="DH625" t="s">
        <v>3</v>
      </c>
      <c r="DI625" t="s">
        <v>290</v>
      </c>
      <c r="DJ625" t="s">
        <v>290</v>
      </c>
      <c r="DK625" t="s">
        <v>3</v>
      </c>
      <c r="DL625" t="s">
        <v>3</v>
      </c>
      <c r="DM625" t="s">
        <v>3</v>
      </c>
      <c r="DN625">
        <v>0</v>
      </c>
      <c r="DO625">
        <v>0</v>
      </c>
      <c r="DP625">
        <v>1</v>
      </c>
      <c r="DQ625">
        <v>1</v>
      </c>
      <c r="DU625">
        <v>16987630</v>
      </c>
      <c r="DV625" t="s">
        <v>112</v>
      </c>
      <c r="DW625" t="s">
        <v>112</v>
      </c>
      <c r="DX625">
        <v>100</v>
      </c>
      <c r="DZ625" t="s">
        <v>3</v>
      </c>
      <c r="EA625" t="s">
        <v>3</v>
      </c>
      <c r="EB625" t="s">
        <v>3</v>
      </c>
      <c r="EC625" t="s">
        <v>3</v>
      </c>
      <c r="EE625">
        <v>1441815344</v>
      </c>
      <c r="EF625">
        <v>1</v>
      </c>
      <c r="EG625" t="s">
        <v>23</v>
      </c>
      <c r="EH625">
        <v>0</v>
      </c>
      <c r="EI625" t="s">
        <v>3</v>
      </c>
      <c r="EJ625">
        <v>4</v>
      </c>
      <c r="EK625">
        <v>0</v>
      </c>
      <c r="EL625" t="s">
        <v>24</v>
      </c>
      <c r="EM625" t="s">
        <v>25</v>
      </c>
      <c r="EO625" t="s">
        <v>3</v>
      </c>
      <c r="EQ625">
        <v>1024</v>
      </c>
      <c r="ER625">
        <v>121.64</v>
      </c>
      <c r="ES625">
        <v>0</v>
      </c>
      <c r="ET625">
        <v>0</v>
      </c>
      <c r="EU625">
        <v>0</v>
      </c>
      <c r="EV625">
        <v>121.64</v>
      </c>
      <c r="EW625">
        <v>0.24</v>
      </c>
      <c r="EX625">
        <v>0</v>
      </c>
      <c r="EY625">
        <v>0</v>
      </c>
      <c r="FQ625">
        <v>0</v>
      </c>
      <c r="FR625">
        <f>ROUND(IF(BI625=3,GM625,0),2)</f>
        <v>0</v>
      </c>
      <c r="FS625">
        <v>0</v>
      </c>
      <c r="FX625">
        <v>70</v>
      </c>
      <c r="FY625">
        <v>10</v>
      </c>
      <c r="GA625" t="s">
        <v>3</v>
      </c>
      <c r="GD625">
        <v>0</v>
      </c>
      <c r="GF625">
        <v>1019270866</v>
      </c>
      <c r="GG625">
        <v>2</v>
      </c>
      <c r="GH625">
        <v>1</v>
      </c>
      <c r="GI625">
        <v>-2</v>
      </c>
      <c r="GJ625">
        <v>0</v>
      </c>
      <c r="GK625">
        <f>ROUND(R625*(R12)/100,2)</f>
        <v>0</v>
      </c>
      <c r="GL625">
        <f>ROUND(IF(AND(BH625=3,BI625=3,FS625&lt;&gt;0),P625,0),2)</f>
        <v>0</v>
      </c>
      <c r="GM625">
        <f>ROUND(O625+X625+Y625+GK625,2)+GX625</f>
        <v>9025.2000000000007</v>
      </c>
      <c r="GN625">
        <f>IF(OR(BI625=0,BI625=1),GM625-GX625,0)</f>
        <v>0</v>
      </c>
      <c r="GO625">
        <f>IF(BI625=2,GM625-GX625,0)</f>
        <v>0</v>
      </c>
      <c r="GP625">
        <f>IF(BI625=4,GM625-GX625,0)</f>
        <v>9025.2000000000007</v>
      </c>
      <c r="GR625">
        <v>0</v>
      </c>
      <c r="GS625">
        <v>3</v>
      </c>
      <c r="GT625">
        <v>0</v>
      </c>
      <c r="GU625" t="s">
        <v>3</v>
      </c>
      <c r="GV625">
        <f>ROUND((GT625),6)</f>
        <v>0</v>
      </c>
      <c r="GW625">
        <v>1</v>
      </c>
      <c r="GX625">
        <f>ROUND(HC625*I625,2)</f>
        <v>0</v>
      </c>
      <c r="HA625">
        <v>0</v>
      </c>
      <c r="HB625">
        <v>0</v>
      </c>
      <c r="HC625">
        <f>GV625*GW625</f>
        <v>0</v>
      </c>
      <c r="HE625" t="s">
        <v>3</v>
      </c>
      <c r="HF625" t="s">
        <v>3</v>
      </c>
      <c r="HM625" t="s">
        <v>3</v>
      </c>
      <c r="HN625" t="s">
        <v>3</v>
      </c>
      <c r="HO625" t="s">
        <v>3</v>
      </c>
      <c r="HP625" t="s">
        <v>3</v>
      </c>
      <c r="HQ625" t="s">
        <v>3</v>
      </c>
      <c r="IK625">
        <v>0</v>
      </c>
    </row>
    <row r="626" spans="1:245" x14ac:dyDescent="0.2">
      <c r="A626">
        <v>17</v>
      </c>
      <c r="B626">
        <v>1</v>
      </c>
      <c r="D626">
        <f>ROW(EtalonRes!A547)</f>
        <v>547</v>
      </c>
      <c r="E626" t="s">
        <v>469</v>
      </c>
      <c r="F626" t="s">
        <v>470</v>
      </c>
      <c r="G626" t="s">
        <v>471</v>
      </c>
      <c r="H626" t="s">
        <v>32</v>
      </c>
      <c r="I626">
        <f>ROUND(ROUND(24+24+24,9),9)</f>
        <v>72</v>
      </c>
      <c r="J626">
        <v>0</v>
      </c>
      <c r="K626">
        <f>ROUND(ROUND(24+24+24,9),9)</f>
        <v>72</v>
      </c>
      <c r="O626">
        <f>ROUND(CP626,2)</f>
        <v>48716.639999999999</v>
      </c>
      <c r="P626">
        <f>ROUND(CQ626*I626,2)</f>
        <v>175.68</v>
      </c>
      <c r="Q626">
        <f>ROUND(CR626*I626,2)</f>
        <v>0</v>
      </c>
      <c r="R626">
        <f>ROUND(CS626*I626,2)</f>
        <v>0</v>
      </c>
      <c r="S626">
        <f>ROUND(CT626*I626,2)</f>
        <v>48540.959999999999</v>
      </c>
      <c r="T626">
        <f>ROUND(CU626*I626,2)</f>
        <v>0</v>
      </c>
      <c r="U626">
        <f>CV626*I626</f>
        <v>68.399999999999991</v>
      </c>
      <c r="V626">
        <f>CW626*I626</f>
        <v>0</v>
      </c>
      <c r="W626">
        <f>ROUND(CX626*I626,2)</f>
        <v>0</v>
      </c>
      <c r="X626">
        <f t="shared" si="562"/>
        <v>33978.67</v>
      </c>
      <c r="Y626">
        <f t="shared" si="562"/>
        <v>4854.1000000000004</v>
      </c>
      <c r="AA626">
        <v>1472224561</v>
      </c>
      <c r="AB626">
        <f>ROUND((AC626+AD626+AF626),6)</f>
        <v>676.62</v>
      </c>
      <c r="AC626">
        <f>ROUND((ES626),6)</f>
        <v>2.44</v>
      </c>
      <c r="AD626">
        <f>ROUND((((ET626)-(EU626))+AE626),6)</f>
        <v>0</v>
      </c>
      <c r="AE626">
        <f>ROUND((EU626),6)</f>
        <v>0</v>
      </c>
      <c r="AF626">
        <f>ROUND((EV626),6)</f>
        <v>674.18</v>
      </c>
      <c r="AG626">
        <f>ROUND((AP626),6)</f>
        <v>0</v>
      </c>
      <c r="AH626">
        <f>(EW626)</f>
        <v>0.95</v>
      </c>
      <c r="AI626">
        <f>(EX626)</f>
        <v>0</v>
      </c>
      <c r="AJ626">
        <f>(AS626)</f>
        <v>0</v>
      </c>
      <c r="AK626">
        <v>676.62</v>
      </c>
      <c r="AL626">
        <v>2.44</v>
      </c>
      <c r="AM626">
        <v>0</v>
      </c>
      <c r="AN626">
        <v>0</v>
      </c>
      <c r="AO626">
        <v>674.18</v>
      </c>
      <c r="AP626">
        <v>0</v>
      </c>
      <c r="AQ626">
        <v>0.95</v>
      </c>
      <c r="AR626">
        <v>0</v>
      </c>
      <c r="AS626">
        <v>0</v>
      </c>
      <c r="AT626">
        <v>70</v>
      </c>
      <c r="AU626">
        <v>10</v>
      </c>
      <c r="AV626">
        <v>1</v>
      </c>
      <c r="AW626">
        <v>1</v>
      </c>
      <c r="AZ626">
        <v>1</v>
      </c>
      <c r="BA626">
        <v>1</v>
      </c>
      <c r="BB626">
        <v>1</v>
      </c>
      <c r="BC626">
        <v>1</v>
      </c>
      <c r="BD626" t="s">
        <v>3</v>
      </c>
      <c r="BE626" t="s">
        <v>3</v>
      </c>
      <c r="BF626" t="s">
        <v>3</v>
      </c>
      <c r="BG626" t="s">
        <v>3</v>
      </c>
      <c r="BH626">
        <v>0</v>
      </c>
      <c r="BI626">
        <v>4</v>
      </c>
      <c r="BJ626" t="s">
        <v>472</v>
      </c>
      <c r="BM626">
        <v>0</v>
      </c>
      <c r="BN626">
        <v>0</v>
      </c>
      <c r="BO626" t="s">
        <v>3</v>
      </c>
      <c r="BP626">
        <v>0</v>
      </c>
      <c r="BQ626">
        <v>1</v>
      </c>
      <c r="BR626">
        <v>0</v>
      </c>
      <c r="BS626">
        <v>1</v>
      </c>
      <c r="BT626">
        <v>1</v>
      </c>
      <c r="BU626">
        <v>1</v>
      </c>
      <c r="BV626">
        <v>1</v>
      </c>
      <c r="BW626">
        <v>1</v>
      </c>
      <c r="BX626">
        <v>1</v>
      </c>
      <c r="BY626" t="s">
        <v>3</v>
      </c>
      <c r="BZ626">
        <v>70</v>
      </c>
      <c r="CA626">
        <v>10</v>
      </c>
      <c r="CB626" t="s">
        <v>3</v>
      </c>
      <c r="CE626">
        <v>0</v>
      </c>
      <c r="CF626">
        <v>0</v>
      </c>
      <c r="CG626">
        <v>0</v>
      </c>
      <c r="CM626">
        <v>0</v>
      </c>
      <c r="CN626" t="s">
        <v>3</v>
      </c>
      <c r="CO626">
        <v>0</v>
      </c>
      <c r="CP626">
        <f>(P626+Q626+S626)</f>
        <v>48716.639999999999</v>
      </c>
      <c r="CQ626">
        <f>(AC626*BC626*AW626)</f>
        <v>2.44</v>
      </c>
      <c r="CR626">
        <f>((((ET626)*BB626-(EU626)*BS626)+AE626*BS626)*AV626)</f>
        <v>0</v>
      </c>
      <c r="CS626">
        <f>(AE626*BS626*AV626)</f>
        <v>0</v>
      </c>
      <c r="CT626">
        <f>(AF626*BA626*AV626)</f>
        <v>674.18</v>
      </c>
      <c r="CU626">
        <f>AG626</f>
        <v>0</v>
      </c>
      <c r="CV626">
        <f>(AH626*AV626)</f>
        <v>0.95</v>
      </c>
      <c r="CW626">
        <f t="shared" si="563"/>
        <v>0</v>
      </c>
      <c r="CX626">
        <f t="shared" si="563"/>
        <v>0</v>
      </c>
      <c r="CY626">
        <f>((S626*BZ626)/100)</f>
        <v>33978.671999999999</v>
      </c>
      <c r="CZ626">
        <f>((S626*CA626)/100)</f>
        <v>4854.0959999999995</v>
      </c>
      <c r="DC626" t="s">
        <v>3</v>
      </c>
      <c r="DD626" t="s">
        <v>3</v>
      </c>
      <c r="DE626" t="s">
        <v>3</v>
      </c>
      <c r="DF626" t="s">
        <v>3</v>
      </c>
      <c r="DG626" t="s">
        <v>3</v>
      </c>
      <c r="DH626" t="s">
        <v>3</v>
      </c>
      <c r="DI626" t="s">
        <v>3</v>
      </c>
      <c r="DJ626" t="s">
        <v>3</v>
      </c>
      <c r="DK626" t="s">
        <v>3</v>
      </c>
      <c r="DL626" t="s">
        <v>3</v>
      </c>
      <c r="DM626" t="s">
        <v>3</v>
      </c>
      <c r="DN626">
        <v>0</v>
      </c>
      <c r="DO626">
        <v>0</v>
      </c>
      <c r="DP626">
        <v>1</v>
      </c>
      <c r="DQ626">
        <v>1</v>
      </c>
      <c r="DU626">
        <v>16987630</v>
      </c>
      <c r="DV626" t="s">
        <v>32</v>
      </c>
      <c r="DW626" t="s">
        <v>32</v>
      </c>
      <c r="DX626">
        <v>1</v>
      </c>
      <c r="DZ626" t="s">
        <v>3</v>
      </c>
      <c r="EA626" t="s">
        <v>3</v>
      </c>
      <c r="EB626" t="s">
        <v>3</v>
      </c>
      <c r="EC626" t="s">
        <v>3</v>
      </c>
      <c r="EE626">
        <v>1441815344</v>
      </c>
      <c r="EF626">
        <v>1</v>
      </c>
      <c r="EG626" t="s">
        <v>23</v>
      </c>
      <c r="EH626">
        <v>0</v>
      </c>
      <c r="EI626" t="s">
        <v>3</v>
      </c>
      <c r="EJ626">
        <v>4</v>
      </c>
      <c r="EK626">
        <v>0</v>
      </c>
      <c r="EL626" t="s">
        <v>24</v>
      </c>
      <c r="EM626" t="s">
        <v>25</v>
      </c>
      <c r="EO626" t="s">
        <v>3</v>
      </c>
      <c r="EQ626">
        <v>0</v>
      </c>
      <c r="ER626">
        <v>676.62</v>
      </c>
      <c r="ES626">
        <v>2.44</v>
      </c>
      <c r="ET626">
        <v>0</v>
      </c>
      <c r="EU626">
        <v>0</v>
      </c>
      <c r="EV626">
        <v>674.18</v>
      </c>
      <c r="EW626">
        <v>0.95</v>
      </c>
      <c r="EX626">
        <v>0</v>
      </c>
      <c r="EY626">
        <v>0</v>
      </c>
      <c r="FQ626">
        <v>0</v>
      </c>
      <c r="FR626">
        <f>ROUND(IF(BI626=3,GM626,0),2)</f>
        <v>0</v>
      </c>
      <c r="FS626">
        <v>0</v>
      </c>
      <c r="FX626">
        <v>70</v>
      </c>
      <c r="FY626">
        <v>10</v>
      </c>
      <c r="GA626" t="s">
        <v>3</v>
      </c>
      <c r="GD626">
        <v>0</v>
      </c>
      <c r="GF626">
        <v>-664365948</v>
      </c>
      <c r="GG626">
        <v>2</v>
      </c>
      <c r="GH626">
        <v>1</v>
      </c>
      <c r="GI626">
        <v>-2</v>
      </c>
      <c r="GJ626">
        <v>0</v>
      </c>
      <c r="GK626">
        <f>ROUND(R626*(R12)/100,2)</f>
        <v>0</v>
      </c>
      <c r="GL626">
        <f>ROUND(IF(AND(BH626=3,BI626=3,FS626&lt;&gt;0),P626,0),2)</f>
        <v>0</v>
      </c>
      <c r="GM626">
        <f>ROUND(O626+X626+Y626+GK626,2)+GX626</f>
        <v>87549.41</v>
      </c>
      <c r="GN626">
        <f>IF(OR(BI626=0,BI626=1),GM626-GX626,0)</f>
        <v>0</v>
      </c>
      <c r="GO626">
        <f>IF(BI626=2,GM626-GX626,0)</f>
        <v>0</v>
      </c>
      <c r="GP626">
        <f>IF(BI626=4,GM626-GX626,0)</f>
        <v>87549.41</v>
      </c>
      <c r="GR626">
        <v>0</v>
      </c>
      <c r="GS626">
        <v>3</v>
      </c>
      <c r="GT626">
        <v>0</v>
      </c>
      <c r="GU626" t="s">
        <v>3</v>
      </c>
      <c r="GV626">
        <f>ROUND((GT626),6)</f>
        <v>0</v>
      </c>
      <c r="GW626">
        <v>1</v>
      </c>
      <c r="GX626">
        <f>ROUND(HC626*I626,2)</f>
        <v>0</v>
      </c>
      <c r="HA626">
        <v>0</v>
      </c>
      <c r="HB626">
        <v>0</v>
      </c>
      <c r="HC626">
        <f>GV626*GW626</f>
        <v>0</v>
      </c>
      <c r="HE626" t="s">
        <v>3</v>
      </c>
      <c r="HF626" t="s">
        <v>3</v>
      </c>
      <c r="HM626" t="s">
        <v>3</v>
      </c>
      <c r="HN626" t="s">
        <v>3</v>
      </c>
      <c r="HO626" t="s">
        <v>3</v>
      </c>
      <c r="HP626" t="s">
        <v>3</v>
      </c>
      <c r="HQ626" t="s">
        <v>3</v>
      </c>
      <c r="IK626">
        <v>0</v>
      </c>
    </row>
    <row r="627" spans="1:245" x14ac:dyDescent="0.2">
      <c r="A627">
        <v>19</v>
      </c>
      <c r="B627">
        <v>1</v>
      </c>
      <c r="F627" t="s">
        <v>3</v>
      </c>
      <c r="G627" t="s">
        <v>473</v>
      </c>
      <c r="H627" t="s">
        <v>3</v>
      </c>
      <c r="AA627">
        <v>1</v>
      </c>
      <c r="IK627">
        <v>0</v>
      </c>
    </row>
    <row r="628" spans="1:245" x14ac:dyDescent="0.2">
      <c r="A628">
        <v>17</v>
      </c>
      <c r="B628">
        <v>1</v>
      </c>
      <c r="D628">
        <f>ROW(EtalonRes!A549)</f>
        <v>549</v>
      </c>
      <c r="E628" t="s">
        <v>474</v>
      </c>
      <c r="F628" t="s">
        <v>475</v>
      </c>
      <c r="G628" t="s">
        <v>476</v>
      </c>
      <c r="H628" t="s">
        <v>20</v>
      </c>
      <c r="I628">
        <f>ROUND(ROUND((120+2740+1350+120+2740+1350+120+2740+1350+200+3240+1720)*0.2*0.1/100,9),9)</f>
        <v>3.5579999999999998</v>
      </c>
      <c r="J628">
        <v>0</v>
      </c>
      <c r="K628">
        <f>ROUND(ROUND((120+2740+1350+120+2740+1350+120+2740+1350+200+3240+1720)*0.2*0.1/100,9),9)</f>
        <v>3.5579999999999998</v>
      </c>
      <c r="O628">
        <f t="shared" ref="O628:O639" si="564">ROUND(CP628,2)</f>
        <v>19126.599999999999</v>
      </c>
      <c r="P628">
        <f t="shared" ref="P628:P639" si="565">ROUND(CQ628*I628,2)</f>
        <v>80.09</v>
      </c>
      <c r="Q628">
        <f t="shared" ref="Q628:Q639" si="566">ROUND(CR628*I628,2)</f>
        <v>0</v>
      </c>
      <c r="R628">
        <f t="shared" ref="R628:R639" si="567">ROUND(CS628*I628,2)</f>
        <v>0</v>
      </c>
      <c r="S628">
        <f t="shared" ref="S628:S639" si="568">ROUND(CT628*I628,2)</f>
        <v>19046.509999999998</v>
      </c>
      <c r="T628">
        <f t="shared" ref="T628:T639" si="569">ROUND(CU628*I628,2)</f>
        <v>0</v>
      </c>
      <c r="U628">
        <f t="shared" ref="U628:U639" si="570">CV628*I628</f>
        <v>35.58</v>
      </c>
      <c r="V628">
        <f t="shared" ref="V628:V639" si="571">CW628*I628</f>
        <v>0</v>
      </c>
      <c r="W628">
        <f t="shared" ref="W628:W639" si="572">ROUND(CX628*I628,2)</f>
        <v>0</v>
      </c>
      <c r="X628">
        <f t="shared" ref="X628:X639" si="573">ROUND(CY628,2)</f>
        <v>13332.56</v>
      </c>
      <c r="Y628">
        <f t="shared" ref="Y628:Y639" si="574">ROUND(CZ628,2)</f>
        <v>1904.65</v>
      </c>
      <c r="AA628">
        <v>1472224561</v>
      </c>
      <c r="AB628">
        <f t="shared" ref="AB628:AB639" si="575">ROUND((AC628+AD628+AF628),6)</f>
        <v>5375.66</v>
      </c>
      <c r="AC628">
        <f t="shared" ref="AC628:AC639" si="576">ROUND((ES628),6)</f>
        <v>22.51</v>
      </c>
      <c r="AD628">
        <f t="shared" ref="AD628:AD639" si="577">ROUND((((ET628)-(EU628))+AE628),6)</f>
        <v>0</v>
      </c>
      <c r="AE628">
        <f t="shared" ref="AE628:AE639" si="578">ROUND((EU628),6)</f>
        <v>0</v>
      </c>
      <c r="AF628">
        <f t="shared" ref="AF628:AF639" si="579">ROUND((EV628),6)</f>
        <v>5353.15</v>
      </c>
      <c r="AG628">
        <f t="shared" ref="AG628:AG639" si="580">ROUND((AP628),6)</f>
        <v>0</v>
      </c>
      <c r="AH628">
        <f t="shared" ref="AH628:AH639" si="581">(EW628)</f>
        <v>10</v>
      </c>
      <c r="AI628">
        <f t="shared" ref="AI628:AI639" si="582">(EX628)</f>
        <v>0</v>
      </c>
      <c r="AJ628">
        <f t="shared" ref="AJ628:AJ639" si="583">(AS628)</f>
        <v>0</v>
      </c>
      <c r="AK628">
        <v>5375.66</v>
      </c>
      <c r="AL628">
        <v>22.51</v>
      </c>
      <c r="AM628">
        <v>0</v>
      </c>
      <c r="AN628">
        <v>0</v>
      </c>
      <c r="AO628">
        <v>5353.15</v>
      </c>
      <c r="AP628">
        <v>0</v>
      </c>
      <c r="AQ628">
        <v>10</v>
      </c>
      <c r="AR628">
        <v>0</v>
      </c>
      <c r="AS628">
        <v>0</v>
      </c>
      <c r="AT628">
        <v>70</v>
      </c>
      <c r="AU628">
        <v>10</v>
      </c>
      <c r="AV628">
        <v>1</v>
      </c>
      <c r="AW628">
        <v>1</v>
      </c>
      <c r="AZ628">
        <v>1</v>
      </c>
      <c r="BA628">
        <v>1</v>
      </c>
      <c r="BB628">
        <v>1</v>
      </c>
      <c r="BC628">
        <v>1</v>
      </c>
      <c r="BD628" t="s">
        <v>3</v>
      </c>
      <c r="BE628" t="s">
        <v>3</v>
      </c>
      <c r="BF628" t="s">
        <v>3</v>
      </c>
      <c r="BG628" t="s">
        <v>3</v>
      </c>
      <c r="BH628">
        <v>0</v>
      </c>
      <c r="BI628">
        <v>4</v>
      </c>
      <c r="BJ628" t="s">
        <v>477</v>
      </c>
      <c r="BM628">
        <v>0</v>
      </c>
      <c r="BN628">
        <v>0</v>
      </c>
      <c r="BO628" t="s">
        <v>3</v>
      </c>
      <c r="BP628">
        <v>0</v>
      </c>
      <c r="BQ628">
        <v>1</v>
      </c>
      <c r="BR628">
        <v>0</v>
      </c>
      <c r="BS628">
        <v>1</v>
      </c>
      <c r="BT628">
        <v>1</v>
      </c>
      <c r="BU628">
        <v>1</v>
      </c>
      <c r="BV628">
        <v>1</v>
      </c>
      <c r="BW628">
        <v>1</v>
      </c>
      <c r="BX628">
        <v>1</v>
      </c>
      <c r="BY628" t="s">
        <v>3</v>
      </c>
      <c r="BZ628">
        <v>70</v>
      </c>
      <c r="CA628">
        <v>10</v>
      </c>
      <c r="CB628" t="s">
        <v>3</v>
      </c>
      <c r="CE628">
        <v>0</v>
      </c>
      <c r="CF628">
        <v>0</v>
      </c>
      <c r="CG628">
        <v>0</v>
      </c>
      <c r="CM628">
        <v>0</v>
      </c>
      <c r="CN628" t="s">
        <v>3</v>
      </c>
      <c r="CO628">
        <v>0</v>
      </c>
      <c r="CP628">
        <f t="shared" ref="CP628:CP639" si="584">(P628+Q628+S628)</f>
        <v>19126.599999999999</v>
      </c>
      <c r="CQ628">
        <f t="shared" ref="CQ628:CQ639" si="585">(AC628*BC628*AW628)</f>
        <v>22.51</v>
      </c>
      <c r="CR628">
        <f t="shared" ref="CR628:CR639" si="586">((((ET628)*BB628-(EU628)*BS628)+AE628*BS628)*AV628)</f>
        <v>0</v>
      </c>
      <c r="CS628">
        <f t="shared" ref="CS628:CS639" si="587">(AE628*BS628*AV628)</f>
        <v>0</v>
      </c>
      <c r="CT628">
        <f t="shared" ref="CT628:CT639" si="588">(AF628*BA628*AV628)</f>
        <v>5353.15</v>
      </c>
      <c r="CU628">
        <f t="shared" ref="CU628:CU639" si="589">AG628</f>
        <v>0</v>
      </c>
      <c r="CV628">
        <f t="shared" ref="CV628:CV639" si="590">(AH628*AV628)</f>
        <v>10</v>
      </c>
      <c r="CW628">
        <f t="shared" ref="CW628:CW639" si="591">AI628</f>
        <v>0</v>
      </c>
      <c r="CX628">
        <f t="shared" ref="CX628:CX639" si="592">AJ628</f>
        <v>0</v>
      </c>
      <c r="CY628">
        <f t="shared" ref="CY628:CY639" si="593">((S628*BZ628)/100)</f>
        <v>13332.556999999999</v>
      </c>
      <c r="CZ628">
        <f t="shared" ref="CZ628:CZ639" si="594">((S628*CA628)/100)</f>
        <v>1904.6509999999998</v>
      </c>
      <c r="DC628" t="s">
        <v>3</v>
      </c>
      <c r="DD628" t="s">
        <v>3</v>
      </c>
      <c r="DE628" t="s">
        <v>3</v>
      </c>
      <c r="DF628" t="s">
        <v>3</v>
      </c>
      <c r="DG628" t="s">
        <v>3</v>
      </c>
      <c r="DH628" t="s">
        <v>3</v>
      </c>
      <c r="DI628" t="s">
        <v>3</v>
      </c>
      <c r="DJ628" t="s">
        <v>3</v>
      </c>
      <c r="DK628" t="s">
        <v>3</v>
      </c>
      <c r="DL628" t="s">
        <v>3</v>
      </c>
      <c r="DM628" t="s">
        <v>3</v>
      </c>
      <c r="DN628">
        <v>0</v>
      </c>
      <c r="DO628">
        <v>0</v>
      </c>
      <c r="DP628">
        <v>1</v>
      </c>
      <c r="DQ628">
        <v>1</v>
      </c>
      <c r="DU628">
        <v>1003</v>
      </c>
      <c r="DV628" t="s">
        <v>20</v>
      </c>
      <c r="DW628" t="s">
        <v>20</v>
      </c>
      <c r="DX628">
        <v>100</v>
      </c>
      <c r="DZ628" t="s">
        <v>3</v>
      </c>
      <c r="EA628" t="s">
        <v>3</v>
      </c>
      <c r="EB628" t="s">
        <v>3</v>
      </c>
      <c r="EC628" t="s">
        <v>3</v>
      </c>
      <c r="EE628">
        <v>1441815344</v>
      </c>
      <c r="EF628">
        <v>1</v>
      </c>
      <c r="EG628" t="s">
        <v>23</v>
      </c>
      <c r="EH628">
        <v>0</v>
      </c>
      <c r="EI628" t="s">
        <v>3</v>
      </c>
      <c r="EJ628">
        <v>4</v>
      </c>
      <c r="EK628">
        <v>0</v>
      </c>
      <c r="EL628" t="s">
        <v>24</v>
      </c>
      <c r="EM628" t="s">
        <v>25</v>
      </c>
      <c r="EO628" t="s">
        <v>3</v>
      </c>
      <c r="EQ628">
        <v>0</v>
      </c>
      <c r="ER628">
        <v>5375.66</v>
      </c>
      <c r="ES628">
        <v>22.51</v>
      </c>
      <c r="ET628">
        <v>0</v>
      </c>
      <c r="EU628">
        <v>0</v>
      </c>
      <c r="EV628">
        <v>5353.15</v>
      </c>
      <c r="EW628">
        <v>10</v>
      </c>
      <c r="EX628">
        <v>0</v>
      </c>
      <c r="EY628">
        <v>0</v>
      </c>
      <c r="FQ628">
        <v>0</v>
      </c>
      <c r="FR628">
        <f t="shared" ref="FR628:FR639" si="595">ROUND(IF(BI628=3,GM628,0),2)</f>
        <v>0</v>
      </c>
      <c r="FS628">
        <v>0</v>
      </c>
      <c r="FX628">
        <v>70</v>
      </c>
      <c r="FY628">
        <v>10</v>
      </c>
      <c r="GA628" t="s">
        <v>3</v>
      </c>
      <c r="GD628">
        <v>0</v>
      </c>
      <c r="GF628">
        <v>409781007</v>
      </c>
      <c r="GG628">
        <v>2</v>
      </c>
      <c r="GH628">
        <v>1</v>
      </c>
      <c r="GI628">
        <v>-2</v>
      </c>
      <c r="GJ628">
        <v>0</v>
      </c>
      <c r="GK628">
        <f>ROUND(R628*(R12)/100,2)</f>
        <v>0</v>
      </c>
      <c r="GL628">
        <f t="shared" ref="GL628:GL639" si="596">ROUND(IF(AND(BH628=3,BI628=3,FS628&lt;&gt;0),P628,0),2)</f>
        <v>0</v>
      </c>
      <c r="GM628">
        <f t="shared" ref="GM628:GM639" si="597">ROUND(O628+X628+Y628+GK628,2)+GX628</f>
        <v>34363.81</v>
      </c>
      <c r="GN628">
        <f t="shared" ref="GN628:GN639" si="598">IF(OR(BI628=0,BI628=1),GM628-GX628,0)</f>
        <v>0</v>
      </c>
      <c r="GO628">
        <f t="shared" ref="GO628:GO639" si="599">IF(BI628=2,GM628-GX628,0)</f>
        <v>0</v>
      </c>
      <c r="GP628">
        <f t="shared" ref="GP628:GP639" si="600">IF(BI628=4,GM628-GX628,0)</f>
        <v>34363.81</v>
      </c>
      <c r="GR628">
        <v>0</v>
      </c>
      <c r="GS628">
        <v>3</v>
      </c>
      <c r="GT628">
        <v>0</v>
      </c>
      <c r="GU628" t="s">
        <v>3</v>
      </c>
      <c r="GV628">
        <f t="shared" ref="GV628:GV639" si="601">ROUND((GT628),6)</f>
        <v>0</v>
      </c>
      <c r="GW628">
        <v>1</v>
      </c>
      <c r="GX628">
        <f t="shared" ref="GX628:GX639" si="602">ROUND(HC628*I628,2)</f>
        <v>0</v>
      </c>
      <c r="HA628">
        <v>0</v>
      </c>
      <c r="HB628">
        <v>0</v>
      </c>
      <c r="HC628">
        <f t="shared" ref="HC628:HC639" si="603">GV628*GW628</f>
        <v>0</v>
      </c>
      <c r="HE628" t="s">
        <v>3</v>
      </c>
      <c r="HF628" t="s">
        <v>3</v>
      </c>
      <c r="HM628" t="s">
        <v>3</v>
      </c>
      <c r="HN628" t="s">
        <v>3</v>
      </c>
      <c r="HO628" t="s">
        <v>3</v>
      </c>
      <c r="HP628" t="s">
        <v>3</v>
      </c>
      <c r="HQ628" t="s">
        <v>3</v>
      </c>
      <c r="IK628">
        <v>0</v>
      </c>
    </row>
    <row r="629" spans="1:245" x14ac:dyDescent="0.2">
      <c r="A629">
        <v>17</v>
      </c>
      <c r="B629">
        <v>1</v>
      </c>
      <c r="D629">
        <f>ROW(EtalonRes!A550)</f>
        <v>550</v>
      </c>
      <c r="E629" t="s">
        <v>3</v>
      </c>
      <c r="F629" t="s">
        <v>478</v>
      </c>
      <c r="G629" t="s">
        <v>479</v>
      </c>
      <c r="H629" t="s">
        <v>20</v>
      </c>
      <c r="I629">
        <f>ROUND(ROUND((120+2740+1350+120+2740+1350+120+2740+1350+200+3240+1720)*0.1/100,9),9)</f>
        <v>17.79</v>
      </c>
      <c r="J629">
        <v>0</v>
      </c>
      <c r="K629">
        <f>ROUND(ROUND((120+2740+1350+120+2740+1350+120+2740+1350+200+3240+1720)*0.1/100,9),9)</f>
        <v>17.79</v>
      </c>
      <c r="O629">
        <f t="shared" si="564"/>
        <v>3142.78</v>
      </c>
      <c r="P629">
        <f t="shared" si="565"/>
        <v>0</v>
      </c>
      <c r="Q629">
        <f t="shared" si="566"/>
        <v>0</v>
      </c>
      <c r="R629">
        <f t="shared" si="567"/>
        <v>0</v>
      </c>
      <c r="S629">
        <f t="shared" si="568"/>
        <v>3142.78</v>
      </c>
      <c r="T629">
        <f t="shared" si="569"/>
        <v>0</v>
      </c>
      <c r="U629">
        <f t="shared" si="570"/>
        <v>5.8707000000000003</v>
      </c>
      <c r="V629">
        <f t="shared" si="571"/>
        <v>0</v>
      </c>
      <c r="W629">
        <f t="shared" si="572"/>
        <v>0</v>
      </c>
      <c r="X629">
        <f t="shared" si="573"/>
        <v>2199.9499999999998</v>
      </c>
      <c r="Y629">
        <f t="shared" si="574"/>
        <v>314.27999999999997</v>
      </c>
      <c r="AA629">
        <v>-1</v>
      </c>
      <c r="AB629">
        <f t="shared" si="575"/>
        <v>176.66</v>
      </c>
      <c r="AC629">
        <f t="shared" si="576"/>
        <v>0</v>
      </c>
      <c r="AD629">
        <f t="shared" si="577"/>
        <v>0</v>
      </c>
      <c r="AE629">
        <f t="shared" si="578"/>
        <v>0</v>
      </c>
      <c r="AF629">
        <f t="shared" si="579"/>
        <v>176.66</v>
      </c>
      <c r="AG629">
        <f t="shared" si="580"/>
        <v>0</v>
      </c>
      <c r="AH629">
        <f t="shared" si="581"/>
        <v>0.33</v>
      </c>
      <c r="AI629">
        <f t="shared" si="582"/>
        <v>0</v>
      </c>
      <c r="AJ629">
        <f t="shared" si="583"/>
        <v>0</v>
      </c>
      <c r="AK629">
        <v>176.66</v>
      </c>
      <c r="AL629">
        <v>0</v>
      </c>
      <c r="AM629">
        <v>0</v>
      </c>
      <c r="AN629">
        <v>0</v>
      </c>
      <c r="AO629">
        <v>176.66</v>
      </c>
      <c r="AP629">
        <v>0</v>
      </c>
      <c r="AQ629">
        <v>0.33</v>
      </c>
      <c r="AR629">
        <v>0</v>
      </c>
      <c r="AS629">
        <v>0</v>
      </c>
      <c r="AT629">
        <v>70</v>
      </c>
      <c r="AU629">
        <v>10</v>
      </c>
      <c r="AV629">
        <v>1</v>
      </c>
      <c r="AW629">
        <v>1</v>
      </c>
      <c r="AZ629">
        <v>1</v>
      </c>
      <c r="BA629">
        <v>1</v>
      </c>
      <c r="BB629">
        <v>1</v>
      </c>
      <c r="BC629">
        <v>1</v>
      </c>
      <c r="BD629" t="s">
        <v>3</v>
      </c>
      <c r="BE629" t="s">
        <v>3</v>
      </c>
      <c r="BF629" t="s">
        <v>3</v>
      </c>
      <c r="BG629" t="s">
        <v>3</v>
      </c>
      <c r="BH629">
        <v>0</v>
      </c>
      <c r="BI629">
        <v>4</v>
      </c>
      <c r="BJ629" t="s">
        <v>480</v>
      </c>
      <c r="BM629">
        <v>0</v>
      </c>
      <c r="BN629">
        <v>0</v>
      </c>
      <c r="BO629" t="s">
        <v>3</v>
      </c>
      <c r="BP629">
        <v>0</v>
      </c>
      <c r="BQ629">
        <v>1</v>
      </c>
      <c r="BR629">
        <v>0</v>
      </c>
      <c r="BS629">
        <v>1</v>
      </c>
      <c r="BT629">
        <v>1</v>
      </c>
      <c r="BU629">
        <v>1</v>
      </c>
      <c r="BV629">
        <v>1</v>
      </c>
      <c r="BW629">
        <v>1</v>
      </c>
      <c r="BX629">
        <v>1</v>
      </c>
      <c r="BY629" t="s">
        <v>3</v>
      </c>
      <c r="BZ629">
        <v>70</v>
      </c>
      <c r="CA629">
        <v>10</v>
      </c>
      <c r="CB629" t="s">
        <v>3</v>
      </c>
      <c r="CE629">
        <v>0</v>
      </c>
      <c r="CF629">
        <v>0</v>
      </c>
      <c r="CG629">
        <v>0</v>
      </c>
      <c r="CM629">
        <v>0</v>
      </c>
      <c r="CN629" t="s">
        <v>3</v>
      </c>
      <c r="CO629">
        <v>0</v>
      </c>
      <c r="CP629">
        <f t="shared" si="584"/>
        <v>3142.78</v>
      </c>
      <c r="CQ629">
        <f t="shared" si="585"/>
        <v>0</v>
      </c>
      <c r="CR629">
        <f t="shared" si="586"/>
        <v>0</v>
      </c>
      <c r="CS629">
        <f t="shared" si="587"/>
        <v>0</v>
      </c>
      <c r="CT629">
        <f t="shared" si="588"/>
        <v>176.66</v>
      </c>
      <c r="CU629">
        <f t="shared" si="589"/>
        <v>0</v>
      </c>
      <c r="CV629">
        <f t="shared" si="590"/>
        <v>0.33</v>
      </c>
      <c r="CW629">
        <f t="shared" si="591"/>
        <v>0</v>
      </c>
      <c r="CX629">
        <f t="shared" si="592"/>
        <v>0</v>
      </c>
      <c r="CY629">
        <f t="shared" si="593"/>
        <v>2199.9459999999999</v>
      </c>
      <c r="CZ629">
        <f t="shared" si="594"/>
        <v>314.27800000000002</v>
      </c>
      <c r="DC629" t="s">
        <v>3</v>
      </c>
      <c r="DD629" t="s">
        <v>3</v>
      </c>
      <c r="DE629" t="s">
        <v>3</v>
      </c>
      <c r="DF629" t="s">
        <v>3</v>
      </c>
      <c r="DG629" t="s">
        <v>3</v>
      </c>
      <c r="DH629" t="s">
        <v>3</v>
      </c>
      <c r="DI629" t="s">
        <v>3</v>
      </c>
      <c r="DJ629" t="s">
        <v>3</v>
      </c>
      <c r="DK629" t="s">
        <v>3</v>
      </c>
      <c r="DL629" t="s">
        <v>3</v>
      </c>
      <c r="DM629" t="s">
        <v>3</v>
      </c>
      <c r="DN629">
        <v>0</v>
      </c>
      <c r="DO629">
        <v>0</v>
      </c>
      <c r="DP629">
        <v>1</v>
      </c>
      <c r="DQ629">
        <v>1</v>
      </c>
      <c r="DU629">
        <v>1003</v>
      </c>
      <c r="DV629" t="s">
        <v>20</v>
      </c>
      <c r="DW629" t="s">
        <v>20</v>
      </c>
      <c r="DX629">
        <v>100</v>
      </c>
      <c r="DZ629" t="s">
        <v>3</v>
      </c>
      <c r="EA629" t="s">
        <v>3</v>
      </c>
      <c r="EB629" t="s">
        <v>3</v>
      </c>
      <c r="EC629" t="s">
        <v>3</v>
      </c>
      <c r="EE629">
        <v>1441815344</v>
      </c>
      <c r="EF629">
        <v>1</v>
      </c>
      <c r="EG629" t="s">
        <v>23</v>
      </c>
      <c r="EH629">
        <v>0</v>
      </c>
      <c r="EI629" t="s">
        <v>3</v>
      </c>
      <c r="EJ629">
        <v>4</v>
      </c>
      <c r="EK629">
        <v>0</v>
      </c>
      <c r="EL629" t="s">
        <v>24</v>
      </c>
      <c r="EM629" t="s">
        <v>25</v>
      </c>
      <c r="EO629" t="s">
        <v>3</v>
      </c>
      <c r="EQ629">
        <v>1024</v>
      </c>
      <c r="ER629">
        <v>176.66</v>
      </c>
      <c r="ES629">
        <v>0</v>
      </c>
      <c r="ET629">
        <v>0</v>
      </c>
      <c r="EU629">
        <v>0</v>
      </c>
      <c r="EV629">
        <v>176.66</v>
      </c>
      <c r="EW629">
        <v>0.33</v>
      </c>
      <c r="EX629">
        <v>0</v>
      </c>
      <c r="EY629">
        <v>0</v>
      </c>
      <c r="FQ629">
        <v>0</v>
      </c>
      <c r="FR629">
        <f t="shared" si="595"/>
        <v>0</v>
      </c>
      <c r="FS629">
        <v>0</v>
      </c>
      <c r="FX629">
        <v>70</v>
      </c>
      <c r="FY629">
        <v>10</v>
      </c>
      <c r="GA629" t="s">
        <v>3</v>
      </c>
      <c r="GD629">
        <v>0</v>
      </c>
      <c r="GF629">
        <v>-89122687</v>
      </c>
      <c r="GG629">
        <v>2</v>
      </c>
      <c r="GH629">
        <v>1</v>
      </c>
      <c r="GI629">
        <v>-2</v>
      </c>
      <c r="GJ629">
        <v>0</v>
      </c>
      <c r="GK629">
        <f>ROUND(R629*(R12)/100,2)</f>
        <v>0</v>
      </c>
      <c r="GL629">
        <f t="shared" si="596"/>
        <v>0</v>
      </c>
      <c r="GM629">
        <f t="shared" si="597"/>
        <v>5657.01</v>
      </c>
      <c r="GN629">
        <f t="shared" si="598"/>
        <v>0</v>
      </c>
      <c r="GO629">
        <f t="shared" si="599"/>
        <v>0</v>
      </c>
      <c r="GP629">
        <f t="shared" si="600"/>
        <v>5657.01</v>
      </c>
      <c r="GR629">
        <v>0</v>
      </c>
      <c r="GS629">
        <v>3</v>
      </c>
      <c r="GT629">
        <v>0</v>
      </c>
      <c r="GU629" t="s">
        <v>3</v>
      </c>
      <c r="GV629">
        <f t="shared" si="601"/>
        <v>0</v>
      </c>
      <c r="GW629">
        <v>1</v>
      </c>
      <c r="GX629">
        <f t="shared" si="602"/>
        <v>0</v>
      </c>
      <c r="HA629">
        <v>0</v>
      </c>
      <c r="HB629">
        <v>0</v>
      </c>
      <c r="HC629">
        <f t="shared" si="603"/>
        <v>0</v>
      </c>
      <c r="HE629" t="s">
        <v>3</v>
      </c>
      <c r="HF629" t="s">
        <v>3</v>
      </c>
      <c r="HM629" t="s">
        <v>3</v>
      </c>
      <c r="HN629" t="s">
        <v>3</v>
      </c>
      <c r="HO629" t="s">
        <v>3</v>
      </c>
      <c r="HP629" t="s">
        <v>3</v>
      </c>
      <c r="HQ629" t="s">
        <v>3</v>
      </c>
      <c r="IK629">
        <v>0</v>
      </c>
    </row>
    <row r="630" spans="1:245" x14ac:dyDescent="0.2">
      <c r="A630">
        <v>17</v>
      </c>
      <c r="B630">
        <v>1</v>
      </c>
      <c r="D630">
        <f>ROW(EtalonRes!A552)</f>
        <v>552</v>
      </c>
      <c r="E630" t="s">
        <v>481</v>
      </c>
      <c r="F630" t="s">
        <v>482</v>
      </c>
      <c r="G630" t="s">
        <v>483</v>
      </c>
      <c r="H630" t="s">
        <v>20</v>
      </c>
      <c r="I630">
        <f>ROUND(ROUND(((1588+1748+2056+2216)+(20+20+20+40+20))*0.2*0.1/100,9),9)</f>
        <v>1.5456000000000001</v>
      </c>
      <c r="J630">
        <v>0</v>
      </c>
      <c r="K630">
        <f>ROUND(ROUND(((1588+1748+2056+2216)+(20+20+20+40+20))*0.2*0.1/100,9),9)</f>
        <v>1.5456000000000001</v>
      </c>
      <c r="O630">
        <f t="shared" si="564"/>
        <v>12092.81</v>
      </c>
      <c r="P630">
        <f t="shared" si="565"/>
        <v>29.57</v>
      </c>
      <c r="Q630">
        <f t="shared" si="566"/>
        <v>0</v>
      </c>
      <c r="R630">
        <f t="shared" si="567"/>
        <v>0</v>
      </c>
      <c r="S630">
        <f t="shared" si="568"/>
        <v>12063.24</v>
      </c>
      <c r="T630">
        <f t="shared" si="569"/>
        <v>0</v>
      </c>
      <c r="U630">
        <f t="shared" si="570"/>
        <v>22.534848</v>
      </c>
      <c r="V630">
        <f t="shared" si="571"/>
        <v>0</v>
      </c>
      <c r="W630">
        <f t="shared" si="572"/>
        <v>0</v>
      </c>
      <c r="X630">
        <f t="shared" si="573"/>
        <v>8444.27</v>
      </c>
      <c r="Y630">
        <f t="shared" si="574"/>
        <v>1206.32</v>
      </c>
      <c r="AA630">
        <v>1472224561</v>
      </c>
      <c r="AB630">
        <f t="shared" si="575"/>
        <v>7824.02</v>
      </c>
      <c r="AC630">
        <f t="shared" si="576"/>
        <v>19.13</v>
      </c>
      <c r="AD630">
        <f t="shared" si="577"/>
        <v>0</v>
      </c>
      <c r="AE630">
        <f t="shared" si="578"/>
        <v>0</v>
      </c>
      <c r="AF630">
        <f t="shared" si="579"/>
        <v>7804.89</v>
      </c>
      <c r="AG630">
        <f t="shared" si="580"/>
        <v>0</v>
      </c>
      <c r="AH630">
        <f t="shared" si="581"/>
        <v>14.58</v>
      </c>
      <c r="AI630">
        <f t="shared" si="582"/>
        <v>0</v>
      </c>
      <c r="AJ630">
        <f t="shared" si="583"/>
        <v>0</v>
      </c>
      <c r="AK630">
        <v>7824.02</v>
      </c>
      <c r="AL630">
        <v>19.13</v>
      </c>
      <c r="AM630">
        <v>0</v>
      </c>
      <c r="AN630">
        <v>0</v>
      </c>
      <c r="AO630">
        <v>7804.89</v>
      </c>
      <c r="AP630">
        <v>0</v>
      </c>
      <c r="AQ630">
        <v>14.58</v>
      </c>
      <c r="AR630">
        <v>0</v>
      </c>
      <c r="AS630">
        <v>0</v>
      </c>
      <c r="AT630">
        <v>70</v>
      </c>
      <c r="AU630">
        <v>10</v>
      </c>
      <c r="AV630">
        <v>1</v>
      </c>
      <c r="AW630">
        <v>1</v>
      </c>
      <c r="AZ630">
        <v>1</v>
      </c>
      <c r="BA630">
        <v>1</v>
      </c>
      <c r="BB630">
        <v>1</v>
      </c>
      <c r="BC630">
        <v>1</v>
      </c>
      <c r="BD630" t="s">
        <v>3</v>
      </c>
      <c r="BE630" t="s">
        <v>3</v>
      </c>
      <c r="BF630" t="s">
        <v>3</v>
      </c>
      <c r="BG630" t="s">
        <v>3</v>
      </c>
      <c r="BH630">
        <v>0</v>
      </c>
      <c r="BI630">
        <v>4</v>
      </c>
      <c r="BJ630" t="s">
        <v>484</v>
      </c>
      <c r="BM630">
        <v>0</v>
      </c>
      <c r="BN630">
        <v>0</v>
      </c>
      <c r="BO630" t="s">
        <v>3</v>
      </c>
      <c r="BP630">
        <v>0</v>
      </c>
      <c r="BQ630">
        <v>1</v>
      </c>
      <c r="BR630">
        <v>0</v>
      </c>
      <c r="BS630">
        <v>1</v>
      </c>
      <c r="BT630">
        <v>1</v>
      </c>
      <c r="BU630">
        <v>1</v>
      </c>
      <c r="BV630">
        <v>1</v>
      </c>
      <c r="BW630">
        <v>1</v>
      </c>
      <c r="BX630">
        <v>1</v>
      </c>
      <c r="BY630" t="s">
        <v>3</v>
      </c>
      <c r="BZ630">
        <v>70</v>
      </c>
      <c r="CA630">
        <v>10</v>
      </c>
      <c r="CB630" t="s">
        <v>3</v>
      </c>
      <c r="CE630">
        <v>0</v>
      </c>
      <c r="CF630">
        <v>0</v>
      </c>
      <c r="CG630">
        <v>0</v>
      </c>
      <c r="CM630">
        <v>0</v>
      </c>
      <c r="CN630" t="s">
        <v>3</v>
      </c>
      <c r="CO630">
        <v>0</v>
      </c>
      <c r="CP630">
        <f t="shared" si="584"/>
        <v>12092.81</v>
      </c>
      <c r="CQ630">
        <f t="shared" si="585"/>
        <v>19.13</v>
      </c>
      <c r="CR630">
        <f t="shared" si="586"/>
        <v>0</v>
      </c>
      <c r="CS630">
        <f t="shared" si="587"/>
        <v>0</v>
      </c>
      <c r="CT630">
        <f t="shared" si="588"/>
        <v>7804.89</v>
      </c>
      <c r="CU630">
        <f t="shared" si="589"/>
        <v>0</v>
      </c>
      <c r="CV630">
        <f t="shared" si="590"/>
        <v>14.58</v>
      </c>
      <c r="CW630">
        <f t="shared" si="591"/>
        <v>0</v>
      </c>
      <c r="CX630">
        <f t="shared" si="592"/>
        <v>0</v>
      </c>
      <c r="CY630">
        <f t="shared" si="593"/>
        <v>8444.268</v>
      </c>
      <c r="CZ630">
        <f t="shared" si="594"/>
        <v>1206.3239999999998</v>
      </c>
      <c r="DC630" t="s">
        <v>3</v>
      </c>
      <c r="DD630" t="s">
        <v>3</v>
      </c>
      <c r="DE630" t="s">
        <v>3</v>
      </c>
      <c r="DF630" t="s">
        <v>3</v>
      </c>
      <c r="DG630" t="s">
        <v>3</v>
      </c>
      <c r="DH630" t="s">
        <v>3</v>
      </c>
      <c r="DI630" t="s">
        <v>3</v>
      </c>
      <c r="DJ630" t="s">
        <v>3</v>
      </c>
      <c r="DK630" t="s">
        <v>3</v>
      </c>
      <c r="DL630" t="s">
        <v>3</v>
      </c>
      <c r="DM630" t="s">
        <v>3</v>
      </c>
      <c r="DN630">
        <v>0</v>
      </c>
      <c r="DO630">
        <v>0</v>
      </c>
      <c r="DP630">
        <v>1</v>
      </c>
      <c r="DQ630">
        <v>1</v>
      </c>
      <c r="DU630">
        <v>1003</v>
      </c>
      <c r="DV630" t="s">
        <v>20</v>
      </c>
      <c r="DW630" t="s">
        <v>20</v>
      </c>
      <c r="DX630">
        <v>100</v>
      </c>
      <c r="DZ630" t="s">
        <v>3</v>
      </c>
      <c r="EA630" t="s">
        <v>3</v>
      </c>
      <c r="EB630" t="s">
        <v>3</v>
      </c>
      <c r="EC630" t="s">
        <v>3</v>
      </c>
      <c r="EE630">
        <v>1441815344</v>
      </c>
      <c r="EF630">
        <v>1</v>
      </c>
      <c r="EG630" t="s">
        <v>23</v>
      </c>
      <c r="EH630">
        <v>0</v>
      </c>
      <c r="EI630" t="s">
        <v>3</v>
      </c>
      <c r="EJ630">
        <v>4</v>
      </c>
      <c r="EK630">
        <v>0</v>
      </c>
      <c r="EL630" t="s">
        <v>24</v>
      </c>
      <c r="EM630" t="s">
        <v>25</v>
      </c>
      <c r="EO630" t="s">
        <v>3</v>
      </c>
      <c r="EQ630">
        <v>0</v>
      </c>
      <c r="ER630">
        <v>7824.02</v>
      </c>
      <c r="ES630">
        <v>19.13</v>
      </c>
      <c r="ET630">
        <v>0</v>
      </c>
      <c r="EU630">
        <v>0</v>
      </c>
      <c r="EV630">
        <v>7804.89</v>
      </c>
      <c r="EW630">
        <v>14.58</v>
      </c>
      <c r="EX630">
        <v>0</v>
      </c>
      <c r="EY630">
        <v>0</v>
      </c>
      <c r="FQ630">
        <v>0</v>
      </c>
      <c r="FR630">
        <f t="shared" si="595"/>
        <v>0</v>
      </c>
      <c r="FS630">
        <v>0</v>
      </c>
      <c r="FX630">
        <v>70</v>
      </c>
      <c r="FY630">
        <v>10</v>
      </c>
      <c r="GA630" t="s">
        <v>3</v>
      </c>
      <c r="GD630">
        <v>0</v>
      </c>
      <c r="GF630">
        <v>-1044741500</v>
      </c>
      <c r="GG630">
        <v>2</v>
      </c>
      <c r="GH630">
        <v>1</v>
      </c>
      <c r="GI630">
        <v>-2</v>
      </c>
      <c r="GJ630">
        <v>0</v>
      </c>
      <c r="GK630">
        <f>ROUND(R630*(R12)/100,2)</f>
        <v>0</v>
      </c>
      <c r="GL630">
        <f t="shared" si="596"/>
        <v>0</v>
      </c>
      <c r="GM630">
        <f t="shared" si="597"/>
        <v>21743.4</v>
      </c>
      <c r="GN630">
        <f t="shared" si="598"/>
        <v>0</v>
      </c>
      <c r="GO630">
        <f t="shared" si="599"/>
        <v>0</v>
      </c>
      <c r="GP630">
        <f t="shared" si="600"/>
        <v>21743.4</v>
      </c>
      <c r="GR630">
        <v>0</v>
      </c>
      <c r="GS630">
        <v>3</v>
      </c>
      <c r="GT630">
        <v>0</v>
      </c>
      <c r="GU630" t="s">
        <v>3</v>
      </c>
      <c r="GV630">
        <f t="shared" si="601"/>
        <v>0</v>
      </c>
      <c r="GW630">
        <v>1</v>
      </c>
      <c r="GX630">
        <f t="shared" si="602"/>
        <v>0</v>
      </c>
      <c r="HA630">
        <v>0</v>
      </c>
      <c r="HB630">
        <v>0</v>
      </c>
      <c r="HC630">
        <f t="shared" si="603"/>
        <v>0</v>
      </c>
      <c r="HE630" t="s">
        <v>3</v>
      </c>
      <c r="HF630" t="s">
        <v>3</v>
      </c>
      <c r="HM630" t="s">
        <v>3</v>
      </c>
      <c r="HN630" t="s">
        <v>3</v>
      </c>
      <c r="HO630" t="s">
        <v>3</v>
      </c>
      <c r="HP630" t="s">
        <v>3</v>
      </c>
      <c r="HQ630" t="s">
        <v>3</v>
      </c>
      <c r="IK630">
        <v>0</v>
      </c>
    </row>
    <row r="631" spans="1:245" x14ac:dyDescent="0.2">
      <c r="A631">
        <v>17</v>
      </c>
      <c r="B631">
        <v>1</v>
      </c>
      <c r="D631">
        <f>ROW(EtalonRes!A554)</f>
        <v>554</v>
      </c>
      <c r="E631" t="s">
        <v>485</v>
      </c>
      <c r="F631" t="s">
        <v>486</v>
      </c>
      <c r="G631" t="s">
        <v>487</v>
      </c>
      <c r="H631" t="s">
        <v>20</v>
      </c>
      <c r="I631">
        <f>ROUND(ROUND((1588+1748+2056+2216)*0.2*0.1/100,9),9)</f>
        <v>1.5216000000000001</v>
      </c>
      <c r="J631">
        <v>0</v>
      </c>
      <c r="K631">
        <f>ROUND(ROUND((1588+1748+2056+2216)*0.2*0.1/100,9),9)</f>
        <v>1.5216000000000001</v>
      </c>
      <c r="O631">
        <f t="shared" si="564"/>
        <v>2645.37</v>
      </c>
      <c r="P631">
        <f t="shared" si="565"/>
        <v>6.28</v>
      </c>
      <c r="Q631">
        <f t="shared" si="566"/>
        <v>0</v>
      </c>
      <c r="R631">
        <f t="shared" si="567"/>
        <v>0</v>
      </c>
      <c r="S631">
        <f t="shared" si="568"/>
        <v>2639.09</v>
      </c>
      <c r="T631">
        <f t="shared" si="569"/>
        <v>0</v>
      </c>
      <c r="U631">
        <f t="shared" si="570"/>
        <v>4.9299840000000001</v>
      </c>
      <c r="V631">
        <f t="shared" si="571"/>
        <v>0</v>
      </c>
      <c r="W631">
        <f t="shared" si="572"/>
        <v>0</v>
      </c>
      <c r="X631">
        <f t="shared" si="573"/>
        <v>1847.36</v>
      </c>
      <c r="Y631">
        <f t="shared" si="574"/>
        <v>263.91000000000003</v>
      </c>
      <c r="AA631">
        <v>1472224561</v>
      </c>
      <c r="AB631">
        <f t="shared" si="575"/>
        <v>1738.55</v>
      </c>
      <c r="AC631">
        <f t="shared" si="576"/>
        <v>4.13</v>
      </c>
      <c r="AD631">
        <f t="shared" si="577"/>
        <v>0</v>
      </c>
      <c r="AE631">
        <f t="shared" si="578"/>
        <v>0</v>
      </c>
      <c r="AF631">
        <f t="shared" si="579"/>
        <v>1734.42</v>
      </c>
      <c r="AG631">
        <f t="shared" si="580"/>
        <v>0</v>
      </c>
      <c r="AH631">
        <f t="shared" si="581"/>
        <v>3.24</v>
      </c>
      <c r="AI631">
        <f t="shared" si="582"/>
        <v>0</v>
      </c>
      <c r="AJ631">
        <f t="shared" si="583"/>
        <v>0</v>
      </c>
      <c r="AK631">
        <v>1738.55</v>
      </c>
      <c r="AL631">
        <v>4.13</v>
      </c>
      <c r="AM631">
        <v>0</v>
      </c>
      <c r="AN631">
        <v>0</v>
      </c>
      <c r="AO631">
        <v>1734.42</v>
      </c>
      <c r="AP631">
        <v>0</v>
      </c>
      <c r="AQ631">
        <v>3.24</v>
      </c>
      <c r="AR631">
        <v>0</v>
      </c>
      <c r="AS631">
        <v>0</v>
      </c>
      <c r="AT631">
        <v>70</v>
      </c>
      <c r="AU631">
        <v>10</v>
      </c>
      <c r="AV631">
        <v>1</v>
      </c>
      <c r="AW631">
        <v>1</v>
      </c>
      <c r="AZ631">
        <v>1</v>
      </c>
      <c r="BA631">
        <v>1</v>
      </c>
      <c r="BB631">
        <v>1</v>
      </c>
      <c r="BC631">
        <v>1</v>
      </c>
      <c r="BD631" t="s">
        <v>3</v>
      </c>
      <c r="BE631" t="s">
        <v>3</v>
      </c>
      <c r="BF631" t="s">
        <v>3</v>
      </c>
      <c r="BG631" t="s">
        <v>3</v>
      </c>
      <c r="BH631">
        <v>0</v>
      </c>
      <c r="BI631">
        <v>4</v>
      </c>
      <c r="BJ631" t="s">
        <v>488</v>
      </c>
      <c r="BM631">
        <v>0</v>
      </c>
      <c r="BN631">
        <v>0</v>
      </c>
      <c r="BO631" t="s">
        <v>3</v>
      </c>
      <c r="BP631">
        <v>0</v>
      </c>
      <c r="BQ631">
        <v>1</v>
      </c>
      <c r="BR631">
        <v>0</v>
      </c>
      <c r="BS631">
        <v>1</v>
      </c>
      <c r="BT631">
        <v>1</v>
      </c>
      <c r="BU631">
        <v>1</v>
      </c>
      <c r="BV631">
        <v>1</v>
      </c>
      <c r="BW631">
        <v>1</v>
      </c>
      <c r="BX631">
        <v>1</v>
      </c>
      <c r="BY631" t="s">
        <v>3</v>
      </c>
      <c r="BZ631">
        <v>70</v>
      </c>
      <c r="CA631">
        <v>10</v>
      </c>
      <c r="CB631" t="s">
        <v>3</v>
      </c>
      <c r="CE631">
        <v>0</v>
      </c>
      <c r="CF631">
        <v>0</v>
      </c>
      <c r="CG631">
        <v>0</v>
      </c>
      <c r="CM631">
        <v>0</v>
      </c>
      <c r="CN631" t="s">
        <v>3</v>
      </c>
      <c r="CO631">
        <v>0</v>
      </c>
      <c r="CP631">
        <f t="shared" si="584"/>
        <v>2645.3700000000003</v>
      </c>
      <c r="CQ631">
        <f t="shared" si="585"/>
        <v>4.13</v>
      </c>
      <c r="CR631">
        <f t="shared" si="586"/>
        <v>0</v>
      </c>
      <c r="CS631">
        <f t="shared" si="587"/>
        <v>0</v>
      </c>
      <c r="CT631">
        <f t="shared" si="588"/>
        <v>1734.42</v>
      </c>
      <c r="CU631">
        <f t="shared" si="589"/>
        <v>0</v>
      </c>
      <c r="CV631">
        <f t="shared" si="590"/>
        <v>3.24</v>
      </c>
      <c r="CW631">
        <f t="shared" si="591"/>
        <v>0</v>
      </c>
      <c r="CX631">
        <f t="shared" si="592"/>
        <v>0</v>
      </c>
      <c r="CY631">
        <f t="shared" si="593"/>
        <v>1847.3630000000003</v>
      </c>
      <c r="CZ631">
        <f t="shared" si="594"/>
        <v>263.90899999999999</v>
      </c>
      <c r="DC631" t="s">
        <v>3</v>
      </c>
      <c r="DD631" t="s">
        <v>3</v>
      </c>
      <c r="DE631" t="s">
        <v>3</v>
      </c>
      <c r="DF631" t="s">
        <v>3</v>
      </c>
      <c r="DG631" t="s">
        <v>3</v>
      </c>
      <c r="DH631" t="s">
        <v>3</v>
      </c>
      <c r="DI631" t="s">
        <v>3</v>
      </c>
      <c r="DJ631" t="s">
        <v>3</v>
      </c>
      <c r="DK631" t="s">
        <v>3</v>
      </c>
      <c r="DL631" t="s">
        <v>3</v>
      </c>
      <c r="DM631" t="s">
        <v>3</v>
      </c>
      <c r="DN631">
        <v>0</v>
      </c>
      <c r="DO631">
        <v>0</v>
      </c>
      <c r="DP631">
        <v>1</v>
      </c>
      <c r="DQ631">
        <v>1</v>
      </c>
      <c r="DU631">
        <v>1003</v>
      </c>
      <c r="DV631" t="s">
        <v>20</v>
      </c>
      <c r="DW631" t="s">
        <v>20</v>
      </c>
      <c r="DX631">
        <v>100</v>
      </c>
      <c r="DZ631" t="s">
        <v>3</v>
      </c>
      <c r="EA631" t="s">
        <v>3</v>
      </c>
      <c r="EB631" t="s">
        <v>3</v>
      </c>
      <c r="EC631" t="s">
        <v>3</v>
      </c>
      <c r="EE631">
        <v>1441815344</v>
      </c>
      <c r="EF631">
        <v>1</v>
      </c>
      <c r="EG631" t="s">
        <v>23</v>
      </c>
      <c r="EH631">
        <v>0</v>
      </c>
      <c r="EI631" t="s">
        <v>3</v>
      </c>
      <c r="EJ631">
        <v>4</v>
      </c>
      <c r="EK631">
        <v>0</v>
      </c>
      <c r="EL631" t="s">
        <v>24</v>
      </c>
      <c r="EM631" t="s">
        <v>25</v>
      </c>
      <c r="EO631" t="s">
        <v>3</v>
      </c>
      <c r="EQ631">
        <v>0</v>
      </c>
      <c r="ER631">
        <v>1738.55</v>
      </c>
      <c r="ES631">
        <v>4.13</v>
      </c>
      <c r="ET631">
        <v>0</v>
      </c>
      <c r="EU631">
        <v>0</v>
      </c>
      <c r="EV631">
        <v>1734.42</v>
      </c>
      <c r="EW631">
        <v>3.24</v>
      </c>
      <c r="EX631">
        <v>0</v>
      </c>
      <c r="EY631">
        <v>0</v>
      </c>
      <c r="FQ631">
        <v>0</v>
      </c>
      <c r="FR631">
        <f t="shared" si="595"/>
        <v>0</v>
      </c>
      <c r="FS631">
        <v>0</v>
      </c>
      <c r="FX631">
        <v>70</v>
      </c>
      <c r="FY631">
        <v>10</v>
      </c>
      <c r="GA631" t="s">
        <v>3</v>
      </c>
      <c r="GD631">
        <v>0</v>
      </c>
      <c r="GF631">
        <v>465275396</v>
      </c>
      <c r="GG631">
        <v>2</v>
      </c>
      <c r="GH631">
        <v>1</v>
      </c>
      <c r="GI631">
        <v>-2</v>
      </c>
      <c r="GJ631">
        <v>0</v>
      </c>
      <c r="GK631">
        <f>ROUND(R631*(R12)/100,2)</f>
        <v>0</v>
      </c>
      <c r="GL631">
        <f t="shared" si="596"/>
        <v>0</v>
      </c>
      <c r="GM631">
        <f t="shared" si="597"/>
        <v>4756.6400000000003</v>
      </c>
      <c r="GN631">
        <f t="shared" si="598"/>
        <v>0</v>
      </c>
      <c r="GO631">
        <f t="shared" si="599"/>
        <v>0</v>
      </c>
      <c r="GP631">
        <f t="shared" si="600"/>
        <v>4756.6400000000003</v>
      </c>
      <c r="GR631">
        <v>0</v>
      </c>
      <c r="GS631">
        <v>3</v>
      </c>
      <c r="GT631">
        <v>0</v>
      </c>
      <c r="GU631" t="s">
        <v>3</v>
      </c>
      <c r="GV631">
        <f t="shared" si="601"/>
        <v>0</v>
      </c>
      <c r="GW631">
        <v>1</v>
      </c>
      <c r="GX631">
        <f t="shared" si="602"/>
        <v>0</v>
      </c>
      <c r="HA631">
        <v>0</v>
      </c>
      <c r="HB631">
        <v>0</v>
      </c>
      <c r="HC631">
        <f t="shared" si="603"/>
        <v>0</v>
      </c>
      <c r="HE631" t="s">
        <v>3</v>
      </c>
      <c r="HF631" t="s">
        <v>3</v>
      </c>
      <c r="HM631" t="s">
        <v>3</v>
      </c>
      <c r="HN631" t="s">
        <v>3</v>
      </c>
      <c r="HO631" t="s">
        <v>3</v>
      </c>
      <c r="HP631" t="s">
        <v>3</v>
      </c>
      <c r="HQ631" t="s">
        <v>3</v>
      </c>
      <c r="IK631">
        <v>0</v>
      </c>
    </row>
    <row r="632" spans="1:245" x14ac:dyDescent="0.2">
      <c r="A632">
        <v>17</v>
      </c>
      <c r="B632">
        <v>1</v>
      </c>
      <c r="D632">
        <f>ROW(EtalonRes!A556)</f>
        <v>556</v>
      </c>
      <c r="E632" t="s">
        <v>489</v>
      </c>
      <c r="F632" t="s">
        <v>486</v>
      </c>
      <c r="G632" t="s">
        <v>490</v>
      </c>
      <c r="H632" t="s">
        <v>20</v>
      </c>
      <c r="I632">
        <f>ROUND(ROUND((20+20+20+40+20)*0.2*0.1/100,9),9)</f>
        <v>2.4E-2</v>
      </c>
      <c r="J632">
        <v>0</v>
      </c>
      <c r="K632">
        <f>ROUND(ROUND((20+20+20+40+20)*0.2*0.1/100,9),9)</f>
        <v>2.4E-2</v>
      </c>
      <c r="O632">
        <f t="shared" si="564"/>
        <v>41.73</v>
      </c>
      <c r="P632">
        <f t="shared" si="565"/>
        <v>0.1</v>
      </c>
      <c r="Q632">
        <f t="shared" si="566"/>
        <v>0</v>
      </c>
      <c r="R632">
        <f t="shared" si="567"/>
        <v>0</v>
      </c>
      <c r="S632">
        <f t="shared" si="568"/>
        <v>41.63</v>
      </c>
      <c r="T632">
        <f t="shared" si="569"/>
        <v>0</v>
      </c>
      <c r="U632">
        <f t="shared" si="570"/>
        <v>7.776000000000001E-2</v>
      </c>
      <c r="V632">
        <f t="shared" si="571"/>
        <v>0</v>
      </c>
      <c r="W632">
        <f t="shared" si="572"/>
        <v>0</v>
      </c>
      <c r="X632">
        <f t="shared" si="573"/>
        <v>29.14</v>
      </c>
      <c r="Y632">
        <f t="shared" si="574"/>
        <v>4.16</v>
      </c>
      <c r="AA632">
        <v>1472224561</v>
      </c>
      <c r="AB632">
        <f t="shared" si="575"/>
        <v>1738.55</v>
      </c>
      <c r="AC632">
        <f t="shared" si="576"/>
        <v>4.13</v>
      </c>
      <c r="AD632">
        <f t="shared" si="577"/>
        <v>0</v>
      </c>
      <c r="AE632">
        <f t="shared" si="578"/>
        <v>0</v>
      </c>
      <c r="AF632">
        <f t="shared" si="579"/>
        <v>1734.42</v>
      </c>
      <c r="AG632">
        <f t="shared" si="580"/>
        <v>0</v>
      </c>
      <c r="AH632">
        <f t="shared" si="581"/>
        <v>3.24</v>
      </c>
      <c r="AI632">
        <f t="shared" si="582"/>
        <v>0</v>
      </c>
      <c r="AJ632">
        <f t="shared" si="583"/>
        <v>0</v>
      </c>
      <c r="AK632">
        <v>1738.55</v>
      </c>
      <c r="AL632">
        <v>4.13</v>
      </c>
      <c r="AM632">
        <v>0</v>
      </c>
      <c r="AN632">
        <v>0</v>
      </c>
      <c r="AO632">
        <v>1734.42</v>
      </c>
      <c r="AP632">
        <v>0</v>
      </c>
      <c r="AQ632">
        <v>3.24</v>
      </c>
      <c r="AR632">
        <v>0</v>
      </c>
      <c r="AS632">
        <v>0</v>
      </c>
      <c r="AT632">
        <v>70</v>
      </c>
      <c r="AU632">
        <v>10</v>
      </c>
      <c r="AV632">
        <v>1</v>
      </c>
      <c r="AW632">
        <v>1</v>
      </c>
      <c r="AZ632">
        <v>1</v>
      </c>
      <c r="BA632">
        <v>1</v>
      </c>
      <c r="BB632">
        <v>1</v>
      </c>
      <c r="BC632">
        <v>1</v>
      </c>
      <c r="BD632" t="s">
        <v>3</v>
      </c>
      <c r="BE632" t="s">
        <v>3</v>
      </c>
      <c r="BF632" t="s">
        <v>3</v>
      </c>
      <c r="BG632" t="s">
        <v>3</v>
      </c>
      <c r="BH632">
        <v>0</v>
      </c>
      <c r="BI632">
        <v>4</v>
      </c>
      <c r="BJ632" t="s">
        <v>488</v>
      </c>
      <c r="BM632">
        <v>0</v>
      </c>
      <c r="BN632">
        <v>0</v>
      </c>
      <c r="BO632" t="s">
        <v>3</v>
      </c>
      <c r="BP632">
        <v>0</v>
      </c>
      <c r="BQ632">
        <v>1</v>
      </c>
      <c r="BR632">
        <v>0</v>
      </c>
      <c r="BS632">
        <v>1</v>
      </c>
      <c r="BT632">
        <v>1</v>
      </c>
      <c r="BU632">
        <v>1</v>
      </c>
      <c r="BV632">
        <v>1</v>
      </c>
      <c r="BW632">
        <v>1</v>
      </c>
      <c r="BX632">
        <v>1</v>
      </c>
      <c r="BY632" t="s">
        <v>3</v>
      </c>
      <c r="BZ632">
        <v>70</v>
      </c>
      <c r="CA632">
        <v>10</v>
      </c>
      <c r="CB632" t="s">
        <v>3</v>
      </c>
      <c r="CE632">
        <v>0</v>
      </c>
      <c r="CF632">
        <v>0</v>
      </c>
      <c r="CG632">
        <v>0</v>
      </c>
      <c r="CM632">
        <v>0</v>
      </c>
      <c r="CN632" t="s">
        <v>3</v>
      </c>
      <c r="CO632">
        <v>0</v>
      </c>
      <c r="CP632">
        <f t="shared" si="584"/>
        <v>41.730000000000004</v>
      </c>
      <c r="CQ632">
        <f t="shared" si="585"/>
        <v>4.13</v>
      </c>
      <c r="CR632">
        <f t="shared" si="586"/>
        <v>0</v>
      </c>
      <c r="CS632">
        <f t="shared" si="587"/>
        <v>0</v>
      </c>
      <c r="CT632">
        <f t="shared" si="588"/>
        <v>1734.42</v>
      </c>
      <c r="CU632">
        <f t="shared" si="589"/>
        <v>0</v>
      </c>
      <c r="CV632">
        <f t="shared" si="590"/>
        <v>3.24</v>
      </c>
      <c r="CW632">
        <f t="shared" si="591"/>
        <v>0</v>
      </c>
      <c r="CX632">
        <f t="shared" si="592"/>
        <v>0</v>
      </c>
      <c r="CY632">
        <f t="shared" si="593"/>
        <v>29.141000000000005</v>
      </c>
      <c r="CZ632">
        <f t="shared" si="594"/>
        <v>4.1630000000000003</v>
      </c>
      <c r="DC632" t="s">
        <v>3</v>
      </c>
      <c r="DD632" t="s">
        <v>3</v>
      </c>
      <c r="DE632" t="s">
        <v>3</v>
      </c>
      <c r="DF632" t="s">
        <v>3</v>
      </c>
      <c r="DG632" t="s">
        <v>3</v>
      </c>
      <c r="DH632" t="s">
        <v>3</v>
      </c>
      <c r="DI632" t="s">
        <v>3</v>
      </c>
      <c r="DJ632" t="s">
        <v>3</v>
      </c>
      <c r="DK632" t="s">
        <v>3</v>
      </c>
      <c r="DL632" t="s">
        <v>3</v>
      </c>
      <c r="DM632" t="s">
        <v>3</v>
      </c>
      <c r="DN632">
        <v>0</v>
      </c>
      <c r="DO632">
        <v>0</v>
      </c>
      <c r="DP632">
        <v>1</v>
      </c>
      <c r="DQ632">
        <v>1</v>
      </c>
      <c r="DU632">
        <v>1003</v>
      </c>
      <c r="DV632" t="s">
        <v>20</v>
      </c>
      <c r="DW632" t="s">
        <v>20</v>
      </c>
      <c r="DX632">
        <v>100</v>
      </c>
      <c r="DZ632" t="s">
        <v>3</v>
      </c>
      <c r="EA632" t="s">
        <v>3</v>
      </c>
      <c r="EB632" t="s">
        <v>3</v>
      </c>
      <c r="EC632" t="s">
        <v>3</v>
      </c>
      <c r="EE632">
        <v>1441815344</v>
      </c>
      <c r="EF632">
        <v>1</v>
      </c>
      <c r="EG632" t="s">
        <v>23</v>
      </c>
      <c r="EH632">
        <v>0</v>
      </c>
      <c r="EI632" t="s">
        <v>3</v>
      </c>
      <c r="EJ632">
        <v>4</v>
      </c>
      <c r="EK632">
        <v>0</v>
      </c>
      <c r="EL632" t="s">
        <v>24</v>
      </c>
      <c r="EM632" t="s">
        <v>25</v>
      </c>
      <c r="EO632" t="s">
        <v>3</v>
      </c>
      <c r="EQ632">
        <v>0</v>
      </c>
      <c r="ER632">
        <v>1738.55</v>
      </c>
      <c r="ES632">
        <v>4.13</v>
      </c>
      <c r="ET632">
        <v>0</v>
      </c>
      <c r="EU632">
        <v>0</v>
      </c>
      <c r="EV632">
        <v>1734.42</v>
      </c>
      <c r="EW632">
        <v>3.24</v>
      </c>
      <c r="EX632">
        <v>0</v>
      </c>
      <c r="EY632">
        <v>0</v>
      </c>
      <c r="FQ632">
        <v>0</v>
      </c>
      <c r="FR632">
        <f t="shared" si="595"/>
        <v>0</v>
      </c>
      <c r="FS632">
        <v>0</v>
      </c>
      <c r="FX632">
        <v>70</v>
      </c>
      <c r="FY632">
        <v>10</v>
      </c>
      <c r="GA632" t="s">
        <v>3</v>
      </c>
      <c r="GD632">
        <v>0</v>
      </c>
      <c r="GF632">
        <v>-1798664512</v>
      </c>
      <c r="GG632">
        <v>2</v>
      </c>
      <c r="GH632">
        <v>1</v>
      </c>
      <c r="GI632">
        <v>-2</v>
      </c>
      <c r="GJ632">
        <v>0</v>
      </c>
      <c r="GK632">
        <f>ROUND(R632*(R12)/100,2)</f>
        <v>0</v>
      </c>
      <c r="GL632">
        <f t="shared" si="596"/>
        <v>0</v>
      </c>
      <c r="GM632">
        <f t="shared" si="597"/>
        <v>75.03</v>
      </c>
      <c r="GN632">
        <f t="shared" si="598"/>
        <v>0</v>
      </c>
      <c r="GO632">
        <f t="shared" si="599"/>
        <v>0</v>
      </c>
      <c r="GP632">
        <f t="shared" si="600"/>
        <v>75.03</v>
      </c>
      <c r="GR632">
        <v>0</v>
      </c>
      <c r="GS632">
        <v>3</v>
      </c>
      <c r="GT632">
        <v>0</v>
      </c>
      <c r="GU632" t="s">
        <v>3</v>
      </c>
      <c r="GV632">
        <f t="shared" si="601"/>
        <v>0</v>
      </c>
      <c r="GW632">
        <v>1</v>
      </c>
      <c r="GX632">
        <f t="shared" si="602"/>
        <v>0</v>
      </c>
      <c r="HA632">
        <v>0</v>
      </c>
      <c r="HB632">
        <v>0</v>
      </c>
      <c r="HC632">
        <f t="shared" si="603"/>
        <v>0</v>
      </c>
      <c r="HE632" t="s">
        <v>3</v>
      </c>
      <c r="HF632" t="s">
        <v>3</v>
      </c>
      <c r="HM632" t="s">
        <v>3</v>
      </c>
      <c r="HN632" t="s">
        <v>3</v>
      </c>
      <c r="HO632" t="s">
        <v>3</v>
      </c>
      <c r="HP632" t="s">
        <v>3</v>
      </c>
      <c r="HQ632" t="s">
        <v>3</v>
      </c>
      <c r="IK632">
        <v>0</v>
      </c>
    </row>
    <row r="633" spans="1:245" x14ac:dyDescent="0.2">
      <c r="A633">
        <v>17</v>
      </c>
      <c r="B633">
        <v>1</v>
      </c>
      <c r="D633">
        <f>ROW(EtalonRes!A558)</f>
        <v>558</v>
      </c>
      <c r="E633" t="s">
        <v>3</v>
      </c>
      <c r="F633" t="s">
        <v>491</v>
      </c>
      <c r="G633" t="s">
        <v>492</v>
      </c>
      <c r="H633" t="s">
        <v>20</v>
      </c>
      <c r="I633">
        <f>ROUND(ROUND(((1588+1748+2056+2216)+(20+20+20+40+20))*0.1/100,9),9)</f>
        <v>7.7279999999999998</v>
      </c>
      <c r="J633">
        <v>0</v>
      </c>
      <c r="K633">
        <f>ROUND(ROUND(((1588+1748+2056+2216)+(20+20+20+40+20))*0.1/100,9),9)</f>
        <v>7.7279999999999998</v>
      </c>
      <c r="O633">
        <f t="shared" si="564"/>
        <v>2032.93</v>
      </c>
      <c r="P633">
        <f t="shared" si="565"/>
        <v>5.8</v>
      </c>
      <c r="Q633">
        <f t="shared" si="566"/>
        <v>0</v>
      </c>
      <c r="R633">
        <f t="shared" si="567"/>
        <v>0</v>
      </c>
      <c r="S633">
        <f t="shared" si="568"/>
        <v>2027.13</v>
      </c>
      <c r="T633">
        <f t="shared" si="569"/>
        <v>0</v>
      </c>
      <c r="U633">
        <f t="shared" si="570"/>
        <v>3.7867199999999999</v>
      </c>
      <c r="V633">
        <f t="shared" si="571"/>
        <v>0</v>
      </c>
      <c r="W633">
        <f t="shared" si="572"/>
        <v>0</v>
      </c>
      <c r="X633">
        <f t="shared" si="573"/>
        <v>1418.99</v>
      </c>
      <c r="Y633">
        <f t="shared" si="574"/>
        <v>202.71</v>
      </c>
      <c r="AA633">
        <v>-1</v>
      </c>
      <c r="AB633">
        <f t="shared" si="575"/>
        <v>263.06</v>
      </c>
      <c r="AC633">
        <f t="shared" si="576"/>
        <v>0.75</v>
      </c>
      <c r="AD633">
        <f t="shared" si="577"/>
        <v>0</v>
      </c>
      <c r="AE633">
        <f t="shared" si="578"/>
        <v>0</v>
      </c>
      <c r="AF633">
        <f t="shared" si="579"/>
        <v>262.31</v>
      </c>
      <c r="AG633">
        <f t="shared" si="580"/>
        <v>0</v>
      </c>
      <c r="AH633">
        <f t="shared" si="581"/>
        <v>0.49</v>
      </c>
      <c r="AI633">
        <f t="shared" si="582"/>
        <v>0</v>
      </c>
      <c r="AJ633">
        <f t="shared" si="583"/>
        <v>0</v>
      </c>
      <c r="AK633">
        <v>263.06</v>
      </c>
      <c r="AL633">
        <v>0.75</v>
      </c>
      <c r="AM633">
        <v>0</v>
      </c>
      <c r="AN633">
        <v>0</v>
      </c>
      <c r="AO633">
        <v>262.31</v>
      </c>
      <c r="AP633">
        <v>0</v>
      </c>
      <c r="AQ633">
        <v>0.49</v>
      </c>
      <c r="AR633">
        <v>0</v>
      </c>
      <c r="AS633">
        <v>0</v>
      </c>
      <c r="AT633">
        <v>70</v>
      </c>
      <c r="AU633">
        <v>10</v>
      </c>
      <c r="AV633">
        <v>1</v>
      </c>
      <c r="AW633">
        <v>1</v>
      </c>
      <c r="AZ633">
        <v>1</v>
      </c>
      <c r="BA633">
        <v>1</v>
      </c>
      <c r="BB633">
        <v>1</v>
      </c>
      <c r="BC633">
        <v>1</v>
      </c>
      <c r="BD633" t="s">
        <v>3</v>
      </c>
      <c r="BE633" t="s">
        <v>3</v>
      </c>
      <c r="BF633" t="s">
        <v>3</v>
      </c>
      <c r="BG633" t="s">
        <v>3</v>
      </c>
      <c r="BH633">
        <v>0</v>
      </c>
      <c r="BI633">
        <v>4</v>
      </c>
      <c r="BJ633" t="s">
        <v>493</v>
      </c>
      <c r="BM633">
        <v>0</v>
      </c>
      <c r="BN633">
        <v>0</v>
      </c>
      <c r="BO633" t="s">
        <v>3</v>
      </c>
      <c r="BP633">
        <v>0</v>
      </c>
      <c r="BQ633">
        <v>1</v>
      </c>
      <c r="BR633">
        <v>0</v>
      </c>
      <c r="BS633">
        <v>1</v>
      </c>
      <c r="BT633">
        <v>1</v>
      </c>
      <c r="BU633">
        <v>1</v>
      </c>
      <c r="BV633">
        <v>1</v>
      </c>
      <c r="BW633">
        <v>1</v>
      </c>
      <c r="BX633">
        <v>1</v>
      </c>
      <c r="BY633" t="s">
        <v>3</v>
      </c>
      <c r="BZ633">
        <v>70</v>
      </c>
      <c r="CA633">
        <v>10</v>
      </c>
      <c r="CB633" t="s">
        <v>3</v>
      </c>
      <c r="CE633">
        <v>0</v>
      </c>
      <c r="CF633">
        <v>0</v>
      </c>
      <c r="CG633">
        <v>0</v>
      </c>
      <c r="CM633">
        <v>0</v>
      </c>
      <c r="CN633" t="s">
        <v>3</v>
      </c>
      <c r="CO633">
        <v>0</v>
      </c>
      <c r="CP633">
        <f t="shared" si="584"/>
        <v>2032.93</v>
      </c>
      <c r="CQ633">
        <f t="shared" si="585"/>
        <v>0.75</v>
      </c>
      <c r="CR633">
        <f t="shared" si="586"/>
        <v>0</v>
      </c>
      <c r="CS633">
        <f t="shared" si="587"/>
        <v>0</v>
      </c>
      <c r="CT633">
        <f t="shared" si="588"/>
        <v>262.31</v>
      </c>
      <c r="CU633">
        <f t="shared" si="589"/>
        <v>0</v>
      </c>
      <c r="CV633">
        <f t="shared" si="590"/>
        <v>0.49</v>
      </c>
      <c r="CW633">
        <f t="shared" si="591"/>
        <v>0</v>
      </c>
      <c r="CX633">
        <f t="shared" si="592"/>
        <v>0</v>
      </c>
      <c r="CY633">
        <f t="shared" si="593"/>
        <v>1418.991</v>
      </c>
      <c r="CZ633">
        <f t="shared" si="594"/>
        <v>202.71300000000002</v>
      </c>
      <c r="DC633" t="s">
        <v>3</v>
      </c>
      <c r="DD633" t="s">
        <v>3</v>
      </c>
      <c r="DE633" t="s">
        <v>3</v>
      </c>
      <c r="DF633" t="s">
        <v>3</v>
      </c>
      <c r="DG633" t="s">
        <v>3</v>
      </c>
      <c r="DH633" t="s">
        <v>3</v>
      </c>
      <c r="DI633" t="s">
        <v>3</v>
      </c>
      <c r="DJ633" t="s">
        <v>3</v>
      </c>
      <c r="DK633" t="s">
        <v>3</v>
      </c>
      <c r="DL633" t="s">
        <v>3</v>
      </c>
      <c r="DM633" t="s">
        <v>3</v>
      </c>
      <c r="DN633">
        <v>0</v>
      </c>
      <c r="DO633">
        <v>0</v>
      </c>
      <c r="DP633">
        <v>1</v>
      </c>
      <c r="DQ633">
        <v>1</v>
      </c>
      <c r="DU633">
        <v>1003</v>
      </c>
      <c r="DV633" t="s">
        <v>20</v>
      </c>
      <c r="DW633" t="s">
        <v>20</v>
      </c>
      <c r="DX633">
        <v>100</v>
      </c>
      <c r="DZ633" t="s">
        <v>3</v>
      </c>
      <c r="EA633" t="s">
        <v>3</v>
      </c>
      <c r="EB633" t="s">
        <v>3</v>
      </c>
      <c r="EC633" t="s">
        <v>3</v>
      </c>
      <c r="EE633">
        <v>1441815344</v>
      </c>
      <c r="EF633">
        <v>1</v>
      </c>
      <c r="EG633" t="s">
        <v>23</v>
      </c>
      <c r="EH633">
        <v>0</v>
      </c>
      <c r="EI633" t="s">
        <v>3</v>
      </c>
      <c r="EJ633">
        <v>4</v>
      </c>
      <c r="EK633">
        <v>0</v>
      </c>
      <c r="EL633" t="s">
        <v>24</v>
      </c>
      <c r="EM633" t="s">
        <v>25</v>
      </c>
      <c r="EO633" t="s">
        <v>3</v>
      </c>
      <c r="EQ633">
        <v>1024</v>
      </c>
      <c r="ER633">
        <v>263.06</v>
      </c>
      <c r="ES633">
        <v>0.75</v>
      </c>
      <c r="ET633">
        <v>0</v>
      </c>
      <c r="EU633">
        <v>0</v>
      </c>
      <c r="EV633">
        <v>262.31</v>
      </c>
      <c r="EW633">
        <v>0.49</v>
      </c>
      <c r="EX633">
        <v>0</v>
      </c>
      <c r="EY633">
        <v>0</v>
      </c>
      <c r="FQ633">
        <v>0</v>
      </c>
      <c r="FR633">
        <f t="shared" si="595"/>
        <v>0</v>
      </c>
      <c r="FS633">
        <v>0</v>
      </c>
      <c r="FX633">
        <v>70</v>
      </c>
      <c r="FY633">
        <v>10</v>
      </c>
      <c r="GA633" t="s">
        <v>3</v>
      </c>
      <c r="GD633">
        <v>0</v>
      </c>
      <c r="GF633">
        <v>79871074</v>
      </c>
      <c r="GG633">
        <v>2</v>
      </c>
      <c r="GH633">
        <v>1</v>
      </c>
      <c r="GI633">
        <v>-2</v>
      </c>
      <c r="GJ633">
        <v>0</v>
      </c>
      <c r="GK633">
        <f>ROUND(R633*(R12)/100,2)</f>
        <v>0</v>
      </c>
      <c r="GL633">
        <f t="shared" si="596"/>
        <v>0</v>
      </c>
      <c r="GM633">
        <f t="shared" si="597"/>
        <v>3654.63</v>
      </c>
      <c r="GN633">
        <f t="shared" si="598"/>
        <v>0</v>
      </c>
      <c r="GO633">
        <f t="shared" si="599"/>
        <v>0</v>
      </c>
      <c r="GP633">
        <f t="shared" si="600"/>
        <v>3654.63</v>
      </c>
      <c r="GR633">
        <v>0</v>
      </c>
      <c r="GS633">
        <v>3</v>
      </c>
      <c r="GT633">
        <v>0</v>
      </c>
      <c r="GU633" t="s">
        <v>3</v>
      </c>
      <c r="GV633">
        <f t="shared" si="601"/>
        <v>0</v>
      </c>
      <c r="GW633">
        <v>1</v>
      </c>
      <c r="GX633">
        <f t="shared" si="602"/>
        <v>0</v>
      </c>
      <c r="HA633">
        <v>0</v>
      </c>
      <c r="HB633">
        <v>0</v>
      </c>
      <c r="HC633">
        <f t="shared" si="603"/>
        <v>0</v>
      </c>
      <c r="HE633" t="s">
        <v>3</v>
      </c>
      <c r="HF633" t="s">
        <v>3</v>
      </c>
      <c r="HM633" t="s">
        <v>3</v>
      </c>
      <c r="HN633" t="s">
        <v>3</v>
      </c>
      <c r="HO633" t="s">
        <v>3</v>
      </c>
      <c r="HP633" t="s">
        <v>3</v>
      </c>
      <c r="HQ633" t="s">
        <v>3</v>
      </c>
      <c r="IK633">
        <v>0</v>
      </c>
    </row>
    <row r="634" spans="1:245" x14ac:dyDescent="0.2">
      <c r="A634">
        <v>17</v>
      </c>
      <c r="B634">
        <v>1</v>
      </c>
      <c r="D634">
        <f>ROW(EtalonRes!A560)</f>
        <v>560</v>
      </c>
      <c r="E634" t="s">
        <v>494</v>
      </c>
      <c r="F634" t="s">
        <v>495</v>
      </c>
      <c r="G634" t="s">
        <v>496</v>
      </c>
      <c r="H634" t="s">
        <v>20</v>
      </c>
      <c r="I634">
        <f>ROUND(ROUND((60+60+60+30+30)*0.2*0.1/100,9),9)</f>
        <v>4.8000000000000001E-2</v>
      </c>
      <c r="J634">
        <v>0</v>
      </c>
      <c r="K634">
        <f>ROUND(ROUND((60+60+60+30+30)*0.2*0.1/100,9),9)</f>
        <v>4.8000000000000001E-2</v>
      </c>
      <c r="O634">
        <f t="shared" si="564"/>
        <v>306.02</v>
      </c>
      <c r="P634">
        <f t="shared" si="565"/>
        <v>0.76</v>
      </c>
      <c r="Q634">
        <f t="shared" si="566"/>
        <v>0</v>
      </c>
      <c r="R634">
        <f t="shared" si="567"/>
        <v>0</v>
      </c>
      <c r="S634">
        <f t="shared" si="568"/>
        <v>305.26</v>
      </c>
      <c r="T634">
        <f t="shared" si="569"/>
        <v>0</v>
      </c>
      <c r="U634">
        <f t="shared" si="570"/>
        <v>0.57024000000000008</v>
      </c>
      <c r="V634">
        <f t="shared" si="571"/>
        <v>0</v>
      </c>
      <c r="W634">
        <f t="shared" si="572"/>
        <v>0</v>
      </c>
      <c r="X634">
        <f t="shared" si="573"/>
        <v>213.68</v>
      </c>
      <c r="Y634">
        <f t="shared" si="574"/>
        <v>30.53</v>
      </c>
      <c r="AA634">
        <v>1472224561</v>
      </c>
      <c r="AB634">
        <f t="shared" si="575"/>
        <v>6375.3</v>
      </c>
      <c r="AC634">
        <f t="shared" si="576"/>
        <v>15.76</v>
      </c>
      <c r="AD634">
        <f t="shared" si="577"/>
        <v>0</v>
      </c>
      <c r="AE634">
        <f t="shared" si="578"/>
        <v>0</v>
      </c>
      <c r="AF634">
        <f t="shared" si="579"/>
        <v>6359.54</v>
      </c>
      <c r="AG634">
        <f t="shared" si="580"/>
        <v>0</v>
      </c>
      <c r="AH634">
        <f t="shared" si="581"/>
        <v>11.88</v>
      </c>
      <c r="AI634">
        <f t="shared" si="582"/>
        <v>0</v>
      </c>
      <c r="AJ634">
        <f t="shared" si="583"/>
        <v>0</v>
      </c>
      <c r="AK634">
        <v>6375.3</v>
      </c>
      <c r="AL634">
        <v>15.76</v>
      </c>
      <c r="AM634">
        <v>0</v>
      </c>
      <c r="AN634">
        <v>0</v>
      </c>
      <c r="AO634">
        <v>6359.54</v>
      </c>
      <c r="AP634">
        <v>0</v>
      </c>
      <c r="AQ634">
        <v>11.88</v>
      </c>
      <c r="AR634">
        <v>0</v>
      </c>
      <c r="AS634">
        <v>0</v>
      </c>
      <c r="AT634">
        <v>70</v>
      </c>
      <c r="AU634">
        <v>10</v>
      </c>
      <c r="AV634">
        <v>1</v>
      </c>
      <c r="AW634">
        <v>1</v>
      </c>
      <c r="AZ634">
        <v>1</v>
      </c>
      <c r="BA634">
        <v>1</v>
      </c>
      <c r="BB634">
        <v>1</v>
      </c>
      <c r="BC634">
        <v>1</v>
      </c>
      <c r="BD634" t="s">
        <v>3</v>
      </c>
      <c r="BE634" t="s">
        <v>3</v>
      </c>
      <c r="BF634" t="s">
        <v>3</v>
      </c>
      <c r="BG634" t="s">
        <v>3</v>
      </c>
      <c r="BH634">
        <v>0</v>
      </c>
      <c r="BI634">
        <v>4</v>
      </c>
      <c r="BJ634" t="s">
        <v>497</v>
      </c>
      <c r="BM634">
        <v>0</v>
      </c>
      <c r="BN634">
        <v>0</v>
      </c>
      <c r="BO634" t="s">
        <v>3</v>
      </c>
      <c r="BP634">
        <v>0</v>
      </c>
      <c r="BQ634">
        <v>1</v>
      </c>
      <c r="BR634">
        <v>0</v>
      </c>
      <c r="BS634">
        <v>1</v>
      </c>
      <c r="BT634">
        <v>1</v>
      </c>
      <c r="BU634">
        <v>1</v>
      </c>
      <c r="BV634">
        <v>1</v>
      </c>
      <c r="BW634">
        <v>1</v>
      </c>
      <c r="BX634">
        <v>1</v>
      </c>
      <c r="BY634" t="s">
        <v>3</v>
      </c>
      <c r="BZ634">
        <v>70</v>
      </c>
      <c r="CA634">
        <v>10</v>
      </c>
      <c r="CB634" t="s">
        <v>3</v>
      </c>
      <c r="CE634">
        <v>0</v>
      </c>
      <c r="CF634">
        <v>0</v>
      </c>
      <c r="CG634">
        <v>0</v>
      </c>
      <c r="CM634">
        <v>0</v>
      </c>
      <c r="CN634" t="s">
        <v>3</v>
      </c>
      <c r="CO634">
        <v>0</v>
      </c>
      <c r="CP634">
        <f t="shared" si="584"/>
        <v>306.02</v>
      </c>
      <c r="CQ634">
        <f t="shared" si="585"/>
        <v>15.76</v>
      </c>
      <c r="CR634">
        <f t="shared" si="586"/>
        <v>0</v>
      </c>
      <c r="CS634">
        <f t="shared" si="587"/>
        <v>0</v>
      </c>
      <c r="CT634">
        <f t="shared" si="588"/>
        <v>6359.54</v>
      </c>
      <c r="CU634">
        <f t="shared" si="589"/>
        <v>0</v>
      </c>
      <c r="CV634">
        <f t="shared" si="590"/>
        <v>11.88</v>
      </c>
      <c r="CW634">
        <f t="shared" si="591"/>
        <v>0</v>
      </c>
      <c r="CX634">
        <f t="shared" si="592"/>
        <v>0</v>
      </c>
      <c r="CY634">
        <f t="shared" si="593"/>
        <v>213.68200000000002</v>
      </c>
      <c r="CZ634">
        <f t="shared" si="594"/>
        <v>30.526</v>
      </c>
      <c r="DC634" t="s">
        <v>3</v>
      </c>
      <c r="DD634" t="s">
        <v>3</v>
      </c>
      <c r="DE634" t="s">
        <v>3</v>
      </c>
      <c r="DF634" t="s">
        <v>3</v>
      </c>
      <c r="DG634" t="s">
        <v>3</v>
      </c>
      <c r="DH634" t="s">
        <v>3</v>
      </c>
      <c r="DI634" t="s">
        <v>3</v>
      </c>
      <c r="DJ634" t="s">
        <v>3</v>
      </c>
      <c r="DK634" t="s">
        <v>3</v>
      </c>
      <c r="DL634" t="s">
        <v>3</v>
      </c>
      <c r="DM634" t="s">
        <v>3</v>
      </c>
      <c r="DN634">
        <v>0</v>
      </c>
      <c r="DO634">
        <v>0</v>
      </c>
      <c r="DP634">
        <v>1</v>
      </c>
      <c r="DQ634">
        <v>1</v>
      </c>
      <c r="DU634">
        <v>1003</v>
      </c>
      <c r="DV634" t="s">
        <v>20</v>
      </c>
      <c r="DW634" t="s">
        <v>20</v>
      </c>
      <c r="DX634">
        <v>100</v>
      </c>
      <c r="DZ634" t="s">
        <v>3</v>
      </c>
      <c r="EA634" t="s">
        <v>3</v>
      </c>
      <c r="EB634" t="s">
        <v>3</v>
      </c>
      <c r="EC634" t="s">
        <v>3</v>
      </c>
      <c r="EE634">
        <v>1441815344</v>
      </c>
      <c r="EF634">
        <v>1</v>
      </c>
      <c r="EG634" t="s">
        <v>23</v>
      </c>
      <c r="EH634">
        <v>0</v>
      </c>
      <c r="EI634" t="s">
        <v>3</v>
      </c>
      <c r="EJ634">
        <v>4</v>
      </c>
      <c r="EK634">
        <v>0</v>
      </c>
      <c r="EL634" t="s">
        <v>24</v>
      </c>
      <c r="EM634" t="s">
        <v>25</v>
      </c>
      <c r="EO634" t="s">
        <v>3</v>
      </c>
      <c r="EQ634">
        <v>0</v>
      </c>
      <c r="ER634">
        <v>6375.3</v>
      </c>
      <c r="ES634">
        <v>15.76</v>
      </c>
      <c r="ET634">
        <v>0</v>
      </c>
      <c r="EU634">
        <v>0</v>
      </c>
      <c r="EV634">
        <v>6359.54</v>
      </c>
      <c r="EW634">
        <v>11.88</v>
      </c>
      <c r="EX634">
        <v>0</v>
      </c>
      <c r="EY634">
        <v>0</v>
      </c>
      <c r="FQ634">
        <v>0</v>
      </c>
      <c r="FR634">
        <f t="shared" si="595"/>
        <v>0</v>
      </c>
      <c r="FS634">
        <v>0</v>
      </c>
      <c r="FX634">
        <v>70</v>
      </c>
      <c r="FY634">
        <v>10</v>
      </c>
      <c r="GA634" t="s">
        <v>3</v>
      </c>
      <c r="GD634">
        <v>0</v>
      </c>
      <c r="GF634">
        <v>821769971</v>
      </c>
      <c r="GG634">
        <v>2</v>
      </c>
      <c r="GH634">
        <v>1</v>
      </c>
      <c r="GI634">
        <v>-2</v>
      </c>
      <c r="GJ634">
        <v>0</v>
      </c>
      <c r="GK634">
        <f>ROUND(R634*(R12)/100,2)</f>
        <v>0</v>
      </c>
      <c r="GL634">
        <f t="shared" si="596"/>
        <v>0</v>
      </c>
      <c r="GM634">
        <f t="shared" si="597"/>
        <v>550.23</v>
      </c>
      <c r="GN634">
        <f t="shared" si="598"/>
        <v>0</v>
      </c>
      <c r="GO634">
        <f t="shared" si="599"/>
        <v>0</v>
      </c>
      <c r="GP634">
        <f t="shared" si="600"/>
        <v>550.23</v>
      </c>
      <c r="GR634">
        <v>0</v>
      </c>
      <c r="GS634">
        <v>3</v>
      </c>
      <c r="GT634">
        <v>0</v>
      </c>
      <c r="GU634" t="s">
        <v>3</v>
      </c>
      <c r="GV634">
        <f t="shared" si="601"/>
        <v>0</v>
      </c>
      <c r="GW634">
        <v>1</v>
      </c>
      <c r="GX634">
        <f t="shared" si="602"/>
        <v>0</v>
      </c>
      <c r="HA634">
        <v>0</v>
      </c>
      <c r="HB634">
        <v>0</v>
      </c>
      <c r="HC634">
        <f t="shared" si="603"/>
        <v>0</v>
      </c>
      <c r="HE634" t="s">
        <v>3</v>
      </c>
      <c r="HF634" t="s">
        <v>3</v>
      </c>
      <c r="HM634" t="s">
        <v>3</v>
      </c>
      <c r="HN634" t="s">
        <v>3</v>
      </c>
      <c r="HO634" t="s">
        <v>3</v>
      </c>
      <c r="HP634" t="s">
        <v>3</v>
      </c>
      <c r="HQ634" t="s">
        <v>3</v>
      </c>
      <c r="IK634">
        <v>0</v>
      </c>
    </row>
    <row r="635" spans="1:245" x14ac:dyDescent="0.2">
      <c r="A635">
        <v>17</v>
      </c>
      <c r="B635">
        <v>1</v>
      </c>
      <c r="D635">
        <f>ROW(EtalonRes!A562)</f>
        <v>562</v>
      </c>
      <c r="E635" t="s">
        <v>498</v>
      </c>
      <c r="F635" t="s">
        <v>499</v>
      </c>
      <c r="G635" t="s">
        <v>500</v>
      </c>
      <c r="H635" t="s">
        <v>20</v>
      </c>
      <c r="I635">
        <f>ROUND(ROUND((60+60+60+30+30)*0.2*0.1/100,9),9)</f>
        <v>4.8000000000000001E-2</v>
      </c>
      <c r="J635">
        <v>0</v>
      </c>
      <c r="K635">
        <f>ROUND(ROUND((60+60+60+30+30)*0.2*0.1/100,9),9)</f>
        <v>4.8000000000000001E-2</v>
      </c>
      <c r="O635">
        <f t="shared" si="564"/>
        <v>68</v>
      </c>
      <c r="P635">
        <f t="shared" si="565"/>
        <v>0.16</v>
      </c>
      <c r="Q635">
        <f t="shared" si="566"/>
        <v>0</v>
      </c>
      <c r="R635">
        <f t="shared" si="567"/>
        <v>0</v>
      </c>
      <c r="S635">
        <f t="shared" si="568"/>
        <v>67.84</v>
      </c>
      <c r="T635">
        <f t="shared" si="569"/>
        <v>0</v>
      </c>
      <c r="U635">
        <f t="shared" si="570"/>
        <v>0.12672</v>
      </c>
      <c r="V635">
        <f t="shared" si="571"/>
        <v>0</v>
      </c>
      <c r="W635">
        <f t="shared" si="572"/>
        <v>0</v>
      </c>
      <c r="X635">
        <f t="shared" si="573"/>
        <v>47.49</v>
      </c>
      <c r="Y635">
        <f t="shared" si="574"/>
        <v>6.78</v>
      </c>
      <c r="AA635">
        <v>1472224561</v>
      </c>
      <c r="AB635">
        <f t="shared" si="575"/>
        <v>1416.61</v>
      </c>
      <c r="AC635">
        <f t="shared" si="576"/>
        <v>3.38</v>
      </c>
      <c r="AD635">
        <f t="shared" si="577"/>
        <v>0</v>
      </c>
      <c r="AE635">
        <f t="shared" si="578"/>
        <v>0</v>
      </c>
      <c r="AF635">
        <f t="shared" si="579"/>
        <v>1413.23</v>
      </c>
      <c r="AG635">
        <f t="shared" si="580"/>
        <v>0</v>
      </c>
      <c r="AH635">
        <f t="shared" si="581"/>
        <v>2.64</v>
      </c>
      <c r="AI635">
        <f t="shared" si="582"/>
        <v>0</v>
      </c>
      <c r="AJ635">
        <f t="shared" si="583"/>
        <v>0</v>
      </c>
      <c r="AK635">
        <v>1416.61</v>
      </c>
      <c r="AL635">
        <v>3.38</v>
      </c>
      <c r="AM635">
        <v>0</v>
      </c>
      <c r="AN635">
        <v>0</v>
      </c>
      <c r="AO635">
        <v>1413.23</v>
      </c>
      <c r="AP635">
        <v>0</v>
      </c>
      <c r="AQ635">
        <v>2.64</v>
      </c>
      <c r="AR635">
        <v>0</v>
      </c>
      <c r="AS635">
        <v>0</v>
      </c>
      <c r="AT635">
        <v>70</v>
      </c>
      <c r="AU635">
        <v>10</v>
      </c>
      <c r="AV635">
        <v>1</v>
      </c>
      <c r="AW635">
        <v>1</v>
      </c>
      <c r="AZ635">
        <v>1</v>
      </c>
      <c r="BA635">
        <v>1</v>
      </c>
      <c r="BB635">
        <v>1</v>
      </c>
      <c r="BC635">
        <v>1</v>
      </c>
      <c r="BD635" t="s">
        <v>3</v>
      </c>
      <c r="BE635" t="s">
        <v>3</v>
      </c>
      <c r="BF635" t="s">
        <v>3</v>
      </c>
      <c r="BG635" t="s">
        <v>3</v>
      </c>
      <c r="BH635">
        <v>0</v>
      </c>
      <c r="BI635">
        <v>4</v>
      </c>
      <c r="BJ635" t="s">
        <v>501</v>
      </c>
      <c r="BM635">
        <v>0</v>
      </c>
      <c r="BN635">
        <v>0</v>
      </c>
      <c r="BO635" t="s">
        <v>3</v>
      </c>
      <c r="BP635">
        <v>0</v>
      </c>
      <c r="BQ635">
        <v>1</v>
      </c>
      <c r="BR635">
        <v>0</v>
      </c>
      <c r="BS635">
        <v>1</v>
      </c>
      <c r="BT635">
        <v>1</v>
      </c>
      <c r="BU635">
        <v>1</v>
      </c>
      <c r="BV635">
        <v>1</v>
      </c>
      <c r="BW635">
        <v>1</v>
      </c>
      <c r="BX635">
        <v>1</v>
      </c>
      <c r="BY635" t="s">
        <v>3</v>
      </c>
      <c r="BZ635">
        <v>70</v>
      </c>
      <c r="CA635">
        <v>10</v>
      </c>
      <c r="CB635" t="s">
        <v>3</v>
      </c>
      <c r="CE635">
        <v>0</v>
      </c>
      <c r="CF635">
        <v>0</v>
      </c>
      <c r="CG635">
        <v>0</v>
      </c>
      <c r="CM635">
        <v>0</v>
      </c>
      <c r="CN635" t="s">
        <v>3</v>
      </c>
      <c r="CO635">
        <v>0</v>
      </c>
      <c r="CP635">
        <f t="shared" si="584"/>
        <v>68</v>
      </c>
      <c r="CQ635">
        <f t="shared" si="585"/>
        <v>3.38</v>
      </c>
      <c r="CR635">
        <f t="shared" si="586"/>
        <v>0</v>
      </c>
      <c r="CS635">
        <f t="shared" si="587"/>
        <v>0</v>
      </c>
      <c r="CT635">
        <f t="shared" si="588"/>
        <v>1413.23</v>
      </c>
      <c r="CU635">
        <f t="shared" si="589"/>
        <v>0</v>
      </c>
      <c r="CV635">
        <f t="shared" si="590"/>
        <v>2.64</v>
      </c>
      <c r="CW635">
        <f t="shared" si="591"/>
        <v>0</v>
      </c>
      <c r="CX635">
        <f t="shared" si="592"/>
        <v>0</v>
      </c>
      <c r="CY635">
        <f t="shared" si="593"/>
        <v>47.488</v>
      </c>
      <c r="CZ635">
        <f t="shared" si="594"/>
        <v>6.7840000000000007</v>
      </c>
      <c r="DC635" t="s">
        <v>3</v>
      </c>
      <c r="DD635" t="s">
        <v>3</v>
      </c>
      <c r="DE635" t="s">
        <v>3</v>
      </c>
      <c r="DF635" t="s">
        <v>3</v>
      </c>
      <c r="DG635" t="s">
        <v>3</v>
      </c>
      <c r="DH635" t="s">
        <v>3</v>
      </c>
      <c r="DI635" t="s">
        <v>3</v>
      </c>
      <c r="DJ635" t="s">
        <v>3</v>
      </c>
      <c r="DK635" t="s">
        <v>3</v>
      </c>
      <c r="DL635" t="s">
        <v>3</v>
      </c>
      <c r="DM635" t="s">
        <v>3</v>
      </c>
      <c r="DN635">
        <v>0</v>
      </c>
      <c r="DO635">
        <v>0</v>
      </c>
      <c r="DP635">
        <v>1</v>
      </c>
      <c r="DQ635">
        <v>1</v>
      </c>
      <c r="DU635">
        <v>1003</v>
      </c>
      <c r="DV635" t="s">
        <v>20</v>
      </c>
      <c r="DW635" t="s">
        <v>20</v>
      </c>
      <c r="DX635">
        <v>100</v>
      </c>
      <c r="DZ635" t="s">
        <v>3</v>
      </c>
      <c r="EA635" t="s">
        <v>3</v>
      </c>
      <c r="EB635" t="s">
        <v>3</v>
      </c>
      <c r="EC635" t="s">
        <v>3</v>
      </c>
      <c r="EE635">
        <v>1441815344</v>
      </c>
      <c r="EF635">
        <v>1</v>
      </c>
      <c r="EG635" t="s">
        <v>23</v>
      </c>
      <c r="EH635">
        <v>0</v>
      </c>
      <c r="EI635" t="s">
        <v>3</v>
      </c>
      <c r="EJ635">
        <v>4</v>
      </c>
      <c r="EK635">
        <v>0</v>
      </c>
      <c r="EL635" t="s">
        <v>24</v>
      </c>
      <c r="EM635" t="s">
        <v>25</v>
      </c>
      <c r="EO635" t="s">
        <v>3</v>
      </c>
      <c r="EQ635">
        <v>0</v>
      </c>
      <c r="ER635">
        <v>1416.61</v>
      </c>
      <c r="ES635">
        <v>3.38</v>
      </c>
      <c r="ET635">
        <v>0</v>
      </c>
      <c r="EU635">
        <v>0</v>
      </c>
      <c r="EV635">
        <v>1413.23</v>
      </c>
      <c r="EW635">
        <v>2.64</v>
      </c>
      <c r="EX635">
        <v>0</v>
      </c>
      <c r="EY635">
        <v>0</v>
      </c>
      <c r="FQ635">
        <v>0</v>
      </c>
      <c r="FR635">
        <f t="shared" si="595"/>
        <v>0</v>
      </c>
      <c r="FS635">
        <v>0</v>
      </c>
      <c r="FX635">
        <v>70</v>
      </c>
      <c r="FY635">
        <v>10</v>
      </c>
      <c r="GA635" t="s">
        <v>3</v>
      </c>
      <c r="GD635">
        <v>0</v>
      </c>
      <c r="GF635">
        <v>2077620764</v>
      </c>
      <c r="GG635">
        <v>2</v>
      </c>
      <c r="GH635">
        <v>1</v>
      </c>
      <c r="GI635">
        <v>-2</v>
      </c>
      <c r="GJ635">
        <v>0</v>
      </c>
      <c r="GK635">
        <f>ROUND(R635*(R12)/100,2)</f>
        <v>0</v>
      </c>
      <c r="GL635">
        <f t="shared" si="596"/>
        <v>0</v>
      </c>
      <c r="GM635">
        <f t="shared" si="597"/>
        <v>122.27</v>
      </c>
      <c r="GN635">
        <f t="shared" si="598"/>
        <v>0</v>
      </c>
      <c r="GO635">
        <f t="shared" si="599"/>
        <v>0</v>
      </c>
      <c r="GP635">
        <f t="shared" si="600"/>
        <v>122.27</v>
      </c>
      <c r="GR635">
        <v>0</v>
      </c>
      <c r="GS635">
        <v>3</v>
      </c>
      <c r="GT635">
        <v>0</v>
      </c>
      <c r="GU635" t="s">
        <v>3</v>
      </c>
      <c r="GV635">
        <f t="shared" si="601"/>
        <v>0</v>
      </c>
      <c r="GW635">
        <v>1</v>
      </c>
      <c r="GX635">
        <f t="shared" si="602"/>
        <v>0</v>
      </c>
      <c r="HA635">
        <v>0</v>
      </c>
      <c r="HB635">
        <v>0</v>
      </c>
      <c r="HC635">
        <f t="shared" si="603"/>
        <v>0</v>
      </c>
      <c r="HE635" t="s">
        <v>3</v>
      </c>
      <c r="HF635" t="s">
        <v>3</v>
      </c>
      <c r="HM635" t="s">
        <v>3</v>
      </c>
      <c r="HN635" t="s">
        <v>3</v>
      </c>
      <c r="HO635" t="s">
        <v>3</v>
      </c>
      <c r="HP635" t="s">
        <v>3</v>
      </c>
      <c r="HQ635" t="s">
        <v>3</v>
      </c>
      <c r="IK635">
        <v>0</v>
      </c>
    </row>
    <row r="636" spans="1:245" x14ac:dyDescent="0.2">
      <c r="A636">
        <v>17</v>
      </c>
      <c r="B636">
        <v>1</v>
      </c>
      <c r="D636">
        <f>ROW(EtalonRes!A564)</f>
        <v>564</v>
      </c>
      <c r="E636" t="s">
        <v>3</v>
      </c>
      <c r="F636" t="s">
        <v>502</v>
      </c>
      <c r="G636" t="s">
        <v>503</v>
      </c>
      <c r="H636" t="s">
        <v>20</v>
      </c>
      <c r="I636">
        <f>ROUND(ROUND((60+60+60+30+30)*0.1/100,9),9)</f>
        <v>0.24</v>
      </c>
      <c r="J636">
        <v>0</v>
      </c>
      <c r="K636">
        <f>ROUND(ROUND((60+60+60+30+30)*0.1/100,9),9)</f>
        <v>0.24</v>
      </c>
      <c r="O636">
        <f t="shared" si="564"/>
        <v>51.48</v>
      </c>
      <c r="P636">
        <f t="shared" si="565"/>
        <v>0.09</v>
      </c>
      <c r="Q636">
        <f t="shared" si="566"/>
        <v>0</v>
      </c>
      <c r="R636">
        <f t="shared" si="567"/>
        <v>0</v>
      </c>
      <c r="S636">
        <f t="shared" si="568"/>
        <v>51.39</v>
      </c>
      <c r="T636">
        <f t="shared" si="569"/>
        <v>0</v>
      </c>
      <c r="U636">
        <f t="shared" si="570"/>
        <v>9.6000000000000002E-2</v>
      </c>
      <c r="V636">
        <f t="shared" si="571"/>
        <v>0</v>
      </c>
      <c r="W636">
        <f t="shared" si="572"/>
        <v>0</v>
      </c>
      <c r="X636">
        <f t="shared" si="573"/>
        <v>35.97</v>
      </c>
      <c r="Y636">
        <f t="shared" si="574"/>
        <v>5.14</v>
      </c>
      <c r="AA636">
        <v>-1</v>
      </c>
      <c r="AB636">
        <f t="shared" si="575"/>
        <v>214.51</v>
      </c>
      <c r="AC636">
        <f t="shared" si="576"/>
        <v>0.38</v>
      </c>
      <c r="AD636">
        <f t="shared" si="577"/>
        <v>0</v>
      </c>
      <c r="AE636">
        <f t="shared" si="578"/>
        <v>0</v>
      </c>
      <c r="AF636">
        <f t="shared" si="579"/>
        <v>214.13</v>
      </c>
      <c r="AG636">
        <f t="shared" si="580"/>
        <v>0</v>
      </c>
      <c r="AH636">
        <f t="shared" si="581"/>
        <v>0.4</v>
      </c>
      <c r="AI636">
        <f t="shared" si="582"/>
        <v>0</v>
      </c>
      <c r="AJ636">
        <f t="shared" si="583"/>
        <v>0</v>
      </c>
      <c r="AK636">
        <v>214.51</v>
      </c>
      <c r="AL636">
        <v>0.38</v>
      </c>
      <c r="AM636">
        <v>0</v>
      </c>
      <c r="AN636">
        <v>0</v>
      </c>
      <c r="AO636">
        <v>214.13</v>
      </c>
      <c r="AP636">
        <v>0</v>
      </c>
      <c r="AQ636">
        <v>0.4</v>
      </c>
      <c r="AR636">
        <v>0</v>
      </c>
      <c r="AS636">
        <v>0</v>
      </c>
      <c r="AT636">
        <v>70</v>
      </c>
      <c r="AU636">
        <v>10</v>
      </c>
      <c r="AV636">
        <v>1</v>
      </c>
      <c r="AW636">
        <v>1</v>
      </c>
      <c r="AZ636">
        <v>1</v>
      </c>
      <c r="BA636">
        <v>1</v>
      </c>
      <c r="BB636">
        <v>1</v>
      </c>
      <c r="BC636">
        <v>1</v>
      </c>
      <c r="BD636" t="s">
        <v>3</v>
      </c>
      <c r="BE636" t="s">
        <v>3</v>
      </c>
      <c r="BF636" t="s">
        <v>3</v>
      </c>
      <c r="BG636" t="s">
        <v>3</v>
      </c>
      <c r="BH636">
        <v>0</v>
      </c>
      <c r="BI636">
        <v>4</v>
      </c>
      <c r="BJ636" t="s">
        <v>504</v>
      </c>
      <c r="BM636">
        <v>0</v>
      </c>
      <c r="BN636">
        <v>0</v>
      </c>
      <c r="BO636" t="s">
        <v>3</v>
      </c>
      <c r="BP636">
        <v>0</v>
      </c>
      <c r="BQ636">
        <v>1</v>
      </c>
      <c r="BR636">
        <v>0</v>
      </c>
      <c r="BS636">
        <v>1</v>
      </c>
      <c r="BT636">
        <v>1</v>
      </c>
      <c r="BU636">
        <v>1</v>
      </c>
      <c r="BV636">
        <v>1</v>
      </c>
      <c r="BW636">
        <v>1</v>
      </c>
      <c r="BX636">
        <v>1</v>
      </c>
      <c r="BY636" t="s">
        <v>3</v>
      </c>
      <c r="BZ636">
        <v>70</v>
      </c>
      <c r="CA636">
        <v>10</v>
      </c>
      <c r="CB636" t="s">
        <v>3</v>
      </c>
      <c r="CE636">
        <v>0</v>
      </c>
      <c r="CF636">
        <v>0</v>
      </c>
      <c r="CG636">
        <v>0</v>
      </c>
      <c r="CM636">
        <v>0</v>
      </c>
      <c r="CN636" t="s">
        <v>3</v>
      </c>
      <c r="CO636">
        <v>0</v>
      </c>
      <c r="CP636">
        <f t="shared" si="584"/>
        <v>51.480000000000004</v>
      </c>
      <c r="CQ636">
        <f t="shared" si="585"/>
        <v>0.38</v>
      </c>
      <c r="CR636">
        <f t="shared" si="586"/>
        <v>0</v>
      </c>
      <c r="CS636">
        <f t="shared" si="587"/>
        <v>0</v>
      </c>
      <c r="CT636">
        <f t="shared" si="588"/>
        <v>214.13</v>
      </c>
      <c r="CU636">
        <f t="shared" si="589"/>
        <v>0</v>
      </c>
      <c r="CV636">
        <f t="shared" si="590"/>
        <v>0.4</v>
      </c>
      <c r="CW636">
        <f t="shared" si="591"/>
        <v>0</v>
      </c>
      <c r="CX636">
        <f t="shared" si="592"/>
        <v>0</v>
      </c>
      <c r="CY636">
        <f t="shared" si="593"/>
        <v>35.972999999999999</v>
      </c>
      <c r="CZ636">
        <f t="shared" si="594"/>
        <v>5.1389999999999993</v>
      </c>
      <c r="DC636" t="s">
        <v>3</v>
      </c>
      <c r="DD636" t="s">
        <v>3</v>
      </c>
      <c r="DE636" t="s">
        <v>3</v>
      </c>
      <c r="DF636" t="s">
        <v>3</v>
      </c>
      <c r="DG636" t="s">
        <v>3</v>
      </c>
      <c r="DH636" t="s">
        <v>3</v>
      </c>
      <c r="DI636" t="s">
        <v>3</v>
      </c>
      <c r="DJ636" t="s">
        <v>3</v>
      </c>
      <c r="DK636" t="s">
        <v>3</v>
      </c>
      <c r="DL636" t="s">
        <v>3</v>
      </c>
      <c r="DM636" t="s">
        <v>3</v>
      </c>
      <c r="DN636">
        <v>0</v>
      </c>
      <c r="DO636">
        <v>0</v>
      </c>
      <c r="DP636">
        <v>1</v>
      </c>
      <c r="DQ636">
        <v>1</v>
      </c>
      <c r="DU636">
        <v>1003</v>
      </c>
      <c r="DV636" t="s">
        <v>20</v>
      </c>
      <c r="DW636" t="s">
        <v>20</v>
      </c>
      <c r="DX636">
        <v>100</v>
      </c>
      <c r="DZ636" t="s">
        <v>3</v>
      </c>
      <c r="EA636" t="s">
        <v>3</v>
      </c>
      <c r="EB636" t="s">
        <v>3</v>
      </c>
      <c r="EC636" t="s">
        <v>3</v>
      </c>
      <c r="EE636">
        <v>1441815344</v>
      </c>
      <c r="EF636">
        <v>1</v>
      </c>
      <c r="EG636" t="s">
        <v>23</v>
      </c>
      <c r="EH636">
        <v>0</v>
      </c>
      <c r="EI636" t="s">
        <v>3</v>
      </c>
      <c r="EJ636">
        <v>4</v>
      </c>
      <c r="EK636">
        <v>0</v>
      </c>
      <c r="EL636" t="s">
        <v>24</v>
      </c>
      <c r="EM636" t="s">
        <v>25</v>
      </c>
      <c r="EO636" t="s">
        <v>3</v>
      </c>
      <c r="EQ636">
        <v>1024</v>
      </c>
      <c r="ER636">
        <v>214.51</v>
      </c>
      <c r="ES636">
        <v>0.38</v>
      </c>
      <c r="ET636">
        <v>0</v>
      </c>
      <c r="EU636">
        <v>0</v>
      </c>
      <c r="EV636">
        <v>214.13</v>
      </c>
      <c r="EW636">
        <v>0.4</v>
      </c>
      <c r="EX636">
        <v>0</v>
      </c>
      <c r="EY636">
        <v>0</v>
      </c>
      <c r="FQ636">
        <v>0</v>
      </c>
      <c r="FR636">
        <f t="shared" si="595"/>
        <v>0</v>
      </c>
      <c r="FS636">
        <v>0</v>
      </c>
      <c r="FX636">
        <v>70</v>
      </c>
      <c r="FY636">
        <v>10</v>
      </c>
      <c r="GA636" t="s">
        <v>3</v>
      </c>
      <c r="GD636">
        <v>0</v>
      </c>
      <c r="GF636">
        <v>-2146755750</v>
      </c>
      <c r="GG636">
        <v>2</v>
      </c>
      <c r="GH636">
        <v>1</v>
      </c>
      <c r="GI636">
        <v>-2</v>
      </c>
      <c r="GJ636">
        <v>0</v>
      </c>
      <c r="GK636">
        <f>ROUND(R636*(R12)/100,2)</f>
        <v>0</v>
      </c>
      <c r="GL636">
        <f t="shared" si="596"/>
        <v>0</v>
      </c>
      <c r="GM636">
        <f t="shared" si="597"/>
        <v>92.59</v>
      </c>
      <c r="GN636">
        <f t="shared" si="598"/>
        <v>0</v>
      </c>
      <c r="GO636">
        <f t="shared" si="599"/>
        <v>0</v>
      </c>
      <c r="GP636">
        <f t="shared" si="600"/>
        <v>92.59</v>
      </c>
      <c r="GR636">
        <v>0</v>
      </c>
      <c r="GS636">
        <v>3</v>
      </c>
      <c r="GT636">
        <v>0</v>
      </c>
      <c r="GU636" t="s">
        <v>3</v>
      </c>
      <c r="GV636">
        <f t="shared" si="601"/>
        <v>0</v>
      </c>
      <c r="GW636">
        <v>1</v>
      </c>
      <c r="GX636">
        <f t="shared" si="602"/>
        <v>0</v>
      </c>
      <c r="HA636">
        <v>0</v>
      </c>
      <c r="HB636">
        <v>0</v>
      </c>
      <c r="HC636">
        <f t="shared" si="603"/>
        <v>0</v>
      </c>
      <c r="HE636" t="s">
        <v>3</v>
      </c>
      <c r="HF636" t="s">
        <v>3</v>
      </c>
      <c r="HM636" t="s">
        <v>3</v>
      </c>
      <c r="HN636" t="s">
        <v>3</v>
      </c>
      <c r="HO636" t="s">
        <v>3</v>
      </c>
      <c r="HP636" t="s">
        <v>3</v>
      </c>
      <c r="HQ636" t="s">
        <v>3</v>
      </c>
      <c r="IK636">
        <v>0</v>
      </c>
    </row>
    <row r="637" spans="1:245" x14ac:dyDescent="0.2">
      <c r="A637">
        <v>17</v>
      </c>
      <c r="B637">
        <v>1</v>
      </c>
      <c r="D637">
        <f>ROW(EtalonRes!A566)</f>
        <v>566</v>
      </c>
      <c r="E637" t="s">
        <v>505</v>
      </c>
      <c r="F637" t="s">
        <v>506</v>
      </c>
      <c r="G637" t="s">
        <v>507</v>
      </c>
      <c r="H637" t="s">
        <v>20</v>
      </c>
      <c r="I637">
        <f>ROUND(ROUND((5+80+60+5+80+60+5+80+60+5+60+130+120)*0.2*0.1/100,9),9)</f>
        <v>0.15</v>
      </c>
      <c r="J637">
        <v>0</v>
      </c>
      <c r="K637">
        <f>ROUND(ROUND((5+80+60+5+80+60+5+80+60+5+60+130+120)*0.2*0.1/100,9),9)</f>
        <v>0.15</v>
      </c>
      <c r="O637">
        <f t="shared" si="564"/>
        <v>903.13</v>
      </c>
      <c r="P637">
        <f t="shared" si="565"/>
        <v>2.19</v>
      </c>
      <c r="Q637">
        <f t="shared" si="566"/>
        <v>0</v>
      </c>
      <c r="R637">
        <f t="shared" si="567"/>
        <v>0</v>
      </c>
      <c r="S637">
        <f t="shared" si="568"/>
        <v>900.94</v>
      </c>
      <c r="T637">
        <f t="shared" si="569"/>
        <v>0</v>
      </c>
      <c r="U637">
        <f t="shared" si="570"/>
        <v>1.6830000000000001</v>
      </c>
      <c r="V637">
        <f t="shared" si="571"/>
        <v>0</v>
      </c>
      <c r="W637">
        <f t="shared" si="572"/>
        <v>0</v>
      </c>
      <c r="X637">
        <f t="shared" si="573"/>
        <v>630.66</v>
      </c>
      <c r="Y637">
        <f t="shared" si="574"/>
        <v>90.09</v>
      </c>
      <c r="AA637">
        <v>1472224561</v>
      </c>
      <c r="AB637">
        <f t="shared" si="575"/>
        <v>6020.87</v>
      </c>
      <c r="AC637">
        <f t="shared" si="576"/>
        <v>14.63</v>
      </c>
      <c r="AD637">
        <f t="shared" si="577"/>
        <v>0</v>
      </c>
      <c r="AE637">
        <f t="shared" si="578"/>
        <v>0</v>
      </c>
      <c r="AF637">
        <f t="shared" si="579"/>
        <v>6006.24</v>
      </c>
      <c r="AG637">
        <f t="shared" si="580"/>
        <v>0</v>
      </c>
      <c r="AH637">
        <f t="shared" si="581"/>
        <v>11.22</v>
      </c>
      <c r="AI637">
        <f t="shared" si="582"/>
        <v>0</v>
      </c>
      <c r="AJ637">
        <f t="shared" si="583"/>
        <v>0</v>
      </c>
      <c r="AK637">
        <v>6020.87</v>
      </c>
      <c r="AL637">
        <v>14.63</v>
      </c>
      <c r="AM637">
        <v>0</v>
      </c>
      <c r="AN637">
        <v>0</v>
      </c>
      <c r="AO637">
        <v>6006.24</v>
      </c>
      <c r="AP637">
        <v>0</v>
      </c>
      <c r="AQ637">
        <v>11.22</v>
      </c>
      <c r="AR637">
        <v>0</v>
      </c>
      <c r="AS637">
        <v>0</v>
      </c>
      <c r="AT637">
        <v>70</v>
      </c>
      <c r="AU637">
        <v>10</v>
      </c>
      <c r="AV637">
        <v>1</v>
      </c>
      <c r="AW637">
        <v>1</v>
      </c>
      <c r="AZ637">
        <v>1</v>
      </c>
      <c r="BA637">
        <v>1</v>
      </c>
      <c r="BB637">
        <v>1</v>
      </c>
      <c r="BC637">
        <v>1</v>
      </c>
      <c r="BD637" t="s">
        <v>3</v>
      </c>
      <c r="BE637" t="s">
        <v>3</v>
      </c>
      <c r="BF637" t="s">
        <v>3</v>
      </c>
      <c r="BG637" t="s">
        <v>3</v>
      </c>
      <c r="BH637">
        <v>0</v>
      </c>
      <c r="BI637">
        <v>4</v>
      </c>
      <c r="BJ637" t="s">
        <v>508</v>
      </c>
      <c r="BM637">
        <v>0</v>
      </c>
      <c r="BN637">
        <v>0</v>
      </c>
      <c r="BO637" t="s">
        <v>3</v>
      </c>
      <c r="BP637">
        <v>0</v>
      </c>
      <c r="BQ637">
        <v>1</v>
      </c>
      <c r="BR637">
        <v>0</v>
      </c>
      <c r="BS637">
        <v>1</v>
      </c>
      <c r="BT637">
        <v>1</v>
      </c>
      <c r="BU637">
        <v>1</v>
      </c>
      <c r="BV637">
        <v>1</v>
      </c>
      <c r="BW637">
        <v>1</v>
      </c>
      <c r="BX637">
        <v>1</v>
      </c>
      <c r="BY637" t="s">
        <v>3</v>
      </c>
      <c r="BZ637">
        <v>70</v>
      </c>
      <c r="CA637">
        <v>10</v>
      </c>
      <c r="CB637" t="s">
        <v>3</v>
      </c>
      <c r="CE637">
        <v>0</v>
      </c>
      <c r="CF637">
        <v>0</v>
      </c>
      <c r="CG637">
        <v>0</v>
      </c>
      <c r="CM637">
        <v>0</v>
      </c>
      <c r="CN637" t="s">
        <v>3</v>
      </c>
      <c r="CO637">
        <v>0</v>
      </c>
      <c r="CP637">
        <f t="shared" si="584"/>
        <v>903.13000000000011</v>
      </c>
      <c r="CQ637">
        <f t="shared" si="585"/>
        <v>14.63</v>
      </c>
      <c r="CR637">
        <f t="shared" si="586"/>
        <v>0</v>
      </c>
      <c r="CS637">
        <f t="shared" si="587"/>
        <v>0</v>
      </c>
      <c r="CT637">
        <f t="shared" si="588"/>
        <v>6006.24</v>
      </c>
      <c r="CU637">
        <f t="shared" si="589"/>
        <v>0</v>
      </c>
      <c r="CV637">
        <f t="shared" si="590"/>
        <v>11.22</v>
      </c>
      <c r="CW637">
        <f t="shared" si="591"/>
        <v>0</v>
      </c>
      <c r="CX637">
        <f t="shared" si="592"/>
        <v>0</v>
      </c>
      <c r="CY637">
        <f t="shared" si="593"/>
        <v>630.65800000000002</v>
      </c>
      <c r="CZ637">
        <f t="shared" si="594"/>
        <v>90.094000000000008</v>
      </c>
      <c r="DC637" t="s">
        <v>3</v>
      </c>
      <c r="DD637" t="s">
        <v>3</v>
      </c>
      <c r="DE637" t="s">
        <v>3</v>
      </c>
      <c r="DF637" t="s">
        <v>3</v>
      </c>
      <c r="DG637" t="s">
        <v>3</v>
      </c>
      <c r="DH637" t="s">
        <v>3</v>
      </c>
      <c r="DI637" t="s">
        <v>3</v>
      </c>
      <c r="DJ637" t="s">
        <v>3</v>
      </c>
      <c r="DK637" t="s">
        <v>3</v>
      </c>
      <c r="DL637" t="s">
        <v>3</v>
      </c>
      <c r="DM637" t="s">
        <v>3</v>
      </c>
      <c r="DN637">
        <v>0</v>
      </c>
      <c r="DO637">
        <v>0</v>
      </c>
      <c r="DP637">
        <v>1</v>
      </c>
      <c r="DQ637">
        <v>1</v>
      </c>
      <c r="DU637">
        <v>1003</v>
      </c>
      <c r="DV637" t="s">
        <v>20</v>
      </c>
      <c r="DW637" t="s">
        <v>20</v>
      </c>
      <c r="DX637">
        <v>100</v>
      </c>
      <c r="DZ637" t="s">
        <v>3</v>
      </c>
      <c r="EA637" t="s">
        <v>3</v>
      </c>
      <c r="EB637" t="s">
        <v>3</v>
      </c>
      <c r="EC637" t="s">
        <v>3</v>
      </c>
      <c r="EE637">
        <v>1441815344</v>
      </c>
      <c r="EF637">
        <v>1</v>
      </c>
      <c r="EG637" t="s">
        <v>23</v>
      </c>
      <c r="EH637">
        <v>0</v>
      </c>
      <c r="EI637" t="s">
        <v>3</v>
      </c>
      <c r="EJ637">
        <v>4</v>
      </c>
      <c r="EK637">
        <v>0</v>
      </c>
      <c r="EL637" t="s">
        <v>24</v>
      </c>
      <c r="EM637" t="s">
        <v>25</v>
      </c>
      <c r="EO637" t="s">
        <v>3</v>
      </c>
      <c r="EQ637">
        <v>0</v>
      </c>
      <c r="ER637">
        <v>6020.87</v>
      </c>
      <c r="ES637">
        <v>14.63</v>
      </c>
      <c r="ET637">
        <v>0</v>
      </c>
      <c r="EU637">
        <v>0</v>
      </c>
      <c r="EV637">
        <v>6006.24</v>
      </c>
      <c r="EW637">
        <v>11.22</v>
      </c>
      <c r="EX637">
        <v>0</v>
      </c>
      <c r="EY637">
        <v>0</v>
      </c>
      <c r="FQ637">
        <v>0</v>
      </c>
      <c r="FR637">
        <f t="shared" si="595"/>
        <v>0</v>
      </c>
      <c r="FS637">
        <v>0</v>
      </c>
      <c r="FX637">
        <v>70</v>
      </c>
      <c r="FY637">
        <v>10</v>
      </c>
      <c r="GA637" t="s">
        <v>3</v>
      </c>
      <c r="GD637">
        <v>0</v>
      </c>
      <c r="GF637">
        <v>583201079</v>
      </c>
      <c r="GG637">
        <v>2</v>
      </c>
      <c r="GH637">
        <v>1</v>
      </c>
      <c r="GI637">
        <v>-2</v>
      </c>
      <c r="GJ637">
        <v>0</v>
      </c>
      <c r="GK637">
        <f>ROUND(R637*(R12)/100,2)</f>
        <v>0</v>
      </c>
      <c r="GL637">
        <f t="shared" si="596"/>
        <v>0</v>
      </c>
      <c r="GM637">
        <f t="shared" si="597"/>
        <v>1623.88</v>
      </c>
      <c r="GN637">
        <f t="shared" si="598"/>
        <v>0</v>
      </c>
      <c r="GO637">
        <f t="shared" si="599"/>
        <v>0</v>
      </c>
      <c r="GP637">
        <f t="shared" si="600"/>
        <v>1623.88</v>
      </c>
      <c r="GR637">
        <v>0</v>
      </c>
      <c r="GS637">
        <v>3</v>
      </c>
      <c r="GT637">
        <v>0</v>
      </c>
      <c r="GU637" t="s">
        <v>3</v>
      </c>
      <c r="GV637">
        <f t="shared" si="601"/>
        <v>0</v>
      </c>
      <c r="GW637">
        <v>1</v>
      </c>
      <c r="GX637">
        <f t="shared" si="602"/>
        <v>0</v>
      </c>
      <c r="HA637">
        <v>0</v>
      </c>
      <c r="HB637">
        <v>0</v>
      </c>
      <c r="HC637">
        <f t="shared" si="603"/>
        <v>0</v>
      </c>
      <c r="HE637" t="s">
        <v>3</v>
      </c>
      <c r="HF637" t="s">
        <v>3</v>
      </c>
      <c r="HM637" t="s">
        <v>3</v>
      </c>
      <c r="HN637" t="s">
        <v>3</v>
      </c>
      <c r="HO637" t="s">
        <v>3</v>
      </c>
      <c r="HP637" t="s">
        <v>3</v>
      </c>
      <c r="HQ637" t="s">
        <v>3</v>
      </c>
      <c r="IK637">
        <v>0</v>
      </c>
    </row>
    <row r="638" spans="1:245" x14ac:dyDescent="0.2">
      <c r="A638">
        <v>17</v>
      </c>
      <c r="B638">
        <v>1</v>
      </c>
      <c r="D638">
        <f>ROW(EtalonRes!A567)</f>
        <v>567</v>
      </c>
      <c r="E638" t="s">
        <v>509</v>
      </c>
      <c r="F638" t="s">
        <v>510</v>
      </c>
      <c r="G638" t="s">
        <v>511</v>
      </c>
      <c r="H638" t="s">
        <v>20</v>
      </c>
      <c r="I638">
        <f>ROUND(ROUND((5+80+60+5+80+60+5+80+60+5+60+130+120)*0.2*0.1/100,9),9)</f>
        <v>0.15</v>
      </c>
      <c r="J638">
        <v>0</v>
      </c>
      <c r="K638">
        <f>ROUND(ROUND((5+80+60+5+80+60+5+80+60+5+60+130+120)*0.2*0.1/100,9),9)</f>
        <v>0.15</v>
      </c>
      <c r="O638">
        <f t="shared" si="564"/>
        <v>163.81</v>
      </c>
      <c r="P638">
        <f t="shared" si="565"/>
        <v>0</v>
      </c>
      <c r="Q638">
        <f t="shared" si="566"/>
        <v>0</v>
      </c>
      <c r="R638">
        <f t="shared" si="567"/>
        <v>0</v>
      </c>
      <c r="S638">
        <f t="shared" si="568"/>
        <v>163.81</v>
      </c>
      <c r="T638">
        <f t="shared" si="569"/>
        <v>0</v>
      </c>
      <c r="U638">
        <f t="shared" si="570"/>
        <v>0.30599999999999999</v>
      </c>
      <c r="V638">
        <f t="shared" si="571"/>
        <v>0</v>
      </c>
      <c r="W638">
        <f t="shared" si="572"/>
        <v>0</v>
      </c>
      <c r="X638">
        <f t="shared" si="573"/>
        <v>114.67</v>
      </c>
      <c r="Y638">
        <f t="shared" si="574"/>
        <v>16.38</v>
      </c>
      <c r="AA638">
        <v>1472224561</v>
      </c>
      <c r="AB638">
        <f t="shared" si="575"/>
        <v>1092.04</v>
      </c>
      <c r="AC638">
        <f t="shared" si="576"/>
        <v>0</v>
      </c>
      <c r="AD638">
        <f t="shared" si="577"/>
        <v>0</v>
      </c>
      <c r="AE638">
        <f t="shared" si="578"/>
        <v>0</v>
      </c>
      <c r="AF638">
        <f t="shared" si="579"/>
        <v>1092.04</v>
      </c>
      <c r="AG638">
        <f t="shared" si="580"/>
        <v>0</v>
      </c>
      <c r="AH638">
        <f t="shared" si="581"/>
        <v>2.04</v>
      </c>
      <c r="AI638">
        <f t="shared" si="582"/>
        <v>0</v>
      </c>
      <c r="AJ638">
        <f t="shared" si="583"/>
        <v>0</v>
      </c>
      <c r="AK638">
        <v>1092.04</v>
      </c>
      <c r="AL638">
        <v>0</v>
      </c>
      <c r="AM638">
        <v>0</v>
      </c>
      <c r="AN638">
        <v>0</v>
      </c>
      <c r="AO638">
        <v>1092.04</v>
      </c>
      <c r="AP638">
        <v>0</v>
      </c>
      <c r="AQ638">
        <v>2.04</v>
      </c>
      <c r="AR638">
        <v>0</v>
      </c>
      <c r="AS638">
        <v>0</v>
      </c>
      <c r="AT638">
        <v>70</v>
      </c>
      <c r="AU638">
        <v>10</v>
      </c>
      <c r="AV638">
        <v>1</v>
      </c>
      <c r="AW638">
        <v>1</v>
      </c>
      <c r="AZ638">
        <v>1</v>
      </c>
      <c r="BA638">
        <v>1</v>
      </c>
      <c r="BB638">
        <v>1</v>
      </c>
      <c r="BC638">
        <v>1</v>
      </c>
      <c r="BD638" t="s">
        <v>3</v>
      </c>
      <c r="BE638" t="s">
        <v>3</v>
      </c>
      <c r="BF638" t="s">
        <v>3</v>
      </c>
      <c r="BG638" t="s">
        <v>3</v>
      </c>
      <c r="BH638">
        <v>0</v>
      </c>
      <c r="BI638">
        <v>4</v>
      </c>
      <c r="BJ638" t="s">
        <v>512</v>
      </c>
      <c r="BM638">
        <v>0</v>
      </c>
      <c r="BN638">
        <v>0</v>
      </c>
      <c r="BO638" t="s">
        <v>3</v>
      </c>
      <c r="BP638">
        <v>0</v>
      </c>
      <c r="BQ638">
        <v>1</v>
      </c>
      <c r="BR638">
        <v>0</v>
      </c>
      <c r="BS638">
        <v>1</v>
      </c>
      <c r="BT638">
        <v>1</v>
      </c>
      <c r="BU638">
        <v>1</v>
      </c>
      <c r="BV638">
        <v>1</v>
      </c>
      <c r="BW638">
        <v>1</v>
      </c>
      <c r="BX638">
        <v>1</v>
      </c>
      <c r="BY638" t="s">
        <v>3</v>
      </c>
      <c r="BZ638">
        <v>70</v>
      </c>
      <c r="CA638">
        <v>10</v>
      </c>
      <c r="CB638" t="s">
        <v>3</v>
      </c>
      <c r="CE638">
        <v>0</v>
      </c>
      <c r="CF638">
        <v>0</v>
      </c>
      <c r="CG638">
        <v>0</v>
      </c>
      <c r="CM638">
        <v>0</v>
      </c>
      <c r="CN638" t="s">
        <v>3</v>
      </c>
      <c r="CO638">
        <v>0</v>
      </c>
      <c r="CP638">
        <f t="shared" si="584"/>
        <v>163.81</v>
      </c>
      <c r="CQ638">
        <f t="shared" si="585"/>
        <v>0</v>
      </c>
      <c r="CR638">
        <f t="shared" si="586"/>
        <v>0</v>
      </c>
      <c r="CS638">
        <f t="shared" si="587"/>
        <v>0</v>
      </c>
      <c r="CT638">
        <f t="shared" si="588"/>
        <v>1092.04</v>
      </c>
      <c r="CU638">
        <f t="shared" si="589"/>
        <v>0</v>
      </c>
      <c r="CV638">
        <f t="shared" si="590"/>
        <v>2.04</v>
      </c>
      <c r="CW638">
        <f t="shared" si="591"/>
        <v>0</v>
      </c>
      <c r="CX638">
        <f t="shared" si="592"/>
        <v>0</v>
      </c>
      <c r="CY638">
        <f t="shared" si="593"/>
        <v>114.667</v>
      </c>
      <c r="CZ638">
        <f t="shared" si="594"/>
        <v>16.381</v>
      </c>
      <c r="DC638" t="s">
        <v>3</v>
      </c>
      <c r="DD638" t="s">
        <v>3</v>
      </c>
      <c r="DE638" t="s">
        <v>3</v>
      </c>
      <c r="DF638" t="s">
        <v>3</v>
      </c>
      <c r="DG638" t="s">
        <v>3</v>
      </c>
      <c r="DH638" t="s">
        <v>3</v>
      </c>
      <c r="DI638" t="s">
        <v>3</v>
      </c>
      <c r="DJ638" t="s">
        <v>3</v>
      </c>
      <c r="DK638" t="s">
        <v>3</v>
      </c>
      <c r="DL638" t="s">
        <v>3</v>
      </c>
      <c r="DM638" t="s">
        <v>3</v>
      </c>
      <c r="DN638">
        <v>0</v>
      </c>
      <c r="DO638">
        <v>0</v>
      </c>
      <c r="DP638">
        <v>1</v>
      </c>
      <c r="DQ638">
        <v>1</v>
      </c>
      <c r="DU638">
        <v>1003</v>
      </c>
      <c r="DV638" t="s">
        <v>20</v>
      </c>
      <c r="DW638" t="s">
        <v>20</v>
      </c>
      <c r="DX638">
        <v>100</v>
      </c>
      <c r="DZ638" t="s">
        <v>3</v>
      </c>
      <c r="EA638" t="s">
        <v>3</v>
      </c>
      <c r="EB638" t="s">
        <v>3</v>
      </c>
      <c r="EC638" t="s">
        <v>3</v>
      </c>
      <c r="EE638">
        <v>1441815344</v>
      </c>
      <c r="EF638">
        <v>1</v>
      </c>
      <c r="EG638" t="s">
        <v>23</v>
      </c>
      <c r="EH638">
        <v>0</v>
      </c>
      <c r="EI638" t="s">
        <v>3</v>
      </c>
      <c r="EJ638">
        <v>4</v>
      </c>
      <c r="EK638">
        <v>0</v>
      </c>
      <c r="EL638" t="s">
        <v>24</v>
      </c>
      <c r="EM638" t="s">
        <v>25</v>
      </c>
      <c r="EO638" t="s">
        <v>3</v>
      </c>
      <c r="EQ638">
        <v>0</v>
      </c>
      <c r="ER638">
        <v>1092.04</v>
      </c>
      <c r="ES638">
        <v>0</v>
      </c>
      <c r="ET638">
        <v>0</v>
      </c>
      <c r="EU638">
        <v>0</v>
      </c>
      <c r="EV638">
        <v>1092.04</v>
      </c>
      <c r="EW638">
        <v>2.04</v>
      </c>
      <c r="EX638">
        <v>0</v>
      </c>
      <c r="EY638">
        <v>0</v>
      </c>
      <c r="FQ638">
        <v>0</v>
      </c>
      <c r="FR638">
        <f t="shared" si="595"/>
        <v>0</v>
      </c>
      <c r="FS638">
        <v>0</v>
      </c>
      <c r="FX638">
        <v>70</v>
      </c>
      <c r="FY638">
        <v>10</v>
      </c>
      <c r="GA638" t="s">
        <v>3</v>
      </c>
      <c r="GD638">
        <v>0</v>
      </c>
      <c r="GF638">
        <v>-1924419775</v>
      </c>
      <c r="GG638">
        <v>2</v>
      </c>
      <c r="GH638">
        <v>1</v>
      </c>
      <c r="GI638">
        <v>-2</v>
      </c>
      <c r="GJ638">
        <v>0</v>
      </c>
      <c r="GK638">
        <f>ROUND(R638*(R12)/100,2)</f>
        <v>0</v>
      </c>
      <c r="GL638">
        <f t="shared" si="596"/>
        <v>0</v>
      </c>
      <c r="GM638">
        <f t="shared" si="597"/>
        <v>294.86</v>
      </c>
      <c r="GN638">
        <f t="shared" si="598"/>
        <v>0</v>
      </c>
      <c r="GO638">
        <f t="shared" si="599"/>
        <v>0</v>
      </c>
      <c r="GP638">
        <f t="shared" si="600"/>
        <v>294.86</v>
      </c>
      <c r="GR638">
        <v>0</v>
      </c>
      <c r="GS638">
        <v>3</v>
      </c>
      <c r="GT638">
        <v>0</v>
      </c>
      <c r="GU638" t="s">
        <v>3</v>
      </c>
      <c r="GV638">
        <f t="shared" si="601"/>
        <v>0</v>
      </c>
      <c r="GW638">
        <v>1</v>
      </c>
      <c r="GX638">
        <f t="shared" si="602"/>
        <v>0</v>
      </c>
      <c r="HA638">
        <v>0</v>
      </c>
      <c r="HB638">
        <v>0</v>
      </c>
      <c r="HC638">
        <f t="shared" si="603"/>
        <v>0</v>
      </c>
      <c r="HE638" t="s">
        <v>3</v>
      </c>
      <c r="HF638" t="s">
        <v>3</v>
      </c>
      <c r="HM638" t="s">
        <v>3</v>
      </c>
      <c r="HN638" t="s">
        <v>3</v>
      </c>
      <c r="HO638" t="s">
        <v>3</v>
      </c>
      <c r="HP638" t="s">
        <v>3</v>
      </c>
      <c r="HQ638" t="s">
        <v>3</v>
      </c>
      <c r="IK638">
        <v>0</v>
      </c>
    </row>
    <row r="639" spans="1:245" x14ac:dyDescent="0.2">
      <c r="A639">
        <v>17</v>
      </c>
      <c r="B639">
        <v>1</v>
      </c>
      <c r="D639">
        <f>ROW(EtalonRes!A569)</f>
        <v>569</v>
      </c>
      <c r="E639" t="s">
        <v>3</v>
      </c>
      <c r="F639" t="s">
        <v>513</v>
      </c>
      <c r="G639" t="s">
        <v>514</v>
      </c>
      <c r="H639" t="s">
        <v>20</v>
      </c>
      <c r="I639">
        <f>ROUND(ROUND((5+80+60+5+80+60+5+80+60+5+60+130+120)*0.1/100,9),9)</f>
        <v>0.75</v>
      </c>
      <c r="J639">
        <v>0</v>
      </c>
      <c r="K639">
        <f>ROUND(ROUND((5+80+60+5+80+60+5+80+60+5+60+130+120)*0.1/100,9),9)</f>
        <v>0.75</v>
      </c>
      <c r="O639">
        <f t="shared" si="564"/>
        <v>152.86000000000001</v>
      </c>
      <c r="P639">
        <f t="shared" si="565"/>
        <v>0.28999999999999998</v>
      </c>
      <c r="Q639">
        <f t="shared" si="566"/>
        <v>0</v>
      </c>
      <c r="R639">
        <f t="shared" si="567"/>
        <v>0</v>
      </c>
      <c r="S639">
        <f t="shared" si="568"/>
        <v>152.57</v>
      </c>
      <c r="T639">
        <f t="shared" si="569"/>
        <v>0</v>
      </c>
      <c r="U639">
        <f t="shared" si="570"/>
        <v>0.28500000000000003</v>
      </c>
      <c r="V639">
        <f t="shared" si="571"/>
        <v>0</v>
      </c>
      <c r="W639">
        <f t="shared" si="572"/>
        <v>0</v>
      </c>
      <c r="X639">
        <f t="shared" si="573"/>
        <v>106.8</v>
      </c>
      <c r="Y639">
        <f t="shared" si="574"/>
        <v>15.26</v>
      </c>
      <c r="AA639">
        <v>-1</v>
      </c>
      <c r="AB639">
        <f t="shared" si="575"/>
        <v>203.8</v>
      </c>
      <c r="AC639">
        <f t="shared" si="576"/>
        <v>0.38</v>
      </c>
      <c r="AD639">
        <f t="shared" si="577"/>
        <v>0</v>
      </c>
      <c r="AE639">
        <f t="shared" si="578"/>
        <v>0</v>
      </c>
      <c r="AF639">
        <f t="shared" si="579"/>
        <v>203.42</v>
      </c>
      <c r="AG639">
        <f t="shared" si="580"/>
        <v>0</v>
      </c>
      <c r="AH639">
        <f t="shared" si="581"/>
        <v>0.38</v>
      </c>
      <c r="AI639">
        <f t="shared" si="582"/>
        <v>0</v>
      </c>
      <c r="AJ639">
        <f t="shared" si="583"/>
        <v>0</v>
      </c>
      <c r="AK639">
        <v>203.8</v>
      </c>
      <c r="AL639">
        <v>0.38</v>
      </c>
      <c r="AM639">
        <v>0</v>
      </c>
      <c r="AN639">
        <v>0</v>
      </c>
      <c r="AO639">
        <v>203.42</v>
      </c>
      <c r="AP639">
        <v>0</v>
      </c>
      <c r="AQ639">
        <v>0.38</v>
      </c>
      <c r="AR639">
        <v>0</v>
      </c>
      <c r="AS639">
        <v>0</v>
      </c>
      <c r="AT639">
        <v>70</v>
      </c>
      <c r="AU639">
        <v>10</v>
      </c>
      <c r="AV639">
        <v>1</v>
      </c>
      <c r="AW639">
        <v>1</v>
      </c>
      <c r="AZ639">
        <v>1</v>
      </c>
      <c r="BA639">
        <v>1</v>
      </c>
      <c r="BB639">
        <v>1</v>
      </c>
      <c r="BC639">
        <v>1</v>
      </c>
      <c r="BD639" t="s">
        <v>3</v>
      </c>
      <c r="BE639" t="s">
        <v>3</v>
      </c>
      <c r="BF639" t="s">
        <v>3</v>
      </c>
      <c r="BG639" t="s">
        <v>3</v>
      </c>
      <c r="BH639">
        <v>0</v>
      </c>
      <c r="BI639">
        <v>4</v>
      </c>
      <c r="BJ639" t="s">
        <v>515</v>
      </c>
      <c r="BM639">
        <v>0</v>
      </c>
      <c r="BN639">
        <v>0</v>
      </c>
      <c r="BO639" t="s">
        <v>3</v>
      </c>
      <c r="BP639">
        <v>0</v>
      </c>
      <c r="BQ639">
        <v>1</v>
      </c>
      <c r="BR639">
        <v>0</v>
      </c>
      <c r="BS639">
        <v>1</v>
      </c>
      <c r="BT639">
        <v>1</v>
      </c>
      <c r="BU639">
        <v>1</v>
      </c>
      <c r="BV639">
        <v>1</v>
      </c>
      <c r="BW639">
        <v>1</v>
      </c>
      <c r="BX639">
        <v>1</v>
      </c>
      <c r="BY639" t="s">
        <v>3</v>
      </c>
      <c r="BZ639">
        <v>70</v>
      </c>
      <c r="CA639">
        <v>10</v>
      </c>
      <c r="CB639" t="s">
        <v>3</v>
      </c>
      <c r="CE639">
        <v>0</v>
      </c>
      <c r="CF639">
        <v>0</v>
      </c>
      <c r="CG639">
        <v>0</v>
      </c>
      <c r="CM639">
        <v>0</v>
      </c>
      <c r="CN639" t="s">
        <v>3</v>
      </c>
      <c r="CO639">
        <v>0</v>
      </c>
      <c r="CP639">
        <f t="shared" si="584"/>
        <v>152.85999999999999</v>
      </c>
      <c r="CQ639">
        <f t="shared" si="585"/>
        <v>0.38</v>
      </c>
      <c r="CR639">
        <f t="shared" si="586"/>
        <v>0</v>
      </c>
      <c r="CS639">
        <f t="shared" si="587"/>
        <v>0</v>
      </c>
      <c r="CT639">
        <f t="shared" si="588"/>
        <v>203.42</v>
      </c>
      <c r="CU639">
        <f t="shared" si="589"/>
        <v>0</v>
      </c>
      <c r="CV639">
        <f t="shared" si="590"/>
        <v>0.38</v>
      </c>
      <c r="CW639">
        <f t="shared" si="591"/>
        <v>0</v>
      </c>
      <c r="CX639">
        <f t="shared" si="592"/>
        <v>0</v>
      </c>
      <c r="CY639">
        <f t="shared" si="593"/>
        <v>106.79899999999999</v>
      </c>
      <c r="CZ639">
        <f t="shared" si="594"/>
        <v>15.256999999999998</v>
      </c>
      <c r="DC639" t="s">
        <v>3</v>
      </c>
      <c r="DD639" t="s">
        <v>3</v>
      </c>
      <c r="DE639" t="s">
        <v>3</v>
      </c>
      <c r="DF639" t="s">
        <v>3</v>
      </c>
      <c r="DG639" t="s">
        <v>3</v>
      </c>
      <c r="DH639" t="s">
        <v>3</v>
      </c>
      <c r="DI639" t="s">
        <v>3</v>
      </c>
      <c r="DJ639" t="s">
        <v>3</v>
      </c>
      <c r="DK639" t="s">
        <v>3</v>
      </c>
      <c r="DL639" t="s">
        <v>3</v>
      </c>
      <c r="DM639" t="s">
        <v>3</v>
      </c>
      <c r="DN639">
        <v>0</v>
      </c>
      <c r="DO639">
        <v>0</v>
      </c>
      <c r="DP639">
        <v>1</v>
      </c>
      <c r="DQ639">
        <v>1</v>
      </c>
      <c r="DU639">
        <v>1003</v>
      </c>
      <c r="DV639" t="s">
        <v>20</v>
      </c>
      <c r="DW639" t="s">
        <v>20</v>
      </c>
      <c r="DX639">
        <v>100</v>
      </c>
      <c r="DZ639" t="s">
        <v>3</v>
      </c>
      <c r="EA639" t="s">
        <v>3</v>
      </c>
      <c r="EB639" t="s">
        <v>3</v>
      </c>
      <c r="EC639" t="s">
        <v>3</v>
      </c>
      <c r="EE639">
        <v>1441815344</v>
      </c>
      <c r="EF639">
        <v>1</v>
      </c>
      <c r="EG639" t="s">
        <v>23</v>
      </c>
      <c r="EH639">
        <v>0</v>
      </c>
      <c r="EI639" t="s">
        <v>3</v>
      </c>
      <c r="EJ639">
        <v>4</v>
      </c>
      <c r="EK639">
        <v>0</v>
      </c>
      <c r="EL639" t="s">
        <v>24</v>
      </c>
      <c r="EM639" t="s">
        <v>25</v>
      </c>
      <c r="EO639" t="s">
        <v>3</v>
      </c>
      <c r="EQ639">
        <v>1024</v>
      </c>
      <c r="ER639">
        <v>203.8</v>
      </c>
      <c r="ES639">
        <v>0.38</v>
      </c>
      <c r="ET639">
        <v>0</v>
      </c>
      <c r="EU639">
        <v>0</v>
      </c>
      <c r="EV639">
        <v>203.42</v>
      </c>
      <c r="EW639">
        <v>0.38</v>
      </c>
      <c r="EX639">
        <v>0</v>
      </c>
      <c r="EY639">
        <v>0</v>
      </c>
      <c r="FQ639">
        <v>0</v>
      </c>
      <c r="FR639">
        <f t="shared" si="595"/>
        <v>0</v>
      </c>
      <c r="FS639">
        <v>0</v>
      </c>
      <c r="FX639">
        <v>70</v>
      </c>
      <c r="FY639">
        <v>10</v>
      </c>
      <c r="GA639" t="s">
        <v>3</v>
      </c>
      <c r="GD639">
        <v>0</v>
      </c>
      <c r="GF639">
        <v>1975169579</v>
      </c>
      <c r="GG639">
        <v>2</v>
      </c>
      <c r="GH639">
        <v>1</v>
      </c>
      <c r="GI639">
        <v>-2</v>
      </c>
      <c r="GJ639">
        <v>0</v>
      </c>
      <c r="GK639">
        <f>ROUND(R639*(R12)/100,2)</f>
        <v>0</v>
      </c>
      <c r="GL639">
        <f t="shared" si="596"/>
        <v>0</v>
      </c>
      <c r="GM639">
        <f t="shared" si="597"/>
        <v>274.92</v>
      </c>
      <c r="GN639">
        <f t="shared" si="598"/>
        <v>0</v>
      </c>
      <c r="GO639">
        <f t="shared" si="599"/>
        <v>0</v>
      </c>
      <c r="GP639">
        <f t="shared" si="600"/>
        <v>274.92</v>
      </c>
      <c r="GR639">
        <v>0</v>
      </c>
      <c r="GS639">
        <v>3</v>
      </c>
      <c r="GT639">
        <v>0</v>
      </c>
      <c r="GU639" t="s">
        <v>3</v>
      </c>
      <c r="GV639">
        <f t="shared" si="601"/>
        <v>0</v>
      </c>
      <c r="GW639">
        <v>1</v>
      </c>
      <c r="GX639">
        <f t="shared" si="602"/>
        <v>0</v>
      </c>
      <c r="HA639">
        <v>0</v>
      </c>
      <c r="HB639">
        <v>0</v>
      </c>
      <c r="HC639">
        <f t="shared" si="603"/>
        <v>0</v>
      </c>
      <c r="HE639" t="s">
        <v>3</v>
      </c>
      <c r="HF639" t="s">
        <v>3</v>
      </c>
      <c r="HM639" t="s">
        <v>3</v>
      </c>
      <c r="HN639" t="s">
        <v>3</v>
      </c>
      <c r="HO639" t="s">
        <v>3</v>
      </c>
      <c r="HP639" t="s">
        <v>3</v>
      </c>
      <c r="HQ639" t="s">
        <v>3</v>
      </c>
      <c r="IK639">
        <v>0</v>
      </c>
    </row>
    <row r="641" spans="1:206" x14ac:dyDescent="0.2">
      <c r="A641" s="2">
        <v>51</v>
      </c>
      <c r="B641" s="2">
        <f>B600</f>
        <v>1</v>
      </c>
      <c r="C641" s="2">
        <f>A600</f>
        <v>5</v>
      </c>
      <c r="D641" s="2">
        <f>ROW(A600)</f>
        <v>600</v>
      </c>
      <c r="E641" s="2"/>
      <c r="F641" s="2" t="str">
        <f>IF(F600&lt;&gt;"",F600,"")</f>
        <v>Новый подраздел</v>
      </c>
      <c r="G641" s="2" t="str">
        <f>IF(G600&lt;&gt;"",G600,"")</f>
        <v>Силовое электрооборудование</v>
      </c>
      <c r="H641" s="2">
        <v>0</v>
      </c>
      <c r="I641" s="2"/>
      <c r="J641" s="2"/>
      <c r="K641" s="2"/>
      <c r="L641" s="2"/>
      <c r="M641" s="2"/>
      <c r="N641" s="2"/>
      <c r="O641" s="2">
        <f t="shared" ref="O641:T641" si="604">ROUND(AB641,2)</f>
        <v>254521.14</v>
      </c>
      <c r="P641" s="2">
        <f t="shared" si="604"/>
        <v>3234.53</v>
      </c>
      <c r="Q641" s="2">
        <f t="shared" si="604"/>
        <v>0</v>
      </c>
      <c r="R641" s="2">
        <f t="shared" si="604"/>
        <v>0</v>
      </c>
      <c r="S641" s="2">
        <f t="shared" si="604"/>
        <v>251286.61</v>
      </c>
      <c r="T641" s="2">
        <f t="shared" si="604"/>
        <v>0</v>
      </c>
      <c r="U641" s="2">
        <f>AH641</f>
        <v>406.14055199999996</v>
      </c>
      <c r="V641" s="2">
        <f>AI641</f>
        <v>0</v>
      </c>
      <c r="W641" s="2">
        <f>ROUND(AJ641,2)</f>
        <v>0</v>
      </c>
      <c r="X641" s="2">
        <f>ROUND(AK641,2)</f>
        <v>175900.62</v>
      </c>
      <c r="Y641" s="2">
        <f>ROUND(AL641,2)</f>
        <v>25128.66</v>
      </c>
      <c r="Z641" s="2"/>
      <c r="AA641" s="2"/>
      <c r="AB641" s="2">
        <f>ROUND(SUMIF(AA604:AA639,"=1472224561",O604:O639),2)</f>
        <v>254521.14</v>
      </c>
      <c r="AC641" s="2">
        <f>ROUND(SUMIF(AA604:AA639,"=1472224561",P604:P639),2)</f>
        <v>3234.53</v>
      </c>
      <c r="AD641" s="2">
        <f>ROUND(SUMIF(AA604:AA639,"=1472224561",Q604:Q639),2)</f>
        <v>0</v>
      </c>
      <c r="AE641" s="2">
        <f>ROUND(SUMIF(AA604:AA639,"=1472224561",R604:R639),2)</f>
        <v>0</v>
      </c>
      <c r="AF641" s="2">
        <f>ROUND(SUMIF(AA604:AA639,"=1472224561",S604:S639),2)</f>
        <v>251286.61</v>
      </c>
      <c r="AG641" s="2">
        <f>ROUND(SUMIF(AA604:AA639,"=1472224561",T604:T639),2)</f>
        <v>0</v>
      </c>
      <c r="AH641" s="2">
        <f>SUMIF(AA604:AA639,"=1472224561",U604:U639)</f>
        <v>406.14055199999996</v>
      </c>
      <c r="AI641" s="2">
        <f>SUMIF(AA604:AA639,"=1472224561",V604:V639)</f>
        <v>0</v>
      </c>
      <c r="AJ641" s="2">
        <f>ROUND(SUMIF(AA604:AA639,"=1472224561",W604:W639),2)</f>
        <v>0</v>
      </c>
      <c r="AK641" s="2">
        <f>ROUND(SUMIF(AA604:AA639,"=1472224561",X604:X639),2)</f>
        <v>175900.62</v>
      </c>
      <c r="AL641" s="2">
        <f>ROUND(SUMIF(AA604:AA639,"=1472224561",Y604:Y639),2)</f>
        <v>25128.66</v>
      </c>
      <c r="AM641" s="2"/>
      <c r="AN641" s="2"/>
      <c r="AO641" s="2">
        <f t="shared" ref="AO641:BD641" si="605">ROUND(BX641,2)</f>
        <v>0</v>
      </c>
      <c r="AP641" s="2">
        <f t="shared" si="605"/>
        <v>0</v>
      </c>
      <c r="AQ641" s="2">
        <f t="shared" si="605"/>
        <v>0</v>
      </c>
      <c r="AR641" s="2">
        <f t="shared" si="605"/>
        <v>455550.42</v>
      </c>
      <c r="AS641" s="2">
        <f t="shared" si="605"/>
        <v>0</v>
      </c>
      <c r="AT641" s="2">
        <f t="shared" si="605"/>
        <v>0</v>
      </c>
      <c r="AU641" s="2">
        <f t="shared" si="605"/>
        <v>455550.42</v>
      </c>
      <c r="AV641" s="2">
        <f t="shared" si="605"/>
        <v>3234.53</v>
      </c>
      <c r="AW641" s="2">
        <f t="shared" si="605"/>
        <v>3234.53</v>
      </c>
      <c r="AX641" s="2">
        <f t="shared" si="605"/>
        <v>0</v>
      </c>
      <c r="AY641" s="2">
        <f t="shared" si="605"/>
        <v>3234.53</v>
      </c>
      <c r="AZ641" s="2">
        <f t="shared" si="605"/>
        <v>0</v>
      </c>
      <c r="BA641" s="2">
        <f t="shared" si="605"/>
        <v>0</v>
      </c>
      <c r="BB641" s="2">
        <f t="shared" si="605"/>
        <v>0</v>
      </c>
      <c r="BC641" s="2">
        <f t="shared" si="605"/>
        <v>0</v>
      </c>
      <c r="BD641" s="2">
        <f t="shared" si="605"/>
        <v>0</v>
      </c>
      <c r="BE641" s="2"/>
      <c r="BF641" s="2"/>
      <c r="BG641" s="2"/>
      <c r="BH641" s="2"/>
      <c r="BI641" s="2"/>
      <c r="BJ641" s="2"/>
      <c r="BK641" s="2"/>
      <c r="BL641" s="2"/>
      <c r="BM641" s="2"/>
      <c r="BN641" s="2"/>
      <c r="BO641" s="2"/>
      <c r="BP641" s="2"/>
      <c r="BQ641" s="2"/>
      <c r="BR641" s="2"/>
      <c r="BS641" s="2"/>
      <c r="BT641" s="2"/>
      <c r="BU641" s="2"/>
      <c r="BV641" s="2"/>
      <c r="BW641" s="2"/>
      <c r="BX641" s="2">
        <f>ROUND(SUMIF(AA604:AA639,"=1472224561",FQ604:FQ639),2)</f>
        <v>0</v>
      </c>
      <c r="BY641" s="2">
        <f>ROUND(SUMIF(AA604:AA639,"=1472224561",FR604:FR639),2)</f>
        <v>0</v>
      </c>
      <c r="BZ641" s="2">
        <f>ROUND(SUMIF(AA604:AA639,"=1472224561",GL604:GL639),2)</f>
        <v>0</v>
      </c>
      <c r="CA641" s="2">
        <f>ROUND(SUMIF(AA604:AA639,"=1472224561",GM604:GM639),2)</f>
        <v>455550.42</v>
      </c>
      <c r="CB641" s="2">
        <f>ROUND(SUMIF(AA604:AA639,"=1472224561",GN604:GN639),2)</f>
        <v>0</v>
      </c>
      <c r="CC641" s="2">
        <f>ROUND(SUMIF(AA604:AA639,"=1472224561",GO604:GO639),2)</f>
        <v>0</v>
      </c>
      <c r="CD641" s="2">
        <f>ROUND(SUMIF(AA604:AA639,"=1472224561",GP604:GP639),2)</f>
        <v>455550.42</v>
      </c>
      <c r="CE641" s="2">
        <f>AC641-BX641</f>
        <v>3234.53</v>
      </c>
      <c r="CF641" s="2">
        <f>AC641-BY641</f>
        <v>3234.53</v>
      </c>
      <c r="CG641" s="2">
        <f>BX641-BZ641</f>
        <v>0</v>
      </c>
      <c r="CH641" s="2">
        <f>AC641-BX641-BY641+BZ641</f>
        <v>3234.53</v>
      </c>
      <c r="CI641" s="2">
        <f>BY641-BZ641</f>
        <v>0</v>
      </c>
      <c r="CJ641" s="2">
        <f>ROUND(SUMIF(AA604:AA639,"=1472224561",GX604:GX639),2)</f>
        <v>0</v>
      </c>
      <c r="CK641" s="2">
        <f>ROUND(SUMIF(AA604:AA639,"=1472224561",GY604:GY639),2)</f>
        <v>0</v>
      </c>
      <c r="CL641" s="2">
        <f>ROUND(SUMIF(AA604:AA639,"=1472224561",GZ604:GZ639),2)</f>
        <v>0</v>
      </c>
      <c r="CM641" s="2">
        <f>ROUND(SUMIF(AA604:AA639,"=1472224561",HD604:HD639),2)</f>
        <v>0</v>
      </c>
      <c r="CN641" s="2"/>
      <c r="CO641" s="2"/>
      <c r="CP641" s="2"/>
      <c r="CQ641" s="2"/>
      <c r="CR641" s="2"/>
      <c r="CS641" s="2"/>
      <c r="CT641" s="2"/>
      <c r="CU641" s="2"/>
      <c r="CV641" s="2"/>
      <c r="CW641" s="2"/>
      <c r="CX641" s="2"/>
      <c r="CY641" s="2"/>
      <c r="CZ641" s="2"/>
      <c r="DA641" s="2"/>
      <c r="DB641" s="2"/>
      <c r="DC641" s="2"/>
      <c r="DD641" s="2"/>
      <c r="DE641" s="2"/>
      <c r="DF641" s="2"/>
      <c r="DG641" s="3"/>
      <c r="DH641" s="3"/>
      <c r="DI641" s="3"/>
      <c r="DJ641" s="3"/>
      <c r="DK641" s="3"/>
      <c r="DL641" s="3"/>
      <c r="DM641" s="3"/>
      <c r="DN641" s="3"/>
      <c r="DO641" s="3"/>
      <c r="DP641" s="3"/>
      <c r="DQ641" s="3"/>
      <c r="DR641" s="3"/>
      <c r="DS641" s="3"/>
      <c r="DT641" s="3"/>
      <c r="DU641" s="3"/>
      <c r="DV641" s="3"/>
      <c r="DW641" s="3"/>
      <c r="DX641" s="3"/>
      <c r="DY641" s="3"/>
      <c r="DZ641" s="3"/>
      <c r="EA641" s="3"/>
      <c r="EB641" s="3"/>
      <c r="EC641" s="3"/>
      <c r="ED641" s="3"/>
      <c r="EE641" s="3"/>
      <c r="EF641" s="3"/>
      <c r="EG641" s="3"/>
      <c r="EH641" s="3"/>
      <c r="EI641" s="3"/>
      <c r="EJ641" s="3"/>
      <c r="EK641" s="3"/>
      <c r="EL641" s="3"/>
      <c r="EM641" s="3"/>
      <c r="EN641" s="3"/>
      <c r="EO641" s="3"/>
      <c r="EP641" s="3"/>
      <c r="EQ641" s="3"/>
      <c r="ER641" s="3"/>
      <c r="ES641" s="3"/>
      <c r="ET641" s="3"/>
      <c r="EU641" s="3"/>
      <c r="EV641" s="3"/>
      <c r="EW641" s="3"/>
      <c r="EX641" s="3"/>
      <c r="EY641" s="3"/>
      <c r="EZ641" s="3"/>
      <c r="FA641" s="3"/>
      <c r="FB641" s="3"/>
      <c r="FC641" s="3"/>
      <c r="FD641" s="3"/>
      <c r="FE641" s="3"/>
      <c r="FF641" s="3"/>
      <c r="FG641" s="3"/>
      <c r="FH641" s="3"/>
      <c r="FI641" s="3"/>
      <c r="FJ641" s="3"/>
      <c r="FK641" s="3"/>
      <c r="FL641" s="3"/>
      <c r="FM641" s="3"/>
      <c r="FN641" s="3"/>
      <c r="FO641" s="3"/>
      <c r="FP641" s="3"/>
      <c r="FQ641" s="3"/>
      <c r="FR641" s="3"/>
      <c r="FS641" s="3"/>
      <c r="FT641" s="3"/>
      <c r="FU641" s="3"/>
      <c r="FV641" s="3"/>
      <c r="FW641" s="3"/>
      <c r="FX641" s="3"/>
      <c r="FY641" s="3"/>
      <c r="FZ641" s="3"/>
      <c r="GA641" s="3"/>
      <c r="GB641" s="3"/>
      <c r="GC641" s="3"/>
      <c r="GD641" s="3"/>
      <c r="GE641" s="3"/>
      <c r="GF641" s="3"/>
      <c r="GG641" s="3"/>
      <c r="GH641" s="3"/>
      <c r="GI641" s="3"/>
      <c r="GJ641" s="3"/>
      <c r="GK641" s="3"/>
      <c r="GL641" s="3"/>
      <c r="GM641" s="3"/>
      <c r="GN641" s="3"/>
      <c r="GO641" s="3"/>
      <c r="GP641" s="3"/>
      <c r="GQ641" s="3"/>
      <c r="GR641" s="3"/>
      <c r="GS641" s="3"/>
      <c r="GT641" s="3"/>
      <c r="GU641" s="3"/>
      <c r="GV641" s="3"/>
      <c r="GW641" s="3"/>
      <c r="GX641" s="3">
        <v>0</v>
      </c>
    </row>
    <row r="643" spans="1:206" x14ac:dyDescent="0.2">
      <c r="A643" s="4">
        <v>50</v>
      </c>
      <c r="B643" s="4">
        <v>0</v>
      </c>
      <c r="C643" s="4">
        <v>0</v>
      </c>
      <c r="D643" s="4">
        <v>1</v>
      </c>
      <c r="E643" s="4">
        <v>201</v>
      </c>
      <c r="F643" s="4">
        <f>ROUND(Source!O641,O643)</f>
        <v>254521.14</v>
      </c>
      <c r="G643" s="4" t="s">
        <v>46</v>
      </c>
      <c r="H643" s="4" t="s">
        <v>47</v>
      </c>
      <c r="I643" s="4"/>
      <c r="J643" s="4"/>
      <c r="K643" s="4">
        <v>201</v>
      </c>
      <c r="L643" s="4">
        <v>1</v>
      </c>
      <c r="M643" s="4">
        <v>3</v>
      </c>
      <c r="N643" s="4" t="s">
        <v>3</v>
      </c>
      <c r="O643" s="4">
        <v>2</v>
      </c>
      <c r="P643" s="4"/>
      <c r="Q643" s="4"/>
      <c r="R643" s="4"/>
      <c r="S643" s="4"/>
      <c r="T643" s="4"/>
      <c r="U643" s="4"/>
      <c r="V643" s="4"/>
      <c r="W643" s="4">
        <v>0</v>
      </c>
      <c r="X643" s="4">
        <v>1</v>
      </c>
      <c r="Y643" s="4">
        <v>0</v>
      </c>
      <c r="Z643" s="4"/>
      <c r="AA643" s="4"/>
      <c r="AB643" s="4"/>
    </row>
    <row r="644" spans="1:206" x14ac:dyDescent="0.2">
      <c r="A644" s="4">
        <v>50</v>
      </c>
      <c r="B644" s="4">
        <v>0</v>
      </c>
      <c r="C644" s="4">
        <v>0</v>
      </c>
      <c r="D644" s="4">
        <v>1</v>
      </c>
      <c r="E644" s="4">
        <v>202</v>
      </c>
      <c r="F644" s="4">
        <f>ROUND(Source!P641,O644)</f>
        <v>3234.53</v>
      </c>
      <c r="G644" s="4" t="s">
        <v>48</v>
      </c>
      <c r="H644" s="4" t="s">
        <v>49</v>
      </c>
      <c r="I644" s="4"/>
      <c r="J644" s="4"/>
      <c r="K644" s="4">
        <v>202</v>
      </c>
      <c r="L644" s="4">
        <v>2</v>
      </c>
      <c r="M644" s="4">
        <v>3</v>
      </c>
      <c r="N644" s="4" t="s">
        <v>3</v>
      </c>
      <c r="O644" s="4">
        <v>2</v>
      </c>
      <c r="P644" s="4"/>
      <c r="Q644" s="4"/>
      <c r="R644" s="4"/>
      <c r="S644" s="4"/>
      <c r="T644" s="4"/>
      <c r="U644" s="4"/>
      <c r="V644" s="4"/>
      <c r="W644" s="4">
        <v>0</v>
      </c>
      <c r="X644" s="4">
        <v>1</v>
      </c>
      <c r="Y644" s="4">
        <v>0</v>
      </c>
      <c r="Z644" s="4"/>
      <c r="AA644" s="4"/>
      <c r="AB644" s="4"/>
    </row>
    <row r="645" spans="1:206" x14ac:dyDescent="0.2">
      <c r="A645" s="4">
        <v>50</v>
      </c>
      <c r="B645" s="4">
        <v>0</v>
      </c>
      <c r="C645" s="4">
        <v>0</v>
      </c>
      <c r="D645" s="4">
        <v>1</v>
      </c>
      <c r="E645" s="4">
        <v>222</v>
      </c>
      <c r="F645" s="4">
        <f>ROUND(Source!AO641,O645)</f>
        <v>0</v>
      </c>
      <c r="G645" s="4" t="s">
        <v>50</v>
      </c>
      <c r="H645" s="4" t="s">
        <v>51</v>
      </c>
      <c r="I645" s="4"/>
      <c r="J645" s="4"/>
      <c r="K645" s="4">
        <v>222</v>
      </c>
      <c r="L645" s="4">
        <v>3</v>
      </c>
      <c r="M645" s="4">
        <v>3</v>
      </c>
      <c r="N645" s="4" t="s">
        <v>3</v>
      </c>
      <c r="O645" s="4">
        <v>2</v>
      </c>
      <c r="P645" s="4"/>
      <c r="Q645" s="4"/>
      <c r="R645" s="4"/>
      <c r="S645" s="4"/>
      <c r="T645" s="4"/>
      <c r="U645" s="4"/>
      <c r="V645" s="4"/>
      <c r="W645" s="4">
        <v>0</v>
      </c>
      <c r="X645" s="4">
        <v>1</v>
      </c>
      <c r="Y645" s="4">
        <v>0</v>
      </c>
      <c r="Z645" s="4"/>
      <c r="AA645" s="4"/>
      <c r="AB645" s="4"/>
    </row>
    <row r="646" spans="1:206" x14ac:dyDescent="0.2">
      <c r="A646" s="4">
        <v>50</v>
      </c>
      <c r="B646" s="4">
        <v>0</v>
      </c>
      <c r="C646" s="4">
        <v>0</v>
      </c>
      <c r="D646" s="4">
        <v>1</v>
      </c>
      <c r="E646" s="4">
        <v>225</v>
      </c>
      <c r="F646" s="4">
        <f>ROUND(Source!AV641,O646)</f>
        <v>3234.53</v>
      </c>
      <c r="G646" s="4" t="s">
        <v>52</v>
      </c>
      <c r="H646" s="4" t="s">
        <v>53</v>
      </c>
      <c r="I646" s="4"/>
      <c r="J646" s="4"/>
      <c r="K646" s="4">
        <v>225</v>
      </c>
      <c r="L646" s="4">
        <v>4</v>
      </c>
      <c r="M646" s="4">
        <v>3</v>
      </c>
      <c r="N646" s="4" t="s">
        <v>3</v>
      </c>
      <c r="O646" s="4">
        <v>2</v>
      </c>
      <c r="P646" s="4"/>
      <c r="Q646" s="4"/>
      <c r="R646" s="4"/>
      <c r="S646" s="4"/>
      <c r="T646" s="4"/>
      <c r="U646" s="4"/>
      <c r="V646" s="4"/>
      <c r="W646" s="4">
        <v>0</v>
      </c>
      <c r="X646" s="4">
        <v>1</v>
      </c>
      <c r="Y646" s="4">
        <v>0</v>
      </c>
      <c r="Z646" s="4"/>
      <c r="AA646" s="4"/>
      <c r="AB646" s="4"/>
    </row>
    <row r="647" spans="1:206" x14ac:dyDescent="0.2">
      <c r="A647" s="4">
        <v>50</v>
      </c>
      <c r="B647" s="4">
        <v>0</v>
      </c>
      <c r="C647" s="4">
        <v>0</v>
      </c>
      <c r="D647" s="4">
        <v>1</v>
      </c>
      <c r="E647" s="4">
        <v>226</v>
      </c>
      <c r="F647" s="4">
        <f>ROUND(Source!AW641,O647)</f>
        <v>3234.53</v>
      </c>
      <c r="G647" s="4" t="s">
        <v>54</v>
      </c>
      <c r="H647" s="4" t="s">
        <v>55</v>
      </c>
      <c r="I647" s="4"/>
      <c r="J647" s="4"/>
      <c r="K647" s="4">
        <v>226</v>
      </c>
      <c r="L647" s="4">
        <v>5</v>
      </c>
      <c r="M647" s="4">
        <v>3</v>
      </c>
      <c r="N647" s="4" t="s">
        <v>3</v>
      </c>
      <c r="O647" s="4">
        <v>2</v>
      </c>
      <c r="P647" s="4"/>
      <c r="Q647" s="4"/>
      <c r="R647" s="4"/>
      <c r="S647" s="4"/>
      <c r="T647" s="4"/>
      <c r="U647" s="4"/>
      <c r="V647" s="4"/>
      <c r="W647" s="4">
        <v>0</v>
      </c>
      <c r="X647" s="4">
        <v>1</v>
      </c>
      <c r="Y647" s="4">
        <v>0</v>
      </c>
      <c r="Z647" s="4"/>
      <c r="AA647" s="4"/>
      <c r="AB647" s="4"/>
    </row>
    <row r="648" spans="1:206" x14ac:dyDescent="0.2">
      <c r="A648" s="4">
        <v>50</v>
      </c>
      <c r="B648" s="4">
        <v>0</v>
      </c>
      <c r="C648" s="4">
        <v>0</v>
      </c>
      <c r="D648" s="4">
        <v>1</v>
      </c>
      <c r="E648" s="4">
        <v>227</v>
      </c>
      <c r="F648" s="4">
        <f>ROUND(Source!AX641,O648)</f>
        <v>0</v>
      </c>
      <c r="G648" s="4" t="s">
        <v>56</v>
      </c>
      <c r="H648" s="4" t="s">
        <v>57</v>
      </c>
      <c r="I648" s="4"/>
      <c r="J648" s="4"/>
      <c r="K648" s="4">
        <v>227</v>
      </c>
      <c r="L648" s="4">
        <v>6</v>
      </c>
      <c r="M648" s="4">
        <v>3</v>
      </c>
      <c r="N648" s="4" t="s">
        <v>3</v>
      </c>
      <c r="O648" s="4">
        <v>2</v>
      </c>
      <c r="P648" s="4"/>
      <c r="Q648" s="4"/>
      <c r="R648" s="4"/>
      <c r="S648" s="4"/>
      <c r="T648" s="4"/>
      <c r="U648" s="4"/>
      <c r="V648" s="4"/>
      <c r="W648" s="4">
        <v>0</v>
      </c>
      <c r="X648" s="4">
        <v>1</v>
      </c>
      <c r="Y648" s="4">
        <v>0</v>
      </c>
      <c r="Z648" s="4"/>
      <c r="AA648" s="4"/>
      <c r="AB648" s="4"/>
    </row>
    <row r="649" spans="1:206" x14ac:dyDescent="0.2">
      <c r="A649" s="4">
        <v>50</v>
      </c>
      <c r="B649" s="4">
        <v>0</v>
      </c>
      <c r="C649" s="4">
        <v>0</v>
      </c>
      <c r="D649" s="4">
        <v>1</v>
      </c>
      <c r="E649" s="4">
        <v>228</v>
      </c>
      <c r="F649" s="4">
        <f>ROUND(Source!AY641,O649)</f>
        <v>3234.53</v>
      </c>
      <c r="G649" s="4" t="s">
        <v>58</v>
      </c>
      <c r="H649" s="4" t="s">
        <v>59</v>
      </c>
      <c r="I649" s="4"/>
      <c r="J649" s="4"/>
      <c r="K649" s="4">
        <v>228</v>
      </c>
      <c r="L649" s="4">
        <v>7</v>
      </c>
      <c r="M649" s="4">
        <v>3</v>
      </c>
      <c r="N649" s="4" t="s">
        <v>3</v>
      </c>
      <c r="O649" s="4">
        <v>2</v>
      </c>
      <c r="P649" s="4"/>
      <c r="Q649" s="4"/>
      <c r="R649" s="4"/>
      <c r="S649" s="4"/>
      <c r="T649" s="4"/>
      <c r="U649" s="4"/>
      <c r="V649" s="4"/>
      <c r="W649" s="4">
        <v>0</v>
      </c>
      <c r="X649" s="4">
        <v>1</v>
      </c>
      <c r="Y649" s="4">
        <v>0</v>
      </c>
      <c r="Z649" s="4"/>
      <c r="AA649" s="4"/>
      <c r="AB649" s="4"/>
    </row>
    <row r="650" spans="1:206" x14ac:dyDescent="0.2">
      <c r="A650" s="4">
        <v>50</v>
      </c>
      <c r="B650" s="4">
        <v>0</v>
      </c>
      <c r="C650" s="4">
        <v>0</v>
      </c>
      <c r="D650" s="4">
        <v>1</v>
      </c>
      <c r="E650" s="4">
        <v>216</v>
      </c>
      <c r="F650" s="4">
        <f>ROUND(Source!AP641,O650)</f>
        <v>0</v>
      </c>
      <c r="G650" s="4" t="s">
        <v>60</v>
      </c>
      <c r="H650" s="4" t="s">
        <v>61</v>
      </c>
      <c r="I650" s="4"/>
      <c r="J650" s="4"/>
      <c r="K650" s="4">
        <v>216</v>
      </c>
      <c r="L650" s="4">
        <v>8</v>
      </c>
      <c r="M650" s="4">
        <v>3</v>
      </c>
      <c r="N650" s="4" t="s">
        <v>3</v>
      </c>
      <c r="O650" s="4">
        <v>2</v>
      </c>
      <c r="P650" s="4"/>
      <c r="Q650" s="4"/>
      <c r="R650" s="4"/>
      <c r="S650" s="4"/>
      <c r="T650" s="4"/>
      <c r="U650" s="4"/>
      <c r="V650" s="4"/>
      <c r="W650" s="4">
        <v>0</v>
      </c>
      <c r="X650" s="4">
        <v>1</v>
      </c>
      <c r="Y650" s="4">
        <v>0</v>
      </c>
      <c r="Z650" s="4"/>
      <c r="AA650" s="4"/>
      <c r="AB650" s="4"/>
    </row>
    <row r="651" spans="1:206" x14ac:dyDescent="0.2">
      <c r="A651" s="4">
        <v>50</v>
      </c>
      <c r="B651" s="4">
        <v>0</v>
      </c>
      <c r="C651" s="4">
        <v>0</v>
      </c>
      <c r="D651" s="4">
        <v>1</v>
      </c>
      <c r="E651" s="4">
        <v>223</v>
      </c>
      <c r="F651" s="4">
        <f>ROUND(Source!AQ641,O651)</f>
        <v>0</v>
      </c>
      <c r="G651" s="4" t="s">
        <v>62</v>
      </c>
      <c r="H651" s="4" t="s">
        <v>63</v>
      </c>
      <c r="I651" s="4"/>
      <c r="J651" s="4"/>
      <c r="K651" s="4">
        <v>223</v>
      </c>
      <c r="L651" s="4">
        <v>9</v>
      </c>
      <c r="M651" s="4">
        <v>3</v>
      </c>
      <c r="N651" s="4" t="s">
        <v>3</v>
      </c>
      <c r="O651" s="4">
        <v>2</v>
      </c>
      <c r="P651" s="4"/>
      <c r="Q651" s="4"/>
      <c r="R651" s="4"/>
      <c r="S651" s="4"/>
      <c r="T651" s="4"/>
      <c r="U651" s="4"/>
      <c r="V651" s="4"/>
      <c r="W651" s="4">
        <v>0</v>
      </c>
      <c r="X651" s="4">
        <v>1</v>
      </c>
      <c r="Y651" s="4">
        <v>0</v>
      </c>
      <c r="Z651" s="4"/>
      <c r="AA651" s="4"/>
      <c r="AB651" s="4"/>
    </row>
    <row r="652" spans="1:206" x14ac:dyDescent="0.2">
      <c r="A652" s="4">
        <v>50</v>
      </c>
      <c r="B652" s="4">
        <v>0</v>
      </c>
      <c r="C652" s="4">
        <v>0</v>
      </c>
      <c r="D652" s="4">
        <v>1</v>
      </c>
      <c r="E652" s="4">
        <v>229</v>
      </c>
      <c r="F652" s="4">
        <f>ROUND(Source!AZ641,O652)</f>
        <v>0</v>
      </c>
      <c r="G652" s="4" t="s">
        <v>64</v>
      </c>
      <c r="H652" s="4" t="s">
        <v>65</v>
      </c>
      <c r="I652" s="4"/>
      <c r="J652" s="4"/>
      <c r="K652" s="4">
        <v>229</v>
      </c>
      <c r="L652" s="4">
        <v>10</v>
      </c>
      <c r="M652" s="4">
        <v>3</v>
      </c>
      <c r="N652" s="4" t="s">
        <v>3</v>
      </c>
      <c r="O652" s="4">
        <v>2</v>
      </c>
      <c r="P652" s="4"/>
      <c r="Q652" s="4"/>
      <c r="R652" s="4"/>
      <c r="S652" s="4"/>
      <c r="T652" s="4"/>
      <c r="U652" s="4"/>
      <c r="V652" s="4"/>
      <c r="W652" s="4">
        <v>0</v>
      </c>
      <c r="X652" s="4">
        <v>1</v>
      </c>
      <c r="Y652" s="4">
        <v>0</v>
      </c>
      <c r="Z652" s="4"/>
      <c r="AA652" s="4"/>
      <c r="AB652" s="4"/>
    </row>
    <row r="653" spans="1:206" x14ac:dyDescent="0.2">
      <c r="A653" s="4">
        <v>50</v>
      </c>
      <c r="B653" s="4">
        <v>0</v>
      </c>
      <c r="C653" s="4">
        <v>0</v>
      </c>
      <c r="D653" s="4">
        <v>1</v>
      </c>
      <c r="E653" s="4">
        <v>203</v>
      </c>
      <c r="F653" s="4">
        <f>ROUND(Source!Q641,O653)</f>
        <v>0</v>
      </c>
      <c r="G653" s="4" t="s">
        <v>66</v>
      </c>
      <c r="H653" s="4" t="s">
        <v>67</v>
      </c>
      <c r="I653" s="4"/>
      <c r="J653" s="4"/>
      <c r="K653" s="4">
        <v>203</v>
      </c>
      <c r="L653" s="4">
        <v>11</v>
      </c>
      <c r="M653" s="4">
        <v>3</v>
      </c>
      <c r="N653" s="4" t="s">
        <v>3</v>
      </c>
      <c r="O653" s="4">
        <v>2</v>
      </c>
      <c r="P653" s="4"/>
      <c r="Q653" s="4"/>
      <c r="R653" s="4"/>
      <c r="S653" s="4"/>
      <c r="T653" s="4"/>
      <c r="U653" s="4"/>
      <c r="V653" s="4"/>
      <c r="W653" s="4">
        <v>0</v>
      </c>
      <c r="X653" s="4">
        <v>1</v>
      </c>
      <c r="Y653" s="4">
        <v>0</v>
      </c>
      <c r="Z653" s="4"/>
      <c r="AA653" s="4"/>
      <c r="AB653" s="4"/>
    </row>
    <row r="654" spans="1:206" x14ac:dyDescent="0.2">
      <c r="A654" s="4">
        <v>50</v>
      </c>
      <c r="B654" s="4">
        <v>0</v>
      </c>
      <c r="C654" s="4">
        <v>0</v>
      </c>
      <c r="D654" s="4">
        <v>1</v>
      </c>
      <c r="E654" s="4">
        <v>231</v>
      </c>
      <c r="F654" s="4">
        <f>ROUND(Source!BB641,O654)</f>
        <v>0</v>
      </c>
      <c r="G654" s="4" t="s">
        <v>68</v>
      </c>
      <c r="H654" s="4" t="s">
        <v>69</v>
      </c>
      <c r="I654" s="4"/>
      <c r="J654" s="4"/>
      <c r="K654" s="4">
        <v>231</v>
      </c>
      <c r="L654" s="4">
        <v>12</v>
      </c>
      <c r="M654" s="4">
        <v>3</v>
      </c>
      <c r="N654" s="4" t="s">
        <v>3</v>
      </c>
      <c r="O654" s="4">
        <v>2</v>
      </c>
      <c r="P654" s="4"/>
      <c r="Q654" s="4"/>
      <c r="R654" s="4"/>
      <c r="S654" s="4"/>
      <c r="T654" s="4"/>
      <c r="U654" s="4"/>
      <c r="V654" s="4"/>
      <c r="W654" s="4">
        <v>0</v>
      </c>
      <c r="X654" s="4">
        <v>1</v>
      </c>
      <c r="Y654" s="4">
        <v>0</v>
      </c>
      <c r="Z654" s="4"/>
      <c r="AA654" s="4"/>
      <c r="AB654" s="4"/>
    </row>
    <row r="655" spans="1:206" x14ac:dyDescent="0.2">
      <c r="A655" s="4">
        <v>50</v>
      </c>
      <c r="B655" s="4">
        <v>0</v>
      </c>
      <c r="C655" s="4">
        <v>0</v>
      </c>
      <c r="D655" s="4">
        <v>1</v>
      </c>
      <c r="E655" s="4">
        <v>204</v>
      </c>
      <c r="F655" s="4">
        <f>ROUND(Source!R641,O655)</f>
        <v>0</v>
      </c>
      <c r="G655" s="4" t="s">
        <v>70</v>
      </c>
      <c r="H655" s="4" t="s">
        <v>71</v>
      </c>
      <c r="I655" s="4"/>
      <c r="J655" s="4"/>
      <c r="K655" s="4">
        <v>204</v>
      </c>
      <c r="L655" s="4">
        <v>13</v>
      </c>
      <c r="M655" s="4">
        <v>3</v>
      </c>
      <c r="N655" s="4" t="s">
        <v>3</v>
      </c>
      <c r="O655" s="4">
        <v>2</v>
      </c>
      <c r="P655" s="4"/>
      <c r="Q655" s="4"/>
      <c r="R655" s="4"/>
      <c r="S655" s="4"/>
      <c r="T655" s="4"/>
      <c r="U655" s="4"/>
      <c r="V655" s="4"/>
      <c r="W655" s="4">
        <v>0</v>
      </c>
      <c r="X655" s="4">
        <v>1</v>
      </c>
      <c r="Y655" s="4">
        <v>0</v>
      </c>
      <c r="Z655" s="4"/>
      <c r="AA655" s="4"/>
      <c r="AB655" s="4"/>
    </row>
    <row r="656" spans="1:206" x14ac:dyDescent="0.2">
      <c r="A656" s="4">
        <v>50</v>
      </c>
      <c r="B656" s="4">
        <v>0</v>
      </c>
      <c r="C656" s="4">
        <v>0</v>
      </c>
      <c r="D656" s="4">
        <v>1</v>
      </c>
      <c r="E656" s="4">
        <v>205</v>
      </c>
      <c r="F656" s="4">
        <f>ROUND(Source!S641,O656)</f>
        <v>251286.61</v>
      </c>
      <c r="G656" s="4" t="s">
        <v>72</v>
      </c>
      <c r="H656" s="4" t="s">
        <v>73</v>
      </c>
      <c r="I656" s="4"/>
      <c r="J656" s="4"/>
      <c r="K656" s="4">
        <v>205</v>
      </c>
      <c r="L656" s="4">
        <v>14</v>
      </c>
      <c r="M656" s="4">
        <v>3</v>
      </c>
      <c r="N656" s="4" t="s">
        <v>3</v>
      </c>
      <c r="O656" s="4">
        <v>2</v>
      </c>
      <c r="P656" s="4"/>
      <c r="Q656" s="4"/>
      <c r="R656" s="4"/>
      <c r="S656" s="4"/>
      <c r="T656" s="4"/>
      <c r="U656" s="4"/>
      <c r="V656" s="4"/>
      <c r="W656" s="4">
        <v>0</v>
      </c>
      <c r="X656" s="4">
        <v>1</v>
      </c>
      <c r="Y656" s="4">
        <v>0</v>
      </c>
      <c r="Z656" s="4"/>
      <c r="AA656" s="4"/>
      <c r="AB656" s="4"/>
    </row>
    <row r="657" spans="1:88" x14ac:dyDescent="0.2">
      <c r="A657" s="4">
        <v>50</v>
      </c>
      <c r="B657" s="4">
        <v>0</v>
      </c>
      <c r="C657" s="4">
        <v>0</v>
      </c>
      <c r="D657" s="4">
        <v>1</v>
      </c>
      <c r="E657" s="4">
        <v>232</v>
      </c>
      <c r="F657" s="4">
        <f>ROUND(Source!BC641,O657)</f>
        <v>0</v>
      </c>
      <c r="G657" s="4" t="s">
        <v>74</v>
      </c>
      <c r="H657" s="4" t="s">
        <v>75</v>
      </c>
      <c r="I657" s="4"/>
      <c r="J657" s="4"/>
      <c r="K657" s="4">
        <v>232</v>
      </c>
      <c r="L657" s="4">
        <v>15</v>
      </c>
      <c r="M657" s="4">
        <v>3</v>
      </c>
      <c r="N657" s="4" t="s">
        <v>3</v>
      </c>
      <c r="O657" s="4">
        <v>2</v>
      </c>
      <c r="P657" s="4"/>
      <c r="Q657" s="4"/>
      <c r="R657" s="4"/>
      <c r="S657" s="4"/>
      <c r="T657" s="4"/>
      <c r="U657" s="4"/>
      <c r="V657" s="4"/>
      <c r="W657" s="4">
        <v>0</v>
      </c>
      <c r="X657" s="4">
        <v>1</v>
      </c>
      <c r="Y657" s="4">
        <v>0</v>
      </c>
      <c r="Z657" s="4"/>
      <c r="AA657" s="4"/>
      <c r="AB657" s="4"/>
    </row>
    <row r="658" spans="1:88" x14ac:dyDescent="0.2">
      <c r="A658" s="4">
        <v>50</v>
      </c>
      <c r="B658" s="4">
        <v>0</v>
      </c>
      <c r="C658" s="4">
        <v>0</v>
      </c>
      <c r="D658" s="4">
        <v>1</v>
      </c>
      <c r="E658" s="4">
        <v>214</v>
      </c>
      <c r="F658" s="4">
        <f>ROUND(Source!AS641,O658)</f>
        <v>0</v>
      </c>
      <c r="G658" s="4" t="s">
        <v>76</v>
      </c>
      <c r="H658" s="4" t="s">
        <v>77</v>
      </c>
      <c r="I658" s="4"/>
      <c r="J658" s="4"/>
      <c r="K658" s="4">
        <v>214</v>
      </c>
      <c r="L658" s="4">
        <v>16</v>
      </c>
      <c r="M658" s="4">
        <v>3</v>
      </c>
      <c r="N658" s="4" t="s">
        <v>3</v>
      </c>
      <c r="O658" s="4">
        <v>2</v>
      </c>
      <c r="P658" s="4"/>
      <c r="Q658" s="4"/>
      <c r="R658" s="4"/>
      <c r="S658" s="4"/>
      <c r="T658" s="4"/>
      <c r="U658" s="4"/>
      <c r="V658" s="4"/>
      <c r="W658" s="4">
        <v>0</v>
      </c>
      <c r="X658" s="4">
        <v>1</v>
      </c>
      <c r="Y658" s="4">
        <v>0</v>
      </c>
      <c r="Z658" s="4"/>
      <c r="AA658" s="4"/>
      <c r="AB658" s="4"/>
    </row>
    <row r="659" spans="1:88" x14ac:dyDescent="0.2">
      <c r="A659" s="4">
        <v>50</v>
      </c>
      <c r="B659" s="4">
        <v>0</v>
      </c>
      <c r="C659" s="4">
        <v>0</v>
      </c>
      <c r="D659" s="4">
        <v>1</v>
      </c>
      <c r="E659" s="4">
        <v>215</v>
      </c>
      <c r="F659" s="4">
        <f>ROUND(Source!AT641,O659)</f>
        <v>0</v>
      </c>
      <c r="G659" s="4" t="s">
        <v>78</v>
      </c>
      <c r="H659" s="4" t="s">
        <v>79</v>
      </c>
      <c r="I659" s="4"/>
      <c r="J659" s="4"/>
      <c r="K659" s="4">
        <v>215</v>
      </c>
      <c r="L659" s="4">
        <v>17</v>
      </c>
      <c r="M659" s="4">
        <v>3</v>
      </c>
      <c r="N659" s="4" t="s">
        <v>3</v>
      </c>
      <c r="O659" s="4">
        <v>2</v>
      </c>
      <c r="P659" s="4"/>
      <c r="Q659" s="4"/>
      <c r="R659" s="4"/>
      <c r="S659" s="4"/>
      <c r="T659" s="4"/>
      <c r="U659" s="4"/>
      <c r="V659" s="4"/>
      <c r="W659" s="4">
        <v>0</v>
      </c>
      <c r="X659" s="4">
        <v>1</v>
      </c>
      <c r="Y659" s="4">
        <v>0</v>
      </c>
      <c r="Z659" s="4"/>
      <c r="AA659" s="4"/>
      <c r="AB659" s="4"/>
    </row>
    <row r="660" spans="1:88" x14ac:dyDescent="0.2">
      <c r="A660" s="4">
        <v>50</v>
      </c>
      <c r="B660" s="4">
        <v>0</v>
      </c>
      <c r="C660" s="4">
        <v>0</v>
      </c>
      <c r="D660" s="4">
        <v>1</v>
      </c>
      <c r="E660" s="4">
        <v>217</v>
      </c>
      <c r="F660" s="4">
        <f>ROUND(Source!AU641,O660)</f>
        <v>455550.42</v>
      </c>
      <c r="G660" s="4" t="s">
        <v>80</v>
      </c>
      <c r="H660" s="4" t="s">
        <v>81</v>
      </c>
      <c r="I660" s="4"/>
      <c r="J660" s="4"/>
      <c r="K660" s="4">
        <v>217</v>
      </c>
      <c r="L660" s="4">
        <v>18</v>
      </c>
      <c r="M660" s="4">
        <v>3</v>
      </c>
      <c r="N660" s="4" t="s">
        <v>3</v>
      </c>
      <c r="O660" s="4">
        <v>2</v>
      </c>
      <c r="P660" s="4"/>
      <c r="Q660" s="4"/>
      <c r="R660" s="4"/>
      <c r="S660" s="4"/>
      <c r="T660" s="4"/>
      <c r="U660" s="4"/>
      <c r="V660" s="4"/>
      <c r="W660" s="4">
        <v>0</v>
      </c>
      <c r="X660" s="4">
        <v>1</v>
      </c>
      <c r="Y660" s="4">
        <v>0</v>
      </c>
      <c r="Z660" s="4"/>
      <c r="AA660" s="4"/>
      <c r="AB660" s="4"/>
    </row>
    <row r="661" spans="1:88" x14ac:dyDescent="0.2">
      <c r="A661" s="4">
        <v>50</v>
      </c>
      <c r="B661" s="4">
        <v>0</v>
      </c>
      <c r="C661" s="4">
        <v>0</v>
      </c>
      <c r="D661" s="4">
        <v>1</v>
      </c>
      <c r="E661" s="4">
        <v>230</v>
      </c>
      <c r="F661" s="4">
        <f>ROUND(Source!BA641,O661)</f>
        <v>0</v>
      </c>
      <c r="G661" s="4" t="s">
        <v>82</v>
      </c>
      <c r="H661" s="4" t="s">
        <v>83</v>
      </c>
      <c r="I661" s="4"/>
      <c r="J661" s="4"/>
      <c r="K661" s="4">
        <v>230</v>
      </c>
      <c r="L661" s="4">
        <v>19</v>
      </c>
      <c r="M661" s="4">
        <v>3</v>
      </c>
      <c r="N661" s="4" t="s">
        <v>3</v>
      </c>
      <c r="O661" s="4">
        <v>2</v>
      </c>
      <c r="P661" s="4"/>
      <c r="Q661" s="4"/>
      <c r="R661" s="4"/>
      <c r="S661" s="4"/>
      <c r="T661" s="4"/>
      <c r="U661" s="4"/>
      <c r="V661" s="4"/>
      <c r="W661" s="4">
        <v>0</v>
      </c>
      <c r="X661" s="4">
        <v>1</v>
      </c>
      <c r="Y661" s="4">
        <v>0</v>
      </c>
      <c r="Z661" s="4"/>
      <c r="AA661" s="4"/>
      <c r="AB661" s="4"/>
    </row>
    <row r="662" spans="1:88" x14ac:dyDescent="0.2">
      <c r="A662" s="4">
        <v>50</v>
      </c>
      <c r="B662" s="4">
        <v>0</v>
      </c>
      <c r="C662" s="4">
        <v>0</v>
      </c>
      <c r="D662" s="4">
        <v>1</v>
      </c>
      <c r="E662" s="4">
        <v>206</v>
      </c>
      <c r="F662" s="4">
        <f>ROUND(Source!T641,O662)</f>
        <v>0</v>
      </c>
      <c r="G662" s="4" t="s">
        <v>84</v>
      </c>
      <c r="H662" s="4" t="s">
        <v>85</v>
      </c>
      <c r="I662" s="4"/>
      <c r="J662" s="4"/>
      <c r="K662" s="4">
        <v>206</v>
      </c>
      <c r="L662" s="4">
        <v>20</v>
      </c>
      <c r="M662" s="4">
        <v>3</v>
      </c>
      <c r="N662" s="4" t="s">
        <v>3</v>
      </c>
      <c r="O662" s="4">
        <v>2</v>
      </c>
      <c r="P662" s="4"/>
      <c r="Q662" s="4"/>
      <c r="R662" s="4"/>
      <c r="S662" s="4"/>
      <c r="T662" s="4"/>
      <c r="U662" s="4"/>
      <c r="V662" s="4"/>
      <c r="W662" s="4">
        <v>0</v>
      </c>
      <c r="X662" s="4">
        <v>1</v>
      </c>
      <c r="Y662" s="4">
        <v>0</v>
      </c>
      <c r="Z662" s="4"/>
      <c r="AA662" s="4"/>
      <c r="AB662" s="4"/>
    </row>
    <row r="663" spans="1:88" x14ac:dyDescent="0.2">
      <c r="A663" s="4">
        <v>50</v>
      </c>
      <c r="B663" s="4">
        <v>0</v>
      </c>
      <c r="C663" s="4">
        <v>0</v>
      </c>
      <c r="D663" s="4">
        <v>1</v>
      </c>
      <c r="E663" s="4">
        <v>207</v>
      </c>
      <c r="F663" s="4">
        <f>Source!U641</f>
        <v>406.14055199999996</v>
      </c>
      <c r="G663" s="4" t="s">
        <v>86</v>
      </c>
      <c r="H663" s="4" t="s">
        <v>87</v>
      </c>
      <c r="I663" s="4"/>
      <c r="J663" s="4"/>
      <c r="K663" s="4">
        <v>207</v>
      </c>
      <c r="L663" s="4">
        <v>21</v>
      </c>
      <c r="M663" s="4">
        <v>3</v>
      </c>
      <c r="N663" s="4" t="s">
        <v>3</v>
      </c>
      <c r="O663" s="4">
        <v>-1</v>
      </c>
      <c r="P663" s="4"/>
      <c r="Q663" s="4"/>
      <c r="R663" s="4"/>
      <c r="S663" s="4"/>
      <c r="T663" s="4"/>
      <c r="U663" s="4"/>
      <c r="V663" s="4"/>
      <c r="W663" s="4">
        <v>0</v>
      </c>
      <c r="X663" s="4">
        <v>1</v>
      </c>
      <c r="Y663" s="4">
        <v>0</v>
      </c>
      <c r="Z663" s="4"/>
      <c r="AA663" s="4"/>
      <c r="AB663" s="4"/>
    </row>
    <row r="664" spans="1:88" x14ac:dyDescent="0.2">
      <c r="A664" s="4">
        <v>50</v>
      </c>
      <c r="B664" s="4">
        <v>0</v>
      </c>
      <c r="C664" s="4">
        <v>0</v>
      </c>
      <c r="D664" s="4">
        <v>1</v>
      </c>
      <c r="E664" s="4">
        <v>208</v>
      </c>
      <c r="F664" s="4">
        <f>Source!V641</f>
        <v>0</v>
      </c>
      <c r="G664" s="4" t="s">
        <v>88</v>
      </c>
      <c r="H664" s="4" t="s">
        <v>89</v>
      </c>
      <c r="I664" s="4"/>
      <c r="J664" s="4"/>
      <c r="K664" s="4">
        <v>208</v>
      </c>
      <c r="L664" s="4">
        <v>22</v>
      </c>
      <c r="M664" s="4">
        <v>3</v>
      </c>
      <c r="N664" s="4" t="s">
        <v>3</v>
      </c>
      <c r="O664" s="4">
        <v>-1</v>
      </c>
      <c r="P664" s="4"/>
      <c r="Q664" s="4"/>
      <c r="R664" s="4"/>
      <c r="S664" s="4"/>
      <c r="T664" s="4"/>
      <c r="U664" s="4"/>
      <c r="V664" s="4"/>
      <c r="W664" s="4">
        <v>0</v>
      </c>
      <c r="X664" s="4">
        <v>1</v>
      </c>
      <c r="Y664" s="4">
        <v>0</v>
      </c>
      <c r="Z664" s="4"/>
      <c r="AA664" s="4"/>
      <c r="AB664" s="4"/>
    </row>
    <row r="665" spans="1:88" x14ac:dyDescent="0.2">
      <c r="A665" s="4">
        <v>50</v>
      </c>
      <c r="B665" s="4">
        <v>0</v>
      </c>
      <c r="C665" s="4">
        <v>0</v>
      </c>
      <c r="D665" s="4">
        <v>1</v>
      </c>
      <c r="E665" s="4">
        <v>209</v>
      </c>
      <c r="F665" s="4">
        <f>ROUND(Source!W641,O665)</f>
        <v>0</v>
      </c>
      <c r="G665" s="4" t="s">
        <v>90</v>
      </c>
      <c r="H665" s="4" t="s">
        <v>91</v>
      </c>
      <c r="I665" s="4"/>
      <c r="J665" s="4"/>
      <c r="K665" s="4">
        <v>209</v>
      </c>
      <c r="L665" s="4">
        <v>23</v>
      </c>
      <c r="M665" s="4">
        <v>3</v>
      </c>
      <c r="N665" s="4" t="s">
        <v>3</v>
      </c>
      <c r="O665" s="4">
        <v>2</v>
      </c>
      <c r="P665" s="4"/>
      <c r="Q665" s="4"/>
      <c r="R665" s="4"/>
      <c r="S665" s="4"/>
      <c r="T665" s="4"/>
      <c r="U665" s="4"/>
      <c r="V665" s="4"/>
      <c r="W665" s="4">
        <v>0</v>
      </c>
      <c r="X665" s="4">
        <v>1</v>
      </c>
      <c r="Y665" s="4">
        <v>0</v>
      </c>
      <c r="Z665" s="4"/>
      <c r="AA665" s="4"/>
      <c r="AB665" s="4"/>
    </row>
    <row r="666" spans="1:88" x14ac:dyDescent="0.2">
      <c r="A666" s="4">
        <v>50</v>
      </c>
      <c r="B666" s="4">
        <v>0</v>
      </c>
      <c r="C666" s="4">
        <v>0</v>
      </c>
      <c r="D666" s="4">
        <v>1</v>
      </c>
      <c r="E666" s="4">
        <v>233</v>
      </c>
      <c r="F666" s="4">
        <f>ROUND(Source!BD641,O666)</f>
        <v>0</v>
      </c>
      <c r="G666" s="4" t="s">
        <v>92</v>
      </c>
      <c r="H666" s="4" t="s">
        <v>93</v>
      </c>
      <c r="I666" s="4"/>
      <c r="J666" s="4"/>
      <c r="K666" s="4">
        <v>233</v>
      </c>
      <c r="L666" s="4">
        <v>24</v>
      </c>
      <c r="M666" s="4">
        <v>3</v>
      </c>
      <c r="N666" s="4" t="s">
        <v>3</v>
      </c>
      <c r="O666" s="4">
        <v>2</v>
      </c>
      <c r="P666" s="4"/>
      <c r="Q666" s="4"/>
      <c r="R666" s="4"/>
      <c r="S666" s="4"/>
      <c r="T666" s="4"/>
      <c r="U666" s="4"/>
      <c r="V666" s="4"/>
      <c r="W666" s="4">
        <v>0</v>
      </c>
      <c r="X666" s="4">
        <v>1</v>
      </c>
      <c r="Y666" s="4">
        <v>0</v>
      </c>
      <c r="Z666" s="4"/>
      <c r="AA666" s="4"/>
      <c r="AB666" s="4"/>
    </row>
    <row r="667" spans="1:88" x14ac:dyDescent="0.2">
      <c r="A667" s="4">
        <v>50</v>
      </c>
      <c r="B667" s="4">
        <v>0</v>
      </c>
      <c r="C667" s="4">
        <v>0</v>
      </c>
      <c r="D667" s="4">
        <v>1</v>
      </c>
      <c r="E667" s="4">
        <v>210</v>
      </c>
      <c r="F667" s="4">
        <f>ROUND(Source!X641,O667)</f>
        <v>175900.62</v>
      </c>
      <c r="G667" s="4" t="s">
        <v>94</v>
      </c>
      <c r="H667" s="4" t="s">
        <v>95</v>
      </c>
      <c r="I667" s="4"/>
      <c r="J667" s="4"/>
      <c r="K667" s="4">
        <v>210</v>
      </c>
      <c r="L667" s="4">
        <v>25</v>
      </c>
      <c r="M667" s="4">
        <v>3</v>
      </c>
      <c r="N667" s="4" t="s">
        <v>3</v>
      </c>
      <c r="O667" s="4">
        <v>2</v>
      </c>
      <c r="P667" s="4"/>
      <c r="Q667" s="4"/>
      <c r="R667" s="4"/>
      <c r="S667" s="4"/>
      <c r="T667" s="4"/>
      <c r="U667" s="4"/>
      <c r="V667" s="4"/>
      <c r="W667" s="4">
        <v>0</v>
      </c>
      <c r="X667" s="4">
        <v>1</v>
      </c>
      <c r="Y667" s="4">
        <v>0</v>
      </c>
      <c r="Z667" s="4"/>
      <c r="AA667" s="4"/>
      <c r="AB667" s="4"/>
    </row>
    <row r="668" spans="1:88" x14ac:dyDescent="0.2">
      <c r="A668" s="4">
        <v>50</v>
      </c>
      <c r="B668" s="4">
        <v>0</v>
      </c>
      <c r="C668" s="4">
        <v>0</v>
      </c>
      <c r="D668" s="4">
        <v>1</v>
      </c>
      <c r="E668" s="4">
        <v>211</v>
      </c>
      <c r="F668" s="4">
        <f>ROUND(Source!Y641,O668)</f>
        <v>25128.66</v>
      </c>
      <c r="G668" s="4" t="s">
        <v>96</v>
      </c>
      <c r="H668" s="4" t="s">
        <v>97</v>
      </c>
      <c r="I668" s="4"/>
      <c r="J668" s="4"/>
      <c r="K668" s="4">
        <v>211</v>
      </c>
      <c r="L668" s="4">
        <v>26</v>
      </c>
      <c r="M668" s="4">
        <v>3</v>
      </c>
      <c r="N668" s="4" t="s">
        <v>3</v>
      </c>
      <c r="O668" s="4">
        <v>2</v>
      </c>
      <c r="P668" s="4"/>
      <c r="Q668" s="4"/>
      <c r="R668" s="4"/>
      <c r="S668" s="4"/>
      <c r="T668" s="4"/>
      <c r="U668" s="4"/>
      <c r="V668" s="4"/>
      <c r="W668" s="4">
        <v>0</v>
      </c>
      <c r="X668" s="4">
        <v>1</v>
      </c>
      <c r="Y668" s="4">
        <v>0</v>
      </c>
      <c r="Z668" s="4"/>
      <c r="AA668" s="4"/>
      <c r="AB668" s="4"/>
    </row>
    <row r="669" spans="1:88" x14ac:dyDescent="0.2">
      <c r="A669" s="4">
        <v>50</v>
      </c>
      <c r="B669" s="4">
        <v>0</v>
      </c>
      <c r="C669" s="4">
        <v>0</v>
      </c>
      <c r="D669" s="4">
        <v>1</v>
      </c>
      <c r="E669" s="4">
        <v>224</v>
      </c>
      <c r="F669" s="4">
        <f>ROUND(Source!AR641,O669)</f>
        <v>455550.42</v>
      </c>
      <c r="G669" s="4" t="s">
        <v>98</v>
      </c>
      <c r="H669" s="4" t="s">
        <v>99</v>
      </c>
      <c r="I669" s="4"/>
      <c r="J669" s="4"/>
      <c r="K669" s="4">
        <v>224</v>
      </c>
      <c r="L669" s="4">
        <v>27</v>
      </c>
      <c r="M669" s="4">
        <v>3</v>
      </c>
      <c r="N669" s="4" t="s">
        <v>3</v>
      </c>
      <c r="O669" s="4">
        <v>2</v>
      </c>
      <c r="P669" s="4"/>
      <c r="Q669" s="4"/>
      <c r="R669" s="4"/>
      <c r="S669" s="4"/>
      <c r="T669" s="4"/>
      <c r="U669" s="4"/>
      <c r="V669" s="4"/>
      <c r="W669" s="4">
        <v>0</v>
      </c>
      <c r="X669" s="4">
        <v>1</v>
      </c>
      <c r="Y669" s="4">
        <v>0</v>
      </c>
      <c r="Z669" s="4"/>
      <c r="AA669" s="4"/>
      <c r="AB669" s="4"/>
    </row>
    <row r="671" spans="1:88" x14ac:dyDescent="0.2">
      <c r="A671" s="1">
        <v>5</v>
      </c>
      <c r="B671" s="1">
        <v>1</v>
      </c>
      <c r="C671" s="1"/>
      <c r="D671" s="1">
        <f>ROW(A687)</f>
        <v>687</v>
      </c>
      <c r="E671" s="1"/>
      <c r="F671" s="1" t="s">
        <v>15</v>
      </c>
      <c r="G671" s="1" t="s">
        <v>516</v>
      </c>
      <c r="H671" s="1" t="s">
        <v>3</v>
      </c>
      <c r="I671" s="1">
        <v>0</v>
      </c>
      <c r="J671" s="1"/>
      <c r="K671" s="1">
        <v>-1</v>
      </c>
      <c r="L671" s="1"/>
      <c r="M671" s="1" t="s">
        <v>3</v>
      </c>
      <c r="N671" s="1"/>
      <c r="O671" s="1"/>
      <c r="P671" s="1"/>
      <c r="Q671" s="1"/>
      <c r="R671" s="1"/>
      <c r="S671" s="1">
        <v>0</v>
      </c>
      <c r="T671" s="1"/>
      <c r="U671" s="1" t="s">
        <v>3</v>
      </c>
      <c r="V671" s="1">
        <v>0</v>
      </c>
      <c r="W671" s="1"/>
      <c r="X671" s="1"/>
      <c r="Y671" s="1"/>
      <c r="Z671" s="1"/>
      <c r="AA671" s="1"/>
      <c r="AB671" s="1" t="s">
        <v>3</v>
      </c>
      <c r="AC671" s="1" t="s">
        <v>3</v>
      </c>
      <c r="AD671" s="1" t="s">
        <v>3</v>
      </c>
      <c r="AE671" s="1" t="s">
        <v>3</v>
      </c>
      <c r="AF671" s="1" t="s">
        <v>3</v>
      </c>
      <c r="AG671" s="1" t="s">
        <v>3</v>
      </c>
      <c r="AH671" s="1"/>
      <c r="AI671" s="1"/>
      <c r="AJ671" s="1"/>
      <c r="AK671" s="1"/>
      <c r="AL671" s="1"/>
      <c r="AM671" s="1"/>
      <c r="AN671" s="1"/>
      <c r="AO671" s="1"/>
      <c r="AP671" s="1" t="s">
        <v>3</v>
      </c>
      <c r="AQ671" s="1" t="s">
        <v>3</v>
      </c>
      <c r="AR671" s="1" t="s">
        <v>3</v>
      </c>
      <c r="AS671" s="1"/>
      <c r="AT671" s="1"/>
      <c r="AU671" s="1"/>
      <c r="AV671" s="1"/>
      <c r="AW671" s="1"/>
      <c r="AX671" s="1"/>
      <c r="AY671" s="1"/>
      <c r="AZ671" s="1" t="s">
        <v>3</v>
      </c>
      <c r="BA671" s="1"/>
      <c r="BB671" s="1" t="s">
        <v>3</v>
      </c>
      <c r="BC671" s="1" t="s">
        <v>3</v>
      </c>
      <c r="BD671" s="1" t="s">
        <v>3</v>
      </c>
      <c r="BE671" s="1" t="s">
        <v>3</v>
      </c>
      <c r="BF671" s="1" t="s">
        <v>3</v>
      </c>
      <c r="BG671" s="1" t="s">
        <v>3</v>
      </c>
      <c r="BH671" s="1" t="s">
        <v>3</v>
      </c>
      <c r="BI671" s="1" t="s">
        <v>3</v>
      </c>
      <c r="BJ671" s="1" t="s">
        <v>3</v>
      </c>
      <c r="BK671" s="1" t="s">
        <v>3</v>
      </c>
      <c r="BL671" s="1" t="s">
        <v>3</v>
      </c>
      <c r="BM671" s="1" t="s">
        <v>3</v>
      </c>
      <c r="BN671" s="1" t="s">
        <v>3</v>
      </c>
      <c r="BO671" s="1" t="s">
        <v>3</v>
      </c>
      <c r="BP671" s="1" t="s">
        <v>3</v>
      </c>
      <c r="BQ671" s="1"/>
      <c r="BR671" s="1"/>
      <c r="BS671" s="1"/>
      <c r="BT671" s="1"/>
      <c r="BU671" s="1"/>
      <c r="BV671" s="1"/>
      <c r="BW671" s="1"/>
      <c r="BX671" s="1">
        <v>0</v>
      </c>
      <c r="BY671" s="1"/>
      <c r="BZ671" s="1"/>
      <c r="CA671" s="1"/>
      <c r="CB671" s="1"/>
      <c r="CC671" s="1"/>
      <c r="CD671" s="1"/>
      <c r="CE671" s="1"/>
      <c r="CF671" s="1"/>
      <c r="CG671" s="1"/>
      <c r="CH671" s="1"/>
      <c r="CI671" s="1"/>
      <c r="CJ671" s="1">
        <v>0</v>
      </c>
    </row>
    <row r="673" spans="1:245" x14ac:dyDescent="0.2">
      <c r="A673" s="2">
        <v>52</v>
      </c>
      <c r="B673" s="2">
        <f t="shared" ref="B673:G673" si="606">B687</f>
        <v>1</v>
      </c>
      <c r="C673" s="2">
        <f t="shared" si="606"/>
        <v>5</v>
      </c>
      <c r="D673" s="2">
        <f t="shared" si="606"/>
        <v>671</v>
      </c>
      <c r="E673" s="2">
        <f t="shared" si="606"/>
        <v>0</v>
      </c>
      <c r="F673" s="2" t="str">
        <f t="shared" si="606"/>
        <v>Новый подраздел</v>
      </c>
      <c r="G673" s="2" t="str">
        <f t="shared" si="606"/>
        <v>Электрическое освещение (внутреннее)</v>
      </c>
      <c r="H673" s="2"/>
      <c r="I673" s="2"/>
      <c r="J673" s="2"/>
      <c r="K673" s="2"/>
      <c r="L673" s="2"/>
      <c r="M673" s="2"/>
      <c r="N673" s="2"/>
      <c r="O673" s="2">
        <f t="shared" ref="O673:AT673" si="607">O687</f>
        <v>219959.04000000001</v>
      </c>
      <c r="P673" s="2">
        <f t="shared" si="607"/>
        <v>1335.85</v>
      </c>
      <c r="Q673" s="2">
        <f t="shared" si="607"/>
        <v>0</v>
      </c>
      <c r="R673" s="2">
        <f t="shared" si="607"/>
        <v>0</v>
      </c>
      <c r="S673" s="2">
        <f t="shared" si="607"/>
        <v>218623.19</v>
      </c>
      <c r="T673" s="2">
        <f t="shared" si="607"/>
        <v>0</v>
      </c>
      <c r="U673" s="2">
        <f t="shared" si="607"/>
        <v>388.89759999999995</v>
      </c>
      <c r="V673" s="2">
        <f t="shared" si="607"/>
        <v>0</v>
      </c>
      <c r="W673" s="2">
        <f t="shared" si="607"/>
        <v>0</v>
      </c>
      <c r="X673" s="2">
        <f t="shared" si="607"/>
        <v>153036.24</v>
      </c>
      <c r="Y673" s="2">
        <f t="shared" si="607"/>
        <v>21862.33</v>
      </c>
      <c r="Z673" s="2">
        <f t="shared" si="607"/>
        <v>0</v>
      </c>
      <c r="AA673" s="2">
        <f t="shared" si="607"/>
        <v>0</v>
      </c>
      <c r="AB673" s="2">
        <f t="shared" si="607"/>
        <v>219959.04000000001</v>
      </c>
      <c r="AC673" s="2">
        <f t="shared" si="607"/>
        <v>1335.85</v>
      </c>
      <c r="AD673" s="2">
        <f t="shared" si="607"/>
        <v>0</v>
      </c>
      <c r="AE673" s="2">
        <f t="shared" si="607"/>
        <v>0</v>
      </c>
      <c r="AF673" s="2">
        <f t="shared" si="607"/>
        <v>218623.19</v>
      </c>
      <c r="AG673" s="2">
        <f t="shared" si="607"/>
        <v>0</v>
      </c>
      <c r="AH673" s="2">
        <f t="shared" si="607"/>
        <v>388.89759999999995</v>
      </c>
      <c r="AI673" s="2">
        <f t="shared" si="607"/>
        <v>0</v>
      </c>
      <c r="AJ673" s="2">
        <f t="shared" si="607"/>
        <v>0</v>
      </c>
      <c r="AK673" s="2">
        <f t="shared" si="607"/>
        <v>153036.24</v>
      </c>
      <c r="AL673" s="2">
        <f t="shared" si="607"/>
        <v>21862.33</v>
      </c>
      <c r="AM673" s="2">
        <f t="shared" si="607"/>
        <v>0</v>
      </c>
      <c r="AN673" s="2">
        <f t="shared" si="607"/>
        <v>0</v>
      </c>
      <c r="AO673" s="2">
        <f t="shared" si="607"/>
        <v>0</v>
      </c>
      <c r="AP673" s="2">
        <f t="shared" si="607"/>
        <v>0</v>
      </c>
      <c r="AQ673" s="2">
        <f t="shared" si="607"/>
        <v>0</v>
      </c>
      <c r="AR673" s="2">
        <f t="shared" si="607"/>
        <v>394857.61</v>
      </c>
      <c r="AS673" s="2">
        <f t="shared" si="607"/>
        <v>0</v>
      </c>
      <c r="AT673" s="2">
        <f t="shared" si="607"/>
        <v>0</v>
      </c>
      <c r="AU673" s="2">
        <f t="shared" ref="AU673:BZ673" si="608">AU687</f>
        <v>394857.61</v>
      </c>
      <c r="AV673" s="2">
        <f t="shared" si="608"/>
        <v>1335.85</v>
      </c>
      <c r="AW673" s="2">
        <f t="shared" si="608"/>
        <v>1335.85</v>
      </c>
      <c r="AX673" s="2">
        <f t="shared" si="608"/>
        <v>0</v>
      </c>
      <c r="AY673" s="2">
        <f t="shared" si="608"/>
        <v>1335.85</v>
      </c>
      <c r="AZ673" s="2">
        <f t="shared" si="608"/>
        <v>0</v>
      </c>
      <c r="BA673" s="2">
        <f t="shared" si="608"/>
        <v>0</v>
      </c>
      <c r="BB673" s="2">
        <f t="shared" si="608"/>
        <v>0</v>
      </c>
      <c r="BC673" s="2">
        <f t="shared" si="608"/>
        <v>0</v>
      </c>
      <c r="BD673" s="2">
        <f t="shared" si="608"/>
        <v>0</v>
      </c>
      <c r="BE673" s="2">
        <f t="shared" si="608"/>
        <v>0</v>
      </c>
      <c r="BF673" s="2">
        <f t="shared" si="608"/>
        <v>0</v>
      </c>
      <c r="BG673" s="2">
        <f t="shared" si="608"/>
        <v>0</v>
      </c>
      <c r="BH673" s="2">
        <f t="shared" si="608"/>
        <v>0</v>
      </c>
      <c r="BI673" s="2">
        <f t="shared" si="608"/>
        <v>0</v>
      </c>
      <c r="BJ673" s="2">
        <f t="shared" si="608"/>
        <v>0</v>
      </c>
      <c r="BK673" s="2">
        <f t="shared" si="608"/>
        <v>0</v>
      </c>
      <c r="BL673" s="2">
        <f t="shared" si="608"/>
        <v>0</v>
      </c>
      <c r="BM673" s="2">
        <f t="shared" si="608"/>
        <v>0</v>
      </c>
      <c r="BN673" s="2">
        <f t="shared" si="608"/>
        <v>0</v>
      </c>
      <c r="BO673" s="2">
        <f t="shared" si="608"/>
        <v>0</v>
      </c>
      <c r="BP673" s="2">
        <f t="shared" si="608"/>
        <v>0</v>
      </c>
      <c r="BQ673" s="2">
        <f t="shared" si="608"/>
        <v>0</v>
      </c>
      <c r="BR673" s="2">
        <f t="shared" si="608"/>
        <v>0</v>
      </c>
      <c r="BS673" s="2">
        <f t="shared" si="608"/>
        <v>0</v>
      </c>
      <c r="BT673" s="2">
        <f t="shared" si="608"/>
        <v>0</v>
      </c>
      <c r="BU673" s="2">
        <f t="shared" si="608"/>
        <v>0</v>
      </c>
      <c r="BV673" s="2">
        <f t="shared" si="608"/>
        <v>0</v>
      </c>
      <c r="BW673" s="2">
        <f t="shared" si="608"/>
        <v>0</v>
      </c>
      <c r="BX673" s="2">
        <f t="shared" si="608"/>
        <v>0</v>
      </c>
      <c r="BY673" s="2">
        <f t="shared" si="608"/>
        <v>0</v>
      </c>
      <c r="BZ673" s="2">
        <f t="shared" si="608"/>
        <v>0</v>
      </c>
      <c r="CA673" s="2">
        <f t="shared" ref="CA673:DF673" si="609">CA687</f>
        <v>394857.61</v>
      </c>
      <c r="CB673" s="2">
        <f t="shared" si="609"/>
        <v>0</v>
      </c>
      <c r="CC673" s="2">
        <f t="shared" si="609"/>
        <v>0</v>
      </c>
      <c r="CD673" s="2">
        <f t="shared" si="609"/>
        <v>394857.61</v>
      </c>
      <c r="CE673" s="2">
        <f t="shared" si="609"/>
        <v>1335.85</v>
      </c>
      <c r="CF673" s="2">
        <f t="shared" si="609"/>
        <v>1335.85</v>
      </c>
      <c r="CG673" s="2">
        <f t="shared" si="609"/>
        <v>0</v>
      </c>
      <c r="CH673" s="2">
        <f t="shared" si="609"/>
        <v>1335.85</v>
      </c>
      <c r="CI673" s="2">
        <f t="shared" si="609"/>
        <v>0</v>
      </c>
      <c r="CJ673" s="2">
        <f t="shared" si="609"/>
        <v>0</v>
      </c>
      <c r="CK673" s="2">
        <f t="shared" si="609"/>
        <v>0</v>
      </c>
      <c r="CL673" s="2">
        <f t="shared" si="609"/>
        <v>0</v>
      </c>
      <c r="CM673" s="2">
        <f t="shared" si="609"/>
        <v>0</v>
      </c>
      <c r="CN673" s="2">
        <f t="shared" si="609"/>
        <v>0</v>
      </c>
      <c r="CO673" s="2">
        <f t="shared" si="609"/>
        <v>0</v>
      </c>
      <c r="CP673" s="2">
        <f t="shared" si="609"/>
        <v>0</v>
      </c>
      <c r="CQ673" s="2">
        <f t="shared" si="609"/>
        <v>0</v>
      </c>
      <c r="CR673" s="2">
        <f t="shared" si="609"/>
        <v>0</v>
      </c>
      <c r="CS673" s="2">
        <f t="shared" si="609"/>
        <v>0</v>
      </c>
      <c r="CT673" s="2">
        <f t="shared" si="609"/>
        <v>0</v>
      </c>
      <c r="CU673" s="2">
        <f t="shared" si="609"/>
        <v>0</v>
      </c>
      <c r="CV673" s="2">
        <f t="shared" si="609"/>
        <v>0</v>
      </c>
      <c r="CW673" s="2">
        <f t="shared" si="609"/>
        <v>0</v>
      </c>
      <c r="CX673" s="2">
        <f t="shared" si="609"/>
        <v>0</v>
      </c>
      <c r="CY673" s="2">
        <f t="shared" si="609"/>
        <v>0</v>
      </c>
      <c r="CZ673" s="2">
        <f t="shared" si="609"/>
        <v>0</v>
      </c>
      <c r="DA673" s="2">
        <f t="shared" si="609"/>
        <v>0</v>
      </c>
      <c r="DB673" s="2">
        <f t="shared" si="609"/>
        <v>0</v>
      </c>
      <c r="DC673" s="2">
        <f t="shared" si="609"/>
        <v>0</v>
      </c>
      <c r="DD673" s="2">
        <f t="shared" si="609"/>
        <v>0</v>
      </c>
      <c r="DE673" s="2">
        <f t="shared" si="609"/>
        <v>0</v>
      </c>
      <c r="DF673" s="2">
        <f t="shared" si="609"/>
        <v>0</v>
      </c>
      <c r="DG673" s="3">
        <f t="shared" ref="DG673:EL673" si="610">DG687</f>
        <v>0</v>
      </c>
      <c r="DH673" s="3">
        <f t="shared" si="610"/>
        <v>0</v>
      </c>
      <c r="DI673" s="3">
        <f t="shared" si="610"/>
        <v>0</v>
      </c>
      <c r="DJ673" s="3">
        <f t="shared" si="610"/>
        <v>0</v>
      </c>
      <c r="DK673" s="3">
        <f t="shared" si="610"/>
        <v>0</v>
      </c>
      <c r="DL673" s="3">
        <f t="shared" si="610"/>
        <v>0</v>
      </c>
      <c r="DM673" s="3">
        <f t="shared" si="610"/>
        <v>0</v>
      </c>
      <c r="DN673" s="3">
        <f t="shared" si="610"/>
        <v>0</v>
      </c>
      <c r="DO673" s="3">
        <f t="shared" si="610"/>
        <v>0</v>
      </c>
      <c r="DP673" s="3">
        <f t="shared" si="610"/>
        <v>0</v>
      </c>
      <c r="DQ673" s="3">
        <f t="shared" si="610"/>
        <v>0</v>
      </c>
      <c r="DR673" s="3">
        <f t="shared" si="610"/>
        <v>0</v>
      </c>
      <c r="DS673" s="3">
        <f t="shared" si="610"/>
        <v>0</v>
      </c>
      <c r="DT673" s="3">
        <f t="shared" si="610"/>
        <v>0</v>
      </c>
      <c r="DU673" s="3">
        <f t="shared" si="610"/>
        <v>0</v>
      </c>
      <c r="DV673" s="3">
        <f t="shared" si="610"/>
        <v>0</v>
      </c>
      <c r="DW673" s="3">
        <f t="shared" si="610"/>
        <v>0</v>
      </c>
      <c r="DX673" s="3">
        <f t="shared" si="610"/>
        <v>0</v>
      </c>
      <c r="DY673" s="3">
        <f t="shared" si="610"/>
        <v>0</v>
      </c>
      <c r="DZ673" s="3">
        <f t="shared" si="610"/>
        <v>0</v>
      </c>
      <c r="EA673" s="3">
        <f t="shared" si="610"/>
        <v>0</v>
      </c>
      <c r="EB673" s="3">
        <f t="shared" si="610"/>
        <v>0</v>
      </c>
      <c r="EC673" s="3">
        <f t="shared" si="610"/>
        <v>0</v>
      </c>
      <c r="ED673" s="3">
        <f t="shared" si="610"/>
        <v>0</v>
      </c>
      <c r="EE673" s="3">
        <f t="shared" si="610"/>
        <v>0</v>
      </c>
      <c r="EF673" s="3">
        <f t="shared" si="610"/>
        <v>0</v>
      </c>
      <c r="EG673" s="3">
        <f t="shared" si="610"/>
        <v>0</v>
      </c>
      <c r="EH673" s="3">
        <f t="shared" si="610"/>
        <v>0</v>
      </c>
      <c r="EI673" s="3">
        <f t="shared" si="610"/>
        <v>0</v>
      </c>
      <c r="EJ673" s="3">
        <f t="shared" si="610"/>
        <v>0</v>
      </c>
      <c r="EK673" s="3">
        <f t="shared" si="610"/>
        <v>0</v>
      </c>
      <c r="EL673" s="3">
        <f t="shared" si="610"/>
        <v>0</v>
      </c>
      <c r="EM673" s="3">
        <f t="shared" ref="EM673:FR673" si="611">EM687</f>
        <v>0</v>
      </c>
      <c r="EN673" s="3">
        <f t="shared" si="611"/>
        <v>0</v>
      </c>
      <c r="EO673" s="3">
        <f t="shared" si="611"/>
        <v>0</v>
      </c>
      <c r="EP673" s="3">
        <f t="shared" si="611"/>
        <v>0</v>
      </c>
      <c r="EQ673" s="3">
        <f t="shared" si="611"/>
        <v>0</v>
      </c>
      <c r="ER673" s="3">
        <f t="shared" si="611"/>
        <v>0</v>
      </c>
      <c r="ES673" s="3">
        <f t="shared" si="611"/>
        <v>0</v>
      </c>
      <c r="ET673" s="3">
        <f t="shared" si="611"/>
        <v>0</v>
      </c>
      <c r="EU673" s="3">
        <f t="shared" si="611"/>
        <v>0</v>
      </c>
      <c r="EV673" s="3">
        <f t="shared" si="611"/>
        <v>0</v>
      </c>
      <c r="EW673" s="3">
        <f t="shared" si="611"/>
        <v>0</v>
      </c>
      <c r="EX673" s="3">
        <f t="shared" si="611"/>
        <v>0</v>
      </c>
      <c r="EY673" s="3">
        <f t="shared" si="611"/>
        <v>0</v>
      </c>
      <c r="EZ673" s="3">
        <f t="shared" si="611"/>
        <v>0</v>
      </c>
      <c r="FA673" s="3">
        <f t="shared" si="611"/>
        <v>0</v>
      </c>
      <c r="FB673" s="3">
        <f t="shared" si="611"/>
        <v>0</v>
      </c>
      <c r="FC673" s="3">
        <f t="shared" si="611"/>
        <v>0</v>
      </c>
      <c r="FD673" s="3">
        <f t="shared" si="611"/>
        <v>0</v>
      </c>
      <c r="FE673" s="3">
        <f t="shared" si="611"/>
        <v>0</v>
      </c>
      <c r="FF673" s="3">
        <f t="shared" si="611"/>
        <v>0</v>
      </c>
      <c r="FG673" s="3">
        <f t="shared" si="611"/>
        <v>0</v>
      </c>
      <c r="FH673" s="3">
        <f t="shared" si="611"/>
        <v>0</v>
      </c>
      <c r="FI673" s="3">
        <f t="shared" si="611"/>
        <v>0</v>
      </c>
      <c r="FJ673" s="3">
        <f t="shared" si="611"/>
        <v>0</v>
      </c>
      <c r="FK673" s="3">
        <f t="shared" si="611"/>
        <v>0</v>
      </c>
      <c r="FL673" s="3">
        <f t="shared" si="611"/>
        <v>0</v>
      </c>
      <c r="FM673" s="3">
        <f t="shared" si="611"/>
        <v>0</v>
      </c>
      <c r="FN673" s="3">
        <f t="shared" si="611"/>
        <v>0</v>
      </c>
      <c r="FO673" s="3">
        <f t="shared" si="611"/>
        <v>0</v>
      </c>
      <c r="FP673" s="3">
        <f t="shared" si="611"/>
        <v>0</v>
      </c>
      <c r="FQ673" s="3">
        <f t="shared" si="611"/>
        <v>0</v>
      </c>
      <c r="FR673" s="3">
        <f t="shared" si="611"/>
        <v>0</v>
      </c>
      <c r="FS673" s="3">
        <f t="shared" ref="FS673:GX673" si="612">FS687</f>
        <v>0</v>
      </c>
      <c r="FT673" s="3">
        <f t="shared" si="612"/>
        <v>0</v>
      </c>
      <c r="FU673" s="3">
        <f t="shared" si="612"/>
        <v>0</v>
      </c>
      <c r="FV673" s="3">
        <f t="shared" si="612"/>
        <v>0</v>
      </c>
      <c r="FW673" s="3">
        <f t="shared" si="612"/>
        <v>0</v>
      </c>
      <c r="FX673" s="3">
        <f t="shared" si="612"/>
        <v>0</v>
      </c>
      <c r="FY673" s="3">
        <f t="shared" si="612"/>
        <v>0</v>
      </c>
      <c r="FZ673" s="3">
        <f t="shared" si="612"/>
        <v>0</v>
      </c>
      <c r="GA673" s="3">
        <f t="shared" si="612"/>
        <v>0</v>
      </c>
      <c r="GB673" s="3">
        <f t="shared" si="612"/>
        <v>0</v>
      </c>
      <c r="GC673" s="3">
        <f t="shared" si="612"/>
        <v>0</v>
      </c>
      <c r="GD673" s="3">
        <f t="shared" si="612"/>
        <v>0</v>
      </c>
      <c r="GE673" s="3">
        <f t="shared" si="612"/>
        <v>0</v>
      </c>
      <c r="GF673" s="3">
        <f t="shared" si="612"/>
        <v>0</v>
      </c>
      <c r="GG673" s="3">
        <f t="shared" si="612"/>
        <v>0</v>
      </c>
      <c r="GH673" s="3">
        <f t="shared" si="612"/>
        <v>0</v>
      </c>
      <c r="GI673" s="3">
        <f t="shared" si="612"/>
        <v>0</v>
      </c>
      <c r="GJ673" s="3">
        <f t="shared" si="612"/>
        <v>0</v>
      </c>
      <c r="GK673" s="3">
        <f t="shared" si="612"/>
        <v>0</v>
      </c>
      <c r="GL673" s="3">
        <f t="shared" si="612"/>
        <v>0</v>
      </c>
      <c r="GM673" s="3">
        <f t="shared" si="612"/>
        <v>0</v>
      </c>
      <c r="GN673" s="3">
        <f t="shared" si="612"/>
        <v>0</v>
      </c>
      <c r="GO673" s="3">
        <f t="shared" si="612"/>
        <v>0</v>
      </c>
      <c r="GP673" s="3">
        <f t="shared" si="612"/>
        <v>0</v>
      </c>
      <c r="GQ673" s="3">
        <f t="shared" si="612"/>
        <v>0</v>
      </c>
      <c r="GR673" s="3">
        <f t="shared" si="612"/>
        <v>0</v>
      </c>
      <c r="GS673" s="3">
        <f t="shared" si="612"/>
        <v>0</v>
      </c>
      <c r="GT673" s="3">
        <f t="shared" si="612"/>
        <v>0</v>
      </c>
      <c r="GU673" s="3">
        <f t="shared" si="612"/>
        <v>0</v>
      </c>
      <c r="GV673" s="3">
        <f t="shared" si="612"/>
        <v>0</v>
      </c>
      <c r="GW673" s="3">
        <f t="shared" si="612"/>
        <v>0</v>
      </c>
      <c r="GX673" s="3">
        <f t="shared" si="612"/>
        <v>0</v>
      </c>
    </row>
    <row r="675" spans="1:245" x14ac:dyDescent="0.2">
      <c r="A675">
        <v>19</v>
      </c>
      <c r="B675">
        <v>1</v>
      </c>
      <c r="F675" t="s">
        <v>3</v>
      </c>
      <c r="G675" t="s">
        <v>517</v>
      </c>
      <c r="H675" t="s">
        <v>3</v>
      </c>
      <c r="AA675">
        <v>1</v>
      </c>
      <c r="IK675">
        <v>0</v>
      </c>
    </row>
    <row r="676" spans="1:245" x14ac:dyDescent="0.2">
      <c r="A676">
        <v>17</v>
      </c>
      <c r="B676">
        <v>1</v>
      </c>
      <c r="D676">
        <f>ROW(EtalonRes!A571)</f>
        <v>571</v>
      </c>
      <c r="E676" t="s">
        <v>518</v>
      </c>
      <c r="F676" t="s">
        <v>519</v>
      </c>
      <c r="G676" t="s">
        <v>520</v>
      </c>
      <c r="H676" t="s">
        <v>32</v>
      </c>
      <c r="I676">
        <f>ROUND(12+12+12+32,9)</f>
        <v>68</v>
      </c>
      <c r="J676">
        <v>0</v>
      </c>
      <c r="K676">
        <f>ROUND(12+12+12+32,9)</f>
        <v>68</v>
      </c>
      <c r="O676">
        <f t="shared" ref="O676:O685" si="613">ROUND(CP676,2)</f>
        <v>7241.84</v>
      </c>
      <c r="P676">
        <f t="shared" ref="P676:P685" si="614">ROUND(CQ676*I676,2)</f>
        <v>85.68</v>
      </c>
      <c r="Q676">
        <f t="shared" ref="Q676:Q685" si="615">ROUND(CR676*I676,2)</f>
        <v>0</v>
      </c>
      <c r="R676">
        <f t="shared" ref="R676:R685" si="616">ROUND(CS676*I676,2)</f>
        <v>0</v>
      </c>
      <c r="S676">
        <f t="shared" ref="S676:S685" si="617">ROUND(CT676*I676,2)</f>
        <v>7156.16</v>
      </c>
      <c r="T676">
        <f t="shared" ref="T676:T685" si="618">ROUND(CU676*I676,2)</f>
        <v>0</v>
      </c>
      <c r="U676">
        <f t="shared" ref="U676:U685" si="619">CV676*I676</f>
        <v>12.7296</v>
      </c>
      <c r="V676">
        <f t="shared" ref="V676:V685" si="620">CW676*I676</f>
        <v>0</v>
      </c>
      <c r="W676">
        <f t="shared" ref="W676:W685" si="621">ROUND(CX676*I676,2)</f>
        <v>0</v>
      </c>
      <c r="X676">
        <f t="shared" ref="X676:X685" si="622">ROUND(CY676,2)</f>
        <v>5009.3100000000004</v>
      </c>
      <c r="Y676">
        <f t="shared" ref="Y676:Y685" si="623">ROUND(CZ676,2)</f>
        <v>715.62</v>
      </c>
      <c r="AA676">
        <v>1472224561</v>
      </c>
      <c r="AB676">
        <f t="shared" ref="AB676:AB685" si="624">ROUND((AC676+AD676+AF676),6)</f>
        <v>106.49760000000001</v>
      </c>
      <c r="AC676">
        <f t="shared" ref="AC676:AC685" si="625">ROUND((ES676),6)</f>
        <v>1.26</v>
      </c>
      <c r="AD676">
        <f t="shared" ref="AD676:AD685" si="626">ROUND((((ET676)-(EU676))+AE676),6)</f>
        <v>0</v>
      </c>
      <c r="AE676">
        <f t="shared" ref="AE676:AE685" si="627">ROUND((EU676),6)</f>
        <v>0</v>
      </c>
      <c r="AF676">
        <f t="shared" ref="AF676:AF685" si="628">ROUND(((EV676*1.04)),6)</f>
        <v>105.2376</v>
      </c>
      <c r="AG676">
        <f t="shared" ref="AG676:AG685" si="629">ROUND((AP676),6)</f>
        <v>0</v>
      </c>
      <c r="AH676">
        <f t="shared" ref="AH676:AH685" si="630">((EW676*1.04))</f>
        <v>0.18720000000000001</v>
      </c>
      <c r="AI676">
        <f t="shared" ref="AI676:AI685" si="631">(EX676)</f>
        <v>0</v>
      </c>
      <c r="AJ676">
        <f t="shared" ref="AJ676:AJ685" si="632">(AS676)</f>
        <v>0</v>
      </c>
      <c r="AK676">
        <v>102.45</v>
      </c>
      <c r="AL676">
        <v>1.26</v>
      </c>
      <c r="AM676">
        <v>0</v>
      </c>
      <c r="AN676">
        <v>0</v>
      </c>
      <c r="AO676">
        <v>101.19</v>
      </c>
      <c r="AP676">
        <v>0</v>
      </c>
      <c r="AQ676">
        <v>0.18</v>
      </c>
      <c r="AR676">
        <v>0</v>
      </c>
      <c r="AS676">
        <v>0</v>
      </c>
      <c r="AT676">
        <v>70</v>
      </c>
      <c r="AU676">
        <v>10</v>
      </c>
      <c r="AV676">
        <v>1</v>
      </c>
      <c r="AW676">
        <v>1</v>
      </c>
      <c r="AZ676">
        <v>1</v>
      </c>
      <c r="BA676">
        <v>1</v>
      </c>
      <c r="BB676">
        <v>1</v>
      </c>
      <c r="BC676">
        <v>1</v>
      </c>
      <c r="BD676" t="s">
        <v>3</v>
      </c>
      <c r="BE676" t="s">
        <v>3</v>
      </c>
      <c r="BF676" t="s">
        <v>3</v>
      </c>
      <c r="BG676" t="s">
        <v>3</v>
      </c>
      <c r="BH676">
        <v>0</v>
      </c>
      <c r="BI676">
        <v>4</v>
      </c>
      <c r="BJ676" t="s">
        <v>521</v>
      </c>
      <c r="BM676">
        <v>0</v>
      </c>
      <c r="BN676">
        <v>0</v>
      </c>
      <c r="BO676" t="s">
        <v>3</v>
      </c>
      <c r="BP676">
        <v>0</v>
      </c>
      <c r="BQ676">
        <v>1</v>
      </c>
      <c r="BR676">
        <v>0</v>
      </c>
      <c r="BS676">
        <v>1</v>
      </c>
      <c r="BT676">
        <v>1</v>
      </c>
      <c r="BU676">
        <v>1</v>
      </c>
      <c r="BV676">
        <v>1</v>
      </c>
      <c r="BW676">
        <v>1</v>
      </c>
      <c r="BX676">
        <v>1</v>
      </c>
      <c r="BY676" t="s">
        <v>3</v>
      </c>
      <c r="BZ676">
        <v>70</v>
      </c>
      <c r="CA676">
        <v>10</v>
      </c>
      <c r="CB676" t="s">
        <v>3</v>
      </c>
      <c r="CE676">
        <v>0</v>
      </c>
      <c r="CF676">
        <v>0</v>
      </c>
      <c r="CG676">
        <v>0</v>
      </c>
      <c r="CM676">
        <v>0</v>
      </c>
      <c r="CN676" t="s">
        <v>522</v>
      </c>
      <c r="CO676">
        <v>0</v>
      </c>
      <c r="CP676">
        <f t="shared" ref="CP676:CP685" si="633">(P676+Q676+S676)</f>
        <v>7241.84</v>
      </c>
      <c r="CQ676">
        <f t="shared" ref="CQ676:CQ685" si="634">(AC676*BC676*AW676)</f>
        <v>1.26</v>
      </c>
      <c r="CR676">
        <f t="shared" ref="CR676:CR685" si="635">((((ET676)*BB676-(EU676)*BS676)+AE676*BS676)*AV676)</f>
        <v>0</v>
      </c>
      <c r="CS676">
        <f t="shared" ref="CS676:CS685" si="636">(AE676*BS676*AV676)</f>
        <v>0</v>
      </c>
      <c r="CT676">
        <f t="shared" ref="CT676:CT685" si="637">(AF676*BA676*AV676)</f>
        <v>105.2376</v>
      </c>
      <c r="CU676">
        <f t="shared" ref="CU676:CU685" si="638">AG676</f>
        <v>0</v>
      </c>
      <c r="CV676">
        <f t="shared" ref="CV676:CV685" si="639">(AH676*AV676)</f>
        <v>0.18720000000000001</v>
      </c>
      <c r="CW676">
        <f t="shared" ref="CW676:CW685" si="640">AI676</f>
        <v>0</v>
      </c>
      <c r="CX676">
        <f t="shared" ref="CX676:CX685" si="641">AJ676</f>
        <v>0</v>
      </c>
      <c r="CY676">
        <f t="shared" ref="CY676:CY685" si="642">((S676*BZ676)/100)</f>
        <v>5009.3119999999999</v>
      </c>
      <c r="CZ676">
        <f t="shared" ref="CZ676:CZ685" si="643">((S676*CA676)/100)</f>
        <v>715.6160000000001</v>
      </c>
      <c r="DC676" t="s">
        <v>3</v>
      </c>
      <c r="DD676" t="s">
        <v>3</v>
      </c>
      <c r="DE676" t="s">
        <v>3</v>
      </c>
      <c r="DF676" t="s">
        <v>3</v>
      </c>
      <c r="DG676" t="s">
        <v>523</v>
      </c>
      <c r="DH676" t="s">
        <v>3</v>
      </c>
      <c r="DI676" t="s">
        <v>523</v>
      </c>
      <c r="DJ676" t="s">
        <v>3</v>
      </c>
      <c r="DK676" t="s">
        <v>3</v>
      </c>
      <c r="DL676" t="s">
        <v>3</v>
      </c>
      <c r="DM676" t="s">
        <v>3</v>
      </c>
      <c r="DN676">
        <v>0</v>
      </c>
      <c r="DO676">
        <v>0</v>
      </c>
      <c r="DP676">
        <v>1</v>
      </c>
      <c r="DQ676">
        <v>1</v>
      </c>
      <c r="DU676">
        <v>16987630</v>
      </c>
      <c r="DV676" t="s">
        <v>32</v>
      </c>
      <c r="DW676" t="s">
        <v>32</v>
      </c>
      <c r="DX676">
        <v>1</v>
      </c>
      <c r="DZ676" t="s">
        <v>3</v>
      </c>
      <c r="EA676" t="s">
        <v>3</v>
      </c>
      <c r="EB676" t="s">
        <v>3</v>
      </c>
      <c r="EC676" t="s">
        <v>3</v>
      </c>
      <c r="EE676">
        <v>1441815344</v>
      </c>
      <c r="EF676">
        <v>1</v>
      </c>
      <c r="EG676" t="s">
        <v>23</v>
      </c>
      <c r="EH676">
        <v>0</v>
      </c>
      <c r="EI676" t="s">
        <v>3</v>
      </c>
      <c r="EJ676">
        <v>4</v>
      </c>
      <c r="EK676">
        <v>0</v>
      </c>
      <c r="EL676" t="s">
        <v>24</v>
      </c>
      <c r="EM676" t="s">
        <v>25</v>
      </c>
      <c r="EO676" t="s">
        <v>524</v>
      </c>
      <c r="EQ676">
        <v>768</v>
      </c>
      <c r="ER676">
        <v>102.45</v>
      </c>
      <c r="ES676">
        <v>1.26</v>
      </c>
      <c r="ET676">
        <v>0</v>
      </c>
      <c r="EU676">
        <v>0</v>
      </c>
      <c r="EV676">
        <v>101.19</v>
      </c>
      <c r="EW676">
        <v>0.18</v>
      </c>
      <c r="EX676">
        <v>0</v>
      </c>
      <c r="EY676">
        <v>0</v>
      </c>
      <c r="FQ676">
        <v>0</v>
      </c>
      <c r="FR676">
        <f t="shared" ref="FR676:FR685" si="644">ROUND(IF(BI676=3,GM676,0),2)</f>
        <v>0</v>
      </c>
      <c r="FS676">
        <v>0</v>
      </c>
      <c r="FX676">
        <v>70</v>
      </c>
      <c r="FY676">
        <v>10</v>
      </c>
      <c r="GA676" t="s">
        <v>3</v>
      </c>
      <c r="GD676">
        <v>0</v>
      </c>
      <c r="GF676">
        <v>625056076</v>
      </c>
      <c r="GG676">
        <v>2</v>
      </c>
      <c r="GH676">
        <v>1</v>
      </c>
      <c r="GI676">
        <v>-2</v>
      </c>
      <c r="GJ676">
        <v>0</v>
      </c>
      <c r="GK676">
        <f>ROUND(R676*(R12)/100,2)</f>
        <v>0</v>
      </c>
      <c r="GL676">
        <f t="shared" ref="GL676:GL685" si="645">ROUND(IF(AND(BH676=3,BI676=3,FS676&lt;&gt;0),P676,0),2)</f>
        <v>0</v>
      </c>
      <c r="GM676">
        <f t="shared" ref="GM676:GM685" si="646">ROUND(O676+X676+Y676+GK676,2)+GX676</f>
        <v>12966.77</v>
      </c>
      <c r="GN676">
        <f t="shared" ref="GN676:GN685" si="647">IF(OR(BI676=0,BI676=1),GM676-GX676,0)</f>
        <v>0</v>
      </c>
      <c r="GO676">
        <f t="shared" ref="GO676:GO685" si="648">IF(BI676=2,GM676-GX676,0)</f>
        <v>0</v>
      </c>
      <c r="GP676">
        <f t="shared" ref="GP676:GP685" si="649">IF(BI676=4,GM676-GX676,0)</f>
        <v>12966.77</v>
      </c>
      <c r="GR676">
        <v>0</v>
      </c>
      <c r="GS676">
        <v>3</v>
      </c>
      <c r="GT676">
        <v>0</v>
      </c>
      <c r="GU676" t="s">
        <v>3</v>
      </c>
      <c r="GV676">
        <f t="shared" ref="GV676:GV685" si="650">ROUND((GT676),6)</f>
        <v>0</v>
      </c>
      <c r="GW676">
        <v>1</v>
      </c>
      <c r="GX676">
        <f t="shared" ref="GX676:GX685" si="651">ROUND(HC676*I676,2)</f>
        <v>0</v>
      </c>
      <c r="HA676">
        <v>0</v>
      </c>
      <c r="HB676">
        <v>0</v>
      </c>
      <c r="HC676">
        <f t="shared" ref="HC676:HC685" si="652">GV676*GW676</f>
        <v>0</v>
      </c>
      <c r="HE676" t="s">
        <v>3</v>
      </c>
      <c r="HF676" t="s">
        <v>3</v>
      </c>
      <c r="HM676" t="s">
        <v>3</v>
      </c>
      <c r="HN676" t="s">
        <v>3</v>
      </c>
      <c r="HO676" t="s">
        <v>3</v>
      </c>
      <c r="HP676" t="s">
        <v>3</v>
      </c>
      <c r="HQ676" t="s">
        <v>3</v>
      </c>
      <c r="IK676">
        <v>0</v>
      </c>
    </row>
    <row r="677" spans="1:245" x14ac:dyDescent="0.2">
      <c r="A677">
        <v>17</v>
      </c>
      <c r="B677">
        <v>1</v>
      </c>
      <c r="D677">
        <f>ROW(EtalonRes!A573)</f>
        <v>573</v>
      </c>
      <c r="E677" t="s">
        <v>525</v>
      </c>
      <c r="F677" t="s">
        <v>526</v>
      </c>
      <c r="G677" t="s">
        <v>527</v>
      </c>
      <c r="H677" t="s">
        <v>32</v>
      </c>
      <c r="I677">
        <f>ROUND(11+1+11+1+11+1+17+2,9)</f>
        <v>55</v>
      </c>
      <c r="J677">
        <v>0</v>
      </c>
      <c r="K677">
        <f>ROUND(11+1+11+1+11+1+17+2,9)</f>
        <v>55</v>
      </c>
      <c r="O677">
        <f t="shared" si="613"/>
        <v>12931.86</v>
      </c>
      <c r="P677">
        <f t="shared" si="614"/>
        <v>69.3</v>
      </c>
      <c r="Q677">
        <f t="shared" si="615"/>
        <v>0</v>
      </c>
      <c r="R677">
        <f t="shared" si="616"/>
        <v>0</v>
      </c>
      <c r="S677">
        <f t="shared" si="617"/>
        <v>12862.56</v>
      </c>
      <c r="T677">
        <f t="shared" si="618"/>
        <v>0</v>
      </c>
      <c r="U677">
        <f t="shared" si="619"/>
        <v>22.880000000000003</v>
      </c>
      <c r="V677">
        <f t="shared" si="620"/>
        <v>0</v>
      </c>
      <c r="W677">
        <f t="shared" si="621"/>
        <v>0</v>
      </c>
      <c r="X677">
        <f t="shared" si="622"/>
        <v>9003.7900000000009</v>
      </c>
      <c r="Y677">
        <f t="shared" si="623"/>
        <v>1286.26</v>
      </c>
      <c r="AA677">
        <v>1472224561</v>
      </c>
      <c r="AB677">
        <f t="shared" si="624"/>
        <v>235.12479999999999</v>
      </c>
      <c r="AC677">
        <f t="shared" si="625"/>
        <v>1.26</v>
      </c>
      <c r="AD677">
        <f t="shared" si="626"/>
        <v>0</v>
      </c>
      <c r="AE677">
        <f t="shared" si="627"/>
        <v>0</v>
      </c>
      <c r="AF677">
        <f t="shared" si="628"/>
        <v>233.8648</v>
      </c>
      <c r="AG677">
        <f t="shared" si="629"/>
        <v>0</v>
      </c>
      <c r="AH677">
        <f t="shared" si="630"/>
        <v>0.41600000000000004</v>
      </c>
      <c r="AI677">
        <f t="shared" si="631"/>
        <v>0</v>
      </c>
      <c r="AJ677">
        <f t="shared" si="632"/>
        <v>0</v>
      </c>
      <c r="AK677">
        <v>226.13</v>
      </c>
      <c r="AL677">
        <v>1.26</v>
      </c>
      <c r="AM677">
        <v>0</v>
      </c>
      <c r="AN677">
        <v>0</v>
      </c>
      <c r="AO677">
        <v>224.87</v>
      </c>
      <c r="AP677">
        <v>0</v>
      </c>
      <c r="AQ677">
        <v>0.4</v>
      </c>
      <c r="AR677">
        <v>0</v>
      </c>
      <c r="AS677">
        <v>0</v>
      </c>
      <c r="AT677">
        <v>70</v>
      </c>
      <c r="AU677">
        <v>10</v>
      </c>
      <c r="AV677">
        <v>1</v>
      </c>
      <c r="AW677">
        <v>1</v>
      </c>
      <c r="AZ677">
        <v>1</v>
      </c>
      <c r="BA677">
        <v>1</v>
      </c>
      <c r="BB677">
        <v>1</v>
      </c>
      <c r="BC677">
        <v>1</v>
      </c>
      <c r="BD677" t="s">
        <v>3</v>
      </c>
      <c r="BE677" t="s">
        <v>3</v>
      </c>
      <c r="BF677" t="s">
        <v>3</v>
      </c>
      <c r="BG677" t="s">
        <v>3</v>
      </c>
      <c r="BH677">
        <v>0</v>
      </c>
      <c r="BI677">
        <v>4</v>
      </c>
      <c r="BJ677" t="s">
        <v>528</v>
      </c>
      <c r="BM677">
        <v>0</v>
      </c>
      <c r="BN677">
        <v>0</v>
      </c>
      <c r="BO677" t="s">
        <v>3</v>
      </c>
      <c r="BP677">
        <v>0</v>
      </c>
      <c r="BQ677">
        <v>1</v>
      </c>
      <c r="BR677">
        <v>0</v>
      </c>
      <c r="BS677">
        <v>1</v>
      </c>
      <c r="BT677">
        <v>1</v>
      </c>
      <c r="BU677">
        <v>1</v>
      </c>
      <c r="BV677">
        <v>1</v>
      </c>
      <c r="BW677">
        <v>1</v>
      </c>
      <c r="BX677">
        <v>1</v>
      </c>
      <c r="BY677" t="s">
        <v>3</v>
      </c>
      <c r="BZ677">
        <v>70</v>
      </c>
      <c r="CA677">
        <v>10</v>
      </c>
      <c r="CB677" t="s">
        <v>3</v>
      </c>
      <c r="CE677">
        <v>0</v>
      </c>
      <c r="CF677">
        <v>0</v>
      </c>
      <c r="CG677">
        <v>0</v>
      </c>
      <c r="CM677">
        <v>0</v>
      </c>
      <c r="CN677" t="s">
        <v>522</v>
      </c>
      <c r="CO677">
        <v>0</v>
      </c>
      <c r="CP677">
        <f t="shared" si="633"/>
        <v>12931.859999999999</v>
      </c>
      <c r="CQ677">
        <f t="shared" si="634"/>
        <v>1.26</v>
      </c>
      <c r="CR677">
        <f t="shared" si="635"/>
        <v>0</v>
      </c>
      <c r="CS677">
        <f t="shared" si="636"/>
        <v>0</v>
      </c>
      <c r="CT677">
        <f t="shared" si="637"/>
        <v>233.8648</v>
      </c>
      <c r="CU677">
        <f t="shared" si="638"/>
        <v>0</v>
      </c>
      <c r="CV677">
        <f t="shared" si="639"/>
        <v>0.41600000000000004</v>
      </c>
      <c r="CW677">
        <f t="shared" si="640"/>
        <v>0</v>
      </c>
      <c r="CX677">
        <f t="shared" si="641"/>
        <v>0</v>
      </c>
      <c r="CY677">
        <f t="shared" si="642"/>
        <v>9003.7919999999995</v>
      </c>
      <c r="CZ677">
        <f t="shared" si="643"/>
        <v>1286.2559999999999</v>
      </c>
      <c r="DC677" t="s">
        <v>3</v>
      </c>
      <c r="DD677" t="s">
        <v>3</v>
      </c>
      <c r="DE677" t="s">
        <v>3</v>
      </c>
      <c r="DF677" t="s">
        <v>3</v>
      </c>
      <c r="DG677" t="s">
        <v>523</v>
      </c>
      <c r="DH677" t="s">
        <v>3</v>
      </c>
      <c r="DI677" t="s">
        <v>523</v>
      </c>
      <c r="DJ677" t="s">
        <v>3</v>
      </c>
      <c r="DK677" t="s">
        <v>3</v>
      </c>
      <c r="DL677" t="s">
        <v>3</v>
      </c>
      <c r="DM677" t="s">
        <v>3</v>
      </c>
      <c r="DN677">
        <v>0</v>
      </c>
      <c r="DO677">
        <v>0</v>
      </c>
      <c r="DP677">
        <v>1</v>
      </c>
      <c r="DQ677">
        <v>1</v>
      </c>
      <c r="DU677">
        <v>16987630</v>
      </c>
      <c r="DV677" t="s">
        <v>32</v>
      </c>
      <c r="DW677" t="s">
        <v>32</v>
      </c>
      <c r="DX677">
        <v>1</v>
      </c>
      <c r="DZ677" t="s">
        <v>3</v>
      </c>
      <c r="EA677" t="s">
        <v>3</v>
      </c>
      <c r="EB677" t="s">
        <v>3</v>
      </c>
      <c r="EC677" t="s">
        <v>3</v>
      </c>
      <c r="EE677">
        <v>1441815344</v>
      </c>
      <c r="EF677">
        <v>1</v>
      </c>
      <c r="EG677" t="s">
        <v>23</v>
      </c>
      <c r="EH677">
        <v>0</v>
      </c>
      <c r="EI677" t="s">
        <v>3</v>
      </c>
      <c r="EJ677">
        <v>4</v>
      </c>
      <c r="EK677">
        <v>0</v>
      </c>
      <c r="EL677" t="s">
        <v>24</v>
      </c>
      <c r="EM677" t="s">
        <v>25</v>
      </c>
      <c r="EO677" t="s">
        <v>524</v>
      </c>
      <c r="EQ677">
        <v>768</v>
      </c>
      <c r="ER677">
        <v>226.13</v>
      </c>
      <c r="ES677">
        <v>1.26</v>
      </c>
      <c r="ET677">
        <v>0</v>
      </c>
      <c r="EU677">
        <v>0</v>
      </c>
      <c r="EV677">
        <v>224.87</v>
      </c>
      <c r="EW677">
        <v>0.4</v>
      </c>
      <c r="EX677">
        <v>0</v>
      </c>
      <c r="EY677">
        <v>0</v>
      </c>
      <c r="FQ677">
        <v>0</v>
      </c>
      <c r="FR677">
        <f t="shared" si="644"/>
        <v>0</v>
      </c>
      <c r="FS677">
        <v>0</v>
      </c>
      <c r="FX677">
        <v>70</v>
      </c>
      <c r="FY677">
        <v>10</v>
      </c>
      <c r="GA677" t="s">
        <v>3</v>
      </c>
      <c r="GD677">
        <v>0</v>
      </c>
      <c r="GF677">
        <v>953883668</v>
      </c>
      <c r="GG677">
        <v>2</v>
      </c>
      <c r="GH677">
        <v>1</v>
      </c>
      <c r="GI677">
        <v>-2</v>
      </c>
      <c r="GJ677">
        <v>0</v>
      </c>
      <c r="GK677">
        <f>ROUND(R677*(R12)/100,2)</f>
        <v>0</v>
      </c>
      <c r="GL677">
        <f t="shared" si="645"/>
        <v>0</v>
      </c>
      <c r="GM677">
        <f t="shared" si="646"/>
        <v>23221.91</v>
      </c>
      <c r="GN677">
        <f t="shared" si="647"/>
        <v>0</v>
      </c>
      <c r="GO677">
        <f t="shared" si="648"/>
        <v>0</v>
      </c>
      <c r="GP677">
        <f t="shared" si="649"/>
        <v>23221.91</v>
      </c>
      <c r="GR677">
        <v>0</v>
      </c>
      <c r="GS677">
        <v>3</v>
      </c>
      <c r="GT677">
        <v>0</v>
      </c>
      <c r="GU677" t="s">
        <v>3</v>
      </c>
      <c r="GV677">
        <f t="shared" si="650"/>
        <v>0</v>
      </c>
      <c r="GW677">
        <v>1</v>
      </c>
      <c r="GX677">
        <f t="shared" si="651"/>
        <v>0</v>
      </c>
      <c r="HA677">
        <v>0</v>
      </c>
      <c r="HB677">
        <v>0</v>
      </c>
      <c r="HC677">
        <f t="shared" si="652"/>
        <v>0</v>
      </c>
      <c r="HE677" t="s">
        <v>3</v>
      </c>
      <c r="HF677" t="s">
        <v>3</v>
      </c>
      <c r="HM677" t="s">
        <v>3</v>
      </c>
      <c r="HN677" t="s">
        <v>3</v>
      </c>
      <c r="HO677" t="s">
        <v>3</v>
      </c>
      <c r="HP677" t="s">
        <v>3</v>
      </c>
      <c r="HQ677" t="s">
        <v>3</v>
      </c>
      <c r="IK677">
        <v>0</v>
      </c>
    </row>
    <row r="678" spans="1:245" x14ac:dyDescent="0.2">
      <c r="A678">
        <v>17</v>
      </c>
      <c r="B678">
        <v>1</v>
      </c>
      <c r="D678">
        <f>ROW(EtalonRes!A575)</f>
        <v>575</v>
      </c>
      <c r="E678" t="s">
        <v>529</v>
      </c>
      <c r="F678" t="s">
        <v>530</v>
      </c>
      <c r="G678" t="s">
        <v>796</v>
      </c>
      <c r="H678" t="s">
        <v>32</v>
      </c>
      <c r="I678">
        <f>ROUND(163+36+163+36+163+36+13+10,9)</f>
        <v>620</v>
      </c>
      <c r="J678">
        <v>0</v>
      </c>
      <c r="K678">
        <f>ROUND(163+36+163+36+163+36+13+10,9)</f>
        <v>620</v>
      </c>
      <c r="O678">
        <f t="shared" si="613"/>
        <v>109136.12</v>
      </c>
      <c r="P678">
        <f t="shared" si="614"/>
        <v>390.6</v>
      </c>
      <c r="Q678">
        <f t="shared" si="615"/>
        <v>0</v>
      </c>
      <c r="R678">
        <f t="shared" si="616"/>
        <v>0</v>
      </c>
      <c r="S678">
        <f t="shared" si="617"/>
        <v>108745.52</v>
      </c>
      <c r="T678">
        <f t="shared" si="618"/>
        <v>0</v>
      </c>
      <c r="U678">
        <f t="shared" si="619"/>
        <v>193.44</v>
      </c>
      <c r="V678">
        <f t="shared" si="620"/>
        <v>0</v>
      </c>
      <c r="W678">
        <f t="shared" si="621"/>
        <v>0</v>
      </c>
      <c r="X678">
        <f t="shared" si="622"/>
        <v>76121.86</v>
      </c>
      <c r="Y678">
        <f t="shared" si="623"/>
        <v>10874.55</v>
      </c>
      <c r="AA678">
        <v>1472224561</v>
      </c>
      <c r="AB678">
        <f t="shared" si="624"/>
        <v>176.02600000000001</v>
      </c>
      <c r="AC678">
        <f t="shared" si="625"/>
        <v>0.63</v>
      </c>
      <c r="AD678">
        <f t="shared" si="626"/>
        <v>0</v>
      </c>
      <c r="AE678">
        <f t="shared" si="627"/>
        <v>0</v>
      </c>
      <c r="AF678">
        <f t="shared" si="628"/>
        <v>175.39599999999999</v>
      </c>
      <c r="AG678">
        <f t="shared" si="629"/>
        <v>0</v>
      </c>
      <c r="AH678">
        <f t="shared" si="630"/>
        <v>0.312</v>
      </c>
      <c r="AI678">
        <f t="shared" si="631"/>
        <v>0</v>
      </c>
      <c r="AJ678">
        <f t="shared" si="632"/>
        <v>0</v>
      </c>
      <c r="AK678">
        <v>169.28</v>
      </c>
      <c r="AL678">
        <v>0.63</v>
      </c>
      <c r="AM678">
        <v>0</v>
      </c>
      <c r="AN678">
        <v>0</v>
      </c>
      <c r="AO678">
        <v>168.65</v>
      </c>
      <c r="AP678">
        <v>0</v>
      </c>
      <c r="AQ678">
        <v>0.3</v>
      </c>
      <c r="AR678">
        <v>0</v>
      </c>
      <c r="AS678">
        <v>0</v>
      </c>
      <c r="AT678">
        <v>70</v>
      </c>
      <c r="AU678">
        <v>10</v>
      </c>
      <c r="AV678">
        <v>1</v>
      </c>
      <c r="AW678">
        <v>1</v>
      </c>
      <c r="AZ678">
        <v>1</v>
      </c>
      <c r="BA678">
        <v>1</v>
      </c>
      <c r="BB678">
        <v>1</v>
      </c>
      <c r="BC678">
        <v>1</v>
      </c>
      <c r="BD678" t="s">
        <v>3</v>
      </c>
      <c r="BE678" t="s">
        <v>3</v>
      </c>
      <c r="BF678" t="s">
        <v>3</v>
      </c>
      <c r="BG678" t="s">
        <v>3</v>
      </c>
      <c r="BH678">
        <v>0</v>
      </c>
      <c r="BI678">
        <v>4</v>
      </c>
      <c r="BJ678" t="s">
        <v>531</v>
      </c>
      <c r="BM678">
        <v>0</v>
      </c>
      <c r="BN678">
        <v>0</v>
      </c>
      <c r="BO678" t="s">
        <v>3</v>
      </c>
      <c r="BP678">
        <v>0</v>
      </c>
      <c r="BQ678">
        <v>1</v>
      </c>
      <c r="BR678">
        <v>0</v>
      </c>
      <c r="BS678">
        <v>1</v>
      </c>
      <c r="BT678">
        <v>1</v>
      </c>
      <c r="BU678">
        <v>1</v>
      </c>
      <c r="BV678">
        <v>1</v>
      </c>
      <c r="BW678">
        <v>1</v>
      </c>
      <c r="BX678">
        <v>1</v>
      </c>
      <c r="BY678" t="s">
        <v>3</v>
      </c>
      <c r="BZ678">
        <v>70</v>
      </c>
      <c r="CA678">
        <v>10</v>
      </c>
      <c r="CB678" t="s">
        <v>3</v>
      </c>
      <c r="CE678">
        <v>0</v>
      </c>
      <c r="CF678">
        <v>0</v>
      </c>
      <c r="CG678">
        <v>0</v>
      </c>
      <c r="CM678">
        <v>0</v>
      </c>
      <c r="CN678" t="s">
        <v>522</v>
      </c>
      <c r="CO678">
        <v>0</v>
      </c>
      <c r="CP678">
        <f t="shared" si="633"/>
        <v>109136.12000000001</v>
      </c>
      <c r="CQ678">
        <f t="shared" si="634"/>
        <v>0.63</v>
      </c>
      <c r="CR678">
        <f t="shared" si="635"/>
        <v>0</v>
      </c>
      <c r="CS678">
        <f t="shared" si="636"/>
        <v>0</v>
      </c>
      <c r="CT678">
        <f t="shared" si="637"/>
        <v>175.39599999999999</v>
      </c>
      <c r="CU678">
        <f t="shared" si="638"/>
        <v>0</v>
      </c>
      <c r="CV678">
        <f t="shared" si="639"/>
        <v>0.312</v>
      </c>
      <c r="CW678">
        <f t="shared" si="640"/>
        <v>0</v>
      </c>
      <c r="CX678">
        <f t="shared" si="641"/>
        <v>0</v>
      </c>
      <c r="CY678">
        <f t="shared" si="642"/>
        <v>76121.864000000001</v>
      </c>
      <c r="CZ678">
        <f t="shared" si="643"/>
        <v>10874.552</v>
      </c>
      <c r="DC678" t="s">
        <v>3</v>
      </c>
      <c r="DD678" t="s">
        <v>3</v>
      </c>
      <c r="DE678" t="s">
        <v>3</v>
      </c>
      <c r="DF678" t="s">
        <v>3</v>
      </c>
      <c r="DG678" t="s">
        <v>523</v>
      </c>
      <c r="DH678" t="s">
        <v>3</v>
      </c>
      <c r="DI678" t="s">
        <v>523</v>
      </c>
      <c r="DJ678" t="s">
        <v>3</v>
      </c>
      <c r="DK678" t="s">
        <v>3</v>
      </c>
      <c r="DL678" t="s">
        <v>3</v>
      </c>
      <c r="DM678" t="s">
        <v>3</v>
      </c>
      <c r="DN678">
        <v>0</v>
      </c>
      <c r="DO678">
        <v>0</v>
      </c>
      <c r="DP678">
        <v>1</v>
      </c>
      <c r="DQ678">
        <v>1</v>
      </c>
      <c r="DU678">
        <v>16987630</v>
      </c>
      <c r="DV678" t="s">
        <v>32</v>
      </c>
      <c r="DW678" t="s">
        <v>32</v>
      </c>
      <c r="DX678">
        <v>1</v>
      </c>
      <c r="DZ678" t="s">
        <v>3</v>
      </c>
      <c r="EA678" t="s">
        <v>3</v>
      </c>
      <c r="EB678" t="s">
        <v>3</v>
      </c>
      <c r="EC678" t="s">
        <v>3</v>
      </c>
      <c r="EE678">
        <v>1441815344</v>
      </c>
      <c r="EF678">
        <v>1</v>
      </c>
      <c r="EG678" t="s">
        <v>23</v>
      </c>
      <c r="EH678">
        <v>0</v>
      </c>
      <c r="EI678" t="s">
        <v>3</v>
      </c>
      <c r="EJ678">
        <v>4</v>
      </c>
      <c r="EK678">
        <v>0</v>
      </c>
      <c r="EL678" t="s">
        <v>24</v>
      </c>
      <c r="EM678" t="s">
        <v>25</v>
      </c>
      <c r="EO678" t="s">
        <v>524</v>
      </c>
      <c r="EQ678">
        <v>768</v>
      </c>
      <c r="ER678">
        <v>169.28</v>
      </c>
      <c r="ES678">
        <v>0.63</v>
      </c>
      <c r="ET678">
        <v>0</v>
      </c>
      <c r="EU678">
        <v>0</v>
      </c>
      <c r="EV678">
        <v>168.65</v>
      </c>
      <c r="EW678">
        <v>0.3</v>
      </c>
      <c r="EX678">
        <v>0</v>
      </c>
      <c r="EY678">
        <v>0</v>
      </c>
      <c r="FQ678">
        <v>0</v>
      </c>
      <c r="FR678">
        <f t="shared" si="644"/>
        <v>0</v>
      </c>
      <c r="FS678">
        <v>0</v>
      </c>
      <c r="FX678">
        <v>70</v>
      </c>
      <c r="FY678">
        <v>10</v>
      </c>
      <c r="GA678" t="s">
        <v>3</v>
      </c>
      <c r="GD678">
        <v>0</v>
      </c>
      <c r="GF678">
        <v>-878156063</v>
      </c>
      <c r="GG678">
        <v>2</v>
      </c>
      <c r="GH678">
        <v>1</v>
      </c>
      <c r="GI678">
        <v>-2</v>
      </c>
      <c r="GJ678">
        <v>0</v>
      </c>
      <c r="GK678">
        <f>ROUND(R678*(R12)/100,2)</f>
        <v>0</v>
      </c>
      <c r="GL678">
        <f t="shared" si="645"/>
        <v>0</v>
      </c>
      <c r="GM678">
        <f t="shared" si="646"/>
        <v>196132.53</v>
      </c>
      <c r="GN678">
        <f t="shared" si="647"/>
        <v>0</v>
      </c>
      <c r="GO678">
        <f t="shared" si="648"/>
        <v>0</v>
      </c>
      <c r="GP678">
        <f t="shared" si="649"/>
        <v>196132.53</v>
      </c>
      <c r="GR678">
        <v>0</v>
      </c>
      <c r="GS678">
        <v>3</v>
      </c>
      <c r="GT678">
        <v>0</v>
      </c>
      <c r="GU678" t="s">
        <v>3</v>
      </c>
      <c r="GV678">
        <f t="shared" si="650"/>
        <v>0</v>
      </c>
      <c r="GW678">
        <v>1</v>
      </c>
      <c r="GX678">
        <f t="shared" si="651"/>
        <v>0</v>
      </c>
      <c r="HA678">
        <v>0</v>
      </c>
      <c r="HB678">
        <v>0</v>
      </c>
      <c r="HC678">
        <f t="shared" si="652"/>
        <v>0</v>
      </c>
      <c r="HE678" t="s">
        <v>3</v>
      </c>
      <c r="HF678" t="s">
        <v>3</v>
      </c>
      <c r="HM678" t="s">
        <v>3</v>
      </c>
      <c r="HN678" t="s">
        <v>3</v>
      </c>
      <c r="HO678" t="s">
        <v>3</v>
      </c>
      <c r="HP678" t="s">
        <v>3</v>
      </c>
      <c r="HQ678" t="s">
        <v>3</v>
      </c>
      <c r="IK678">
        <v>0</v>
      </c>
    </row>
    <row r="679" spans="1:245" x14ac:dyDescent="0.2">
      <c r="A679">
        <v>17</v>
      </c>
      <c r="B679">
        <v>1</v>
      </c>
      <c r="D679">
        <f>ROW(EtalonRes!A577)</f>
        <v>577</v>
      </c>
      <c r="E679" t="s">
        <v>532</v>
      </c>
      <c r="F679" t="s">
        <v>533</v>
      </c>
      <c r="G679" t="s">
        <v>534</v>
      </c>
      <c r="H679" t="s">
        <v>32</v>
      </c>
      <c r="I679">
        <f>ROUND(52+52+52+15,9)</f>
        <v>171</v>
      </c>
      <c r="J679">
        <v>0</v>
      </c>
      <c r="K679">
        <f>ROUND(52+52+52+15,9)</f>
        <v>171</v>
      </c>
      <c r="O679">
        <f t="shared" si="613"/>
        <v>22261.94</v>
      </c>
      <c r="P679">
        <f t="shared" si="614"/>
        <v>268.47000000000003</v>
      </c>
      <c r="Q679">
        <f t="shared" si="615"/>
        <v>0</v>
      </c>
      <c r="R679">
        <f t="shared" si="616"/>
        <v>0</v>
      </c>
      <c r="S679">
        <f t="shared" si="617"/>
        <v>21993.47</v>
      </c>
      <c r="T679">
        <f t="shared" si="618"/>
        <v>0</v>
      </c>
      <c r="U679">
        <f t="shared" si="619"/>
        <v>39.1248</v>
      </c>
      <c r="V679">
        <f t="shared" si="620"/>
        <v>0</v>
      </c>
      <c r="W679">
        <f t="shared" si="621"/>
        <v>0</v>
      </c>
      <c r="X679">
        <f t="shared" si="622"/>
        <v>15395.43</v>
      </c>
      <c r="Y679">
        <f t="shared" si="623"/>
        <v>2199.35</v>
      </c>
      <c r="AA679">
        <v>1472224561</v>
      </c>
      <c r="AB679">
        <f t="shared" si="624"/>
        <v>130.18680000000001</v>
      </c>
      <c r="AC679">
        <f t="shared" si="625"/>
        <v>1.57</v>
      </c>
      <c r="AD679">
        <f t="shared" si="626"/>
        <v>0</v>
      </c>
      <c r="AE679">
        <f t="shared" si="627"/>
        <v>0</v>
      </c>
      <c r="AF679">
        <f t="shared" si="628"/>
        <v>128.61680000000001</v>
      </c>
      <c r="AG679">
        <f t="shared" si="629"/>
        <v>0</v>
      </c>
      <c r="AH679">
        <f t="shared" si="630"/>
        <v>0.2288</v>
      </c>
      <c r="AI679">
        <f t="shared" si="631"/>
        <v>0</v>
      </c>
      <c r="AJ679">
        <f t="shared" si="632"/>
        <v>0</v>
      </c>
      <c r="AK679">
        <v>125.24</v>
      </c>
      <c r="AL679">
        <v>1.57</v>
      </c>
      <c r="AM679">
        <v>0</v>
      </c>
      <c r="AN679">
        <v>0</v>
      </c>
      <c r="AO679">
        <v>123.67</v>
      </c>
      <c r="AP679">
        <v>0</v>
      </c>
      <c r="AQ679">
        <v>0.22</v>
      </c>
      <c r="AR679">
        <v>0</v>
      </c>
      <c r="AS679">
        <v>0</v>
      </c>
      <c r="AT679">
        <v>70</v>
      </c>
      <c r="AU679">
        <v>10</v>
      </c>
      <c r="AV679">
        <v>1</v>
      </c>
      <c r="AW679">
        <v>1</v>
      </c>
      <c r="AZ679">
        <v>1</v>
      </c>
      <c r="BA679">
        <v>1</v>
      </c>
      <c r="BB679">
        <v>1</v>
      </c>
      <c r="BC679">
        <v>1</v>
      </c>
      <c r="BD679" t="s">
        <v>3</v>
      </c>
      <c r="BE679" t="s">
        <v>3</v>
      </c>
      <c r="BF679" t="s">
        <v>3</v>
      </c>
      <c r="BG679" t="s">
        <v>3</v>
      </c>
      <c r="BH679">
        <v>0</v>
      </c>
      <c r="BI679">
        <v>4</v>
      </c>
      <c r="BJ679" t="s">
        <v>535</v>
      </c>
      <c r="BM679">
        <v>0</v>
      </c>
      <c r="BN679">
        <v>0</v>
      </c>
      <c r="BO679" t="s">
        <v>3</v>
      </c>
      <c r="BP679">
        <v>0</v>
      </c>
      <c r="BQ679">
        <v>1</v>
      </c>
      <c r="BR679">
        <v>0</v>
      </c>
      <c r="BS679">
        <v>1</v>
      </c>
      <c r="BT679">
        <v>1</v>
      </c>
      <c r="BU679">
        <v>1</v>
      </c>
      <c r="BV679">
        <v>1</v>
      </c>
      <c r="BW679">
        <v>1</v>
      </c>
      <c r="BX679">
        <v>1</v>
      </c>
      <c r="BY679" t="s">
        <v>3</v>
      </c>
      <c r="BZ679">
        <v>70</v>
      </c>
      <c r="CA679">
        <v>10</v>
      </c>
      <c r="CB679" t="s">
        <v>3</v>
      </c>
      <c r="CE679">
        <v>0</v>
      </c>
      <c r="CF679">
        <v>0</v>
      </c>
      <c r="CG679">
        <v>0</v>
      </c>
      <c r="CM679">
        <v>0</v>
      </c>
      <c r="CN679" t="s">
        <v>522</v>
      </c>
      <c r="CO679">
        <v>0</v>
      </c>
      <c r="CP679">
        <f t="shared" si="633"/>
        <v>22261.940000000002</v>
      </c>
      <c r="CQ679">
        <f t="shared" si="634"/>
        <v>1.57</v>
      </c>
      <c r="CR679">
        <f t="shared" si="635"/>
        <v>0</v>
      </c>
      <c r="CS679">
        <f t="shared" si="636"/>
        <v>0</v>
      </c>
      <c r="CT679">
        <f t="shared" si="637"/>
        <v>128.61680000000001</v>
      </c>
      <c r="CU679">
        <f t="shared" si="638"/>
        <v>0</v>
      </c>
      <c r="CV679">
        <f t="shared" si="639"/>
        <v>0.2288</v>
      </c>
      <c r="CW679">
        <f t="shared" si="640"/>
        <v>0</v>
      </c>
      <c r="CX679">
        <f t="shared" si="641"/>
        <v>0</v>
      </c>
      <c r="CY679">
        <f t="shared" si="642"/>
        <v>15395.429000000002</v>
      </c>
      <c r="CZ679">
        <f t="shared" si="643"/>
        <v>2199.3470000000002</v>
      </c>
      <c r="DC679" t="s">
        <v>3</v>
      </c>
      <c r="DD679" t="s">
        <v>3</v>
      </c>
      <c r="DE679" t="s">
        <v>3</v>
      </c>
      <c r="DF679" t="s">
        <v>3</v>
      </c>
      <c r="DG679" t="s">
        <v>523</v>
      </c>
      <c r="DH679" t="s">
        <v>3</v>
      </c>
      <c r="DI679" t="s">
        <v>523</v>
      </c>
      <c r="DJ679" t="s">
        <v>3</v>
      </c>
      <c r="DK679" t="s">
        <v>3</v>
      </c>
      <c r="DL679" t="s">
        <v>3</v>
      </c>
      <c r="DM679" t="s">
        <v>3</v>
      </c>
      <c r="DN679">
        <v>0</v>
      </c>
      <c r="DO679">
        <v>0</v>
      </c>
      <c r="DP679">
        <v>1</v>
      </c>
      <c r="DQ679">
        <v>1</v>
      </c>
      <c r="DU679">
        <v>16987630</v>
      </c>
      <c r="DV679" t="s">
        <v>32</v>
      </c>
      <c r="DW679" t="s">
        <v>32</v>
      </c>
      <c r="DX679">
        <v>1</v>
      </c>
      <c r="DZ679" t="s">
        <v>3</v>
      </c>
      <c r="EA679" t="s">
        <v>3</v>
      </c>
      <c r="EB679" t="s">
        <v>3</v>
      </c>
      <c r="EC679" t="s">
        <v>3</v>
      </c>
      <c r="EE679">
        <v>1441815344</v>
      </c>
      <c r="EF679">
        <v>1</v>
      </c>
      <c r="EG679" t="s">
        <v>23</v>
      </c>
      <c r="EH679">
        <v>0</v>
      </c>
      <c r="EI679" t="s">
        <v>3</v>
      </c>
      <c r="EJ679">
        <v>4</v>
      </c>
      <c r="EK679">
        <v>0</v>
      </c>
      <c r="EL679" t="s">
        <v>24</v>
      </c>
      <c r="EM679" t="s">
        <v>25</v>
      </c>
      <c r="EO679" t="s">
        <v>524</v>
      </c>
      <c r="EQ679">
        <v>768</v>
      </c>
      <c r="ER679">
        <v>125.24</v>
      </c>
      <c r="ES679">
        <v>1.57</v>
      </c>
      <c r="ET679">
        <v>0</v>
      </c>
      <c r="EU679">
        <v>0</v>
      </c>
      <c r="EV679">
        <v>123.67</v>
      </c>
      <c r="EW679">
        <v>0.22</v>
      </c>
      <c r="EX679">
        <v>0</v>
      </c>
      <c r="EY679">
        <v>0</v>
      </c>
      <c r="FQ679">
        <v>0</v>
      </c>
      <c r="FR679">
        <f t="shared" si="644"/>
        <v>0</v>
      </c>
      <c r="FS679">
        <v>0</v>
      </c>
      <c r="FX679">
        <v>70</v>
      </c>
      <c r="FY679">
        <v>10</v>
      </c>
      <c r="GA679" t="s">
        <v>3</v>
      </c>
      <c r="GD679">
        <v>0</v>
      </c>
      <c r="GF679">
        <v>-1716768099</v>
      </c>
      <c r="GG679">
        <v>2</v>
      </c>
      <c r="GH679">
        <v>1</v>
      </c>
      <c r="GI679">
        <v>-2</v>
      </c>
      <c r="GJ679">
        <v>0</v>
      </c>
      <c r="GK679">
        <f>ROUND(R679*(R12)/100,2)</f>
        <v>0</v>
      </c>
      <c r="GL679">
        <f t="shared" si="645"/>
        <v>0</v>
      </c>
      <c r="GM679">
        <f t="shared" si="646"/>
        <v>39856.720000000001</v>
      </c>
      <c r="GN679">
        <f t="shared" si="647"/>
        <v>0</v>
      </c>
      <c r="GO679">
        <f t="shared" si="648"/>
        <v>0</v>
      </c>
      <c r="GP679">
        <f t="shared" si="649"/>
        <v>39856.720000000001</v>
      </c>
      <c r="GR679">
        <v>0</v>
      </c>
      <c r="GS679">
        <v>3</v>
      </c>
      <c r="GT679">
        <v>0</v>
      </c>
      <c r="GU679" t="s">
        <v>3</v>
      </c>
      <c r="GV679">
        <f t="shared" si="650"/>
        <v>0</v>
      </c>
      <c r="GW679">
        <v>1</v>
      </c>
      <c r="GX679">
        <f t="shared" si="651"/>
        <v>0</v>
      </c>
      <c r="HA679">
        <v>0</v>
      </c>
      <c r="HB679">
        <v>0</v>
      </c>
      <c r="HC679">
        <f t="shared" si="652"/>
        <v>0</v>
      </c>
      <c r="HE679" t="s">
        <v>3</v>
      </c>
      <c r="HF679" t="s">
        <v>3</v>
      </c>
      <c r="HM679" t="s">
        <v>3</v>
      </c>
      <c r="HN679" t="s">
        <v>3</v>
      </c>
      <c r="HO679" t="s">
        <v>3</v>
      </c>
      <c r="HP679" t="s">
        <v>3</v>
      </c>
      <c r="HQ679" t="s">
        <v>3</v>
      </c>
      <c r="IK679">
        <v>0</v>
      </c>
    </row>
    <row r="680" spans="1:245" x14ac:dyDescent="0.2">
      <c r="A680">
        <v>17</v>
      </c>
      <c r="B680">
        <v>1</v>
      </c>
      <c r="D680">
        <f>ROW(EtalonRes!A579)</f>
        <v>579</v>
      </c>
      <c r="E680" t="s">
        <v>536</v>
      </c>
      <c r="F680" t="s">
        <v>519</v>
      </c>
      <c r="G680" t="s">
        <v>537</v>
      </c>
      <c r="H680" t="s">
        <v>32</v>
      </c>
      <c r="I680">
        <f>ROUND(16+16+16+16,9)</f>
        <v>64</v>
      </c>
      <c r="J680">
        <v>0</v>
      </c>
      <c r="K680">
        <f>ROUND(16+16+16+16,9)</f>
        <v>64</v>
      </c>
      <c r="O680">
        <f t="shared" si="613"/>
        <v>6815.85</v>
      </c>
      <c r="P680">
        <f t="shared" si="614"/>
        <v>80.64</v>
      </c>
      <c r="Q680">
        <f t="shared" si="615"/>
        <v>0</v>
      </c>
      <c r="R680">
        <f t="shared" si="616"/>
        <v>0</v>
      </c>
      <c r="S680">
        <f t="shared" si="617"/>
        <v>6735.21</v>
      </c>
      <c r="T680">
        <f t="shared" si="618"/>
        <v>0</v>
      </c>
      <c r="U680">
        <f t="shared" si="619"/>
        <v>11.9808</v>
      </c>
      <c r="V680">
        <f t="shared" si="620"/>
        <v>0</v>
      </c>
      <c r="W680">
        <f t="shared" si="621"/>
        <v>0</v>
      </c>
      <c r="X680">
        <f t="shared" si="622"/>
        <v>4714.6499999999996</v>
      </c>
      <c r="Y680">
        <f t="shared" si="623"/>
        <v>673.52</v>
      </c>
      <c r="AA680">
        <v>1472224561</v>
      </c>
      <c r="AB680">
        <f t="shared" si="624"/>
        <v>106.49760000000001</v>
      </c>
      <c r="AC680">
        <f t="shared" si="625"/>
        <v>1.26</v>
      </c>
      <c r="AD680">
        <f t="shared" si="626"/>
        <v>0</v>
      </c>
      <c r="AE680">
        <f t="shared" si="627"/>
        <v>0</v>
      </c>
      <c r="AF680">
        <f t="shared" si="628"/>
        <v>105.2376</v>
      </c>
      <c r="AG680">
        <f t="shared" si="629"/>
        <v>0</v>
      </c>
      <c r="AH680">
        <f t="shared" si="630"/>
        <v>0.18720000000000001</v>
      </c>
      <c r="AI680">
        <f t="shared" si="631"/>
        <v>0</v>
      </c>
      <c r="AJ680">
        <f t="shared" si="632"/>
        <v>0</v>
      </c>
      <c r="AK680">
        <v>102.45</v>
      </c>
      <c r="AL680">
        <v>1.26</v>
      </c>
      <c r="AM680">
        <v>0</v>
      </c>
      <c r="AN680">
        <v>0</v>
      </c>
      <c r="AO680">
        <v>101.19</v>
      </c>
      <c r="AP680">
        <v>0</v>
      </c>
      <c r="AQ680">
        <v>0.18</v>
      </c>
      <c r="AR680">
        <v>0</v>
      </c>
      <c r="AS680">
        <v>0</v>
      </c>
      <c r="AT680">
        <v>70</v>
      </c>
      <c r="AU680">
        <v>10</v>
      </c>
      <c r="AV680">
        <v>1</v>
      </c>
      <c r="AW680">
        <v>1</v>
      </c>
      <c r="AZ680">
        <v>1</v>
      </c>
      <c r="BA680">
        <v>1</v>
      </c>
      <c r="BB680">
        <v>1</v>
      </c>
      <c r="BC680">
        <v>1</v>
      </c>
      <c r="BD680" t="s">
        <v>3</v>
      </c>
      <c r="BE680" t="s">
        <v>3</v>
      </c>
      <c r="BF680" t="s">
        <v>3</v>
      </c>
      <c r="BG680" t="s">
        <v>3</v>
      </c>
      <c r="BH680">
        <v>0</v>
      </c>
      <c r="BI680">
        <v>4</v>
      </c>
      <c r="BJ680" t="s">
        <v>521</v>
      </c>
      <c r="BM680">
        <v>0</v>
      </c>
      <c r="BN680">
        <v>0</v>
      </c>
      <c r="BO680" t="s">
        <v>3</v>
      </c>
      <c r="BP680">
        <v>0</v>
      </c>
      <c r="BQ680">
        <v>1</v>
      </c>
      <c r="BR680">
        <v>0</v>
      </c>
      <c r="BS680">
        <v>1</v>
      </c>
      <c r="BT680">
        <v>1</v>
      </c>
      <c r="BU680">
        <v>1</v>
      </c>
      <c r="BV680">
        <v>1</v>
      </c>
      <c r="BW680">
        <v>1</v>
      </c>
      <c r="BX680">
        <v>1</v>
      </c>
      <c r="BY680" t="s">
        <v>3</v>
      </c>
      <c r="BZ680">
        <v>70</v>
      </c>
      <c r="CA680">
        <v>10</v>
      </c>
      <c r="CB680" t="s">
        <v>3</v>
      </c>
      <c r="CE680">
        <v>0</v>
      </c>
      <c r="CF680">
        <v>0</v>
      </c>
      <c r="CG680">
        <v>0</v>
      </c>
      <c r="CM680">
        <v>0</v>
      </c>
      <c r="CN680" t="s">
        <v>522</v>
      </c>
      <c r="CO680">
        <v>0</v>
      </c>
      <c r="CP680">
        <f t="shared" si="633"/>
        <v>6815.85</v>
      </c>
      <c r="CQ680">
        <f t="shared" si="634"/>
        <v>1.26</v>
      </c>
      <c r="CR680">
        <f t="shared" si="635"/>
        <v>0</v>
      </c>
      <c r="CS680">
        <f t="shared" si="636"/>
        <v>0</v>
      </c>
      <c r="CT680">
        <f t="shared" si="637"/>
        <v>105.2376</v>
      </c>
      <c r="CU680">
        <f t="shared" si="638"/>
        <v>0</v>
      </c>
      <c r="CV680">
        <f t="shared" si="639"/>
        <v>0.18720000000000001</v>
      </c>
      <c r="CW680">
        <f t="shared" si="640"/>
        <v>0</v>
      </c>
      <c r="CX680">
        <f t="shared" si="641"/>
        <v>0</v>
      </c>
      <c r="CY680">
        <f t="shared" si="642"/>
        <v>4714.6469999999999</v>
      </c>
      <c r="CZ680">
        <f t="shared" si="643"/>
        <v>673.52100000000007</v>
      </c>
      <c r="DC680" t="s">
        <v>3</v>
      </c>
      <c r="DD680" t="s">
        <v>3</v>
      </c>
      <c r="DE680" t="s">
        <v>3</v>
      </c>
      <c r="DF680" t="s">
        <v>3</v>
      </c>
      <c r="DG680" t="s">
        <v>523</v>
      </c>
      <c r="DH680" t="s">
        <v>3</v>
      </c>
      <c r="DI680" t="s">
        <v>523</v>
      </c>
      <c r="DJ680" t="s">
        <v>3</v>
      </c>
      <c r="DK680" t="s">
        <v>3</v>
      </c>
      <c r="DL680" t="s">
        <v>3</v>
      </c>
      <c r="DM680" t="s">
        <v>3</v>
      </c>
      <c r="DN680">
        <v>0</v>
      </c>
      <c r="DO680">
        <v>0</v>
      </c>
      <c r="DP680">
        <v>1</v>
      </c>
      <c r="DQ680">
        <v>1</v>
      </c>
      <c r="DU680">
        <v>16987630</v>
      </c>
      <c r="DV680" t="s">
        <v>32</v>
      </c>
      <c r="DW680" t="s">
        <v>32</v>
      </c>
      <c r="DX680">
        <v>1</v>
      </c>
      <c r="DZ680" t="s">
        <v>3</v>
      </c>
      <c r="EA680" t="s">
        <v>3</v>
      </c>
      <c r="EB680" t="s">
        <v>3</v>
      </c>
      <c r="EC680" t="s">
        <v>3</v>
      </c>
      <c r="EE680">
        <v>1441815344</v>
      </c>
      <c r="EF680">
        <v>1</v>
      </c>
      <c r="EG680" t="s">
        <v>23</v>
      </c>
      <c r="EH680">
        <v>0</v>
      </c>
      <c r="EI680" t="s">
        <v>3</v>
      </c>
      <c r="EJ680">
        <v>4</v>
      </c>
      <c r="EK680">
        <v>0</v>
      </c>
      <c r="EL680" t="s">
        <v>24</v>
      </c>
      <c r="EM680" t="s">
        <v>25</v>
      </c>
      <c r="EO680" t="s">
        <v>524</v>
      </c>
      <c r="EQ680">
        <v>768</v>
      </c>
      <c r="ER680">
        <v>102.45</v>
      </c>
      <c r="ES680">
        <v>1.26</v>
      </c>
      <c r="ET680">
        <v>0</v>
      </c>
      <c r="EU680">
        <v>0</v>
      </c>
      <c r="EV680">
        <v>101.19</v>
      </c>
      <c r="EW680">
        <v>0.18</v>
      </c>
      <c r="EX680">
        <v>0</v>
      </c>
      <c r="EY680">
        <v>0</v>
      </c>
      <c r="FQ680">
        <v>0</v>
      </c>
      <c r="FR680">
        <f t="shared" si="644"/>
        <v>0</v>
      </c>
      <c r="FS680">
        <v>0</v>
      </c>
      <c r="FX680">
        <v>70</v>
      </c>
      <c r="FY680">
        <v>10</v>
      </c>
      <c r="GA680" t="s">
        <v>3</v>
      </c>
      <c r="GD680">
        <v>0</v>
      </c>
      <c r="GF680">
        <v>-1029469366</v>
      </c>
      <c r="GG680">
        <v>2</v>
      </c>
      <c r="GH680">
        <v>1</v>
      </c>
      <c r="GI680">
        <v>-2</v>
      </c>
      <c r="GJ680">
        <v>0</v>
      </c>
      <c r="GK680">
        <f>ROUND(R680*(R12)/100,2)</f>
        <v>0</v>
      </c>
      <c r="GL680">
        <f t="shared" si="645"/>
        <v>0</v>
      </c>
      <c r="GM680">
        <f t="shared" si="646"/>
        <v>12204.02</v>
      </c>
      <c r="GN680">
        <f t="shared" si="647"/>
        <v>0</v>
      </c>
      <c r="GO680">
        <f t="shared" si="648"/>
        <v>0</v>
      </c>
      <c r="GP680">
        <f t="shared" si="649"/>
        <v>12204.02</v>
      </c>
      <c r="GR680">
        <v>0</v>
      </c>
      <c r="GS680">
        <v>3</v>
      </c>
      <c r="GT680">
        <v>0</v>
      </c>
      <c r="GU680" t="s">
        <v>3</v>
      </c>
      <c r="GV680">
        <f t="shared" si="650"/>
        <v>0</v>
      </c>
      <c r="GW680">
        <v>1</v>
      </c>
      <c r="GX680">
        <f t="shared" si="651"/>
        <v>0</v>
      </c>
      <c r="HA680">
        <v>0</v>
      </c>
      <c r="HB680">
        <v>0</v>
      </c>
      <c r="HC680">
        <f t="shared" si="652"/>
        <v>0</v>
      </c>
      <c r="HE680" t="s">
        <v>3</v>
      </c>
      <c r="HF680" t="s">
        <v>3</v>
      </c>
      <c r="HM680" t="s">
        <v>3</v>
      </c>
      <c r="HN680" t="s">
        <v>3</v>
      </c>
      <c r="HO680" t="s">
        <v>3</v>
      </c>
      <c r="HP680" t="s">
        <v>3</v>
      </c>
      <c r="HQ680" t="s">
        <v>3</v>
      </c>
      <c r="IK680">
        <v>0</v>
      </c>
    </row>
    <row r="681" spans="1:245" x14ac:dyDescent="0.2">
      <c r="A681">
        <v>17</v>
      </c>
      <c r="B681">
        <v>1</v>
      </c>
      <c r="D681">
        <f>ROW(EtalonRes!A581)</f>
        <v>581</v>
      </c>
      <c r="E681" t="s">
        <v>538</v>
      </c>
      <c r="F681" t="s">
        <v>530</v>
      </c>
      <c r="G681" t="s">
        <v>539</v>
      </c>
      <c r="H681" t="s">
        <v>32</v>
      </c>
      <c r="I681">
        <f>ROUND(46+46+46+4+2+44,9)</f>
        <v>188</v>
      </c>
      <c r="J681">
        <v>0</v>
      </c>
      <c r="K681">
        <f>ROUND(46+46+46+4+2+44,9)</f>
        <v>188</v>
      </c>
      <c r="O681">
        <f t="shared" si="613"/>
        <v>33092.89</v>
      </c>
      <c r="P681">
        <f t="shared" si="614"/>
        <v>118.44</v>
      </c>
      <c r="Q681">
        <f t="shared" si="615"/>
        <v>0</v>
      </c>
      <c r="R681">
        <f t="shared" si="616"/>
        <v>0</v>
      </c>
      <c r="S681">
        <f t="shared" si="617"/>
        <v>32974.449999999997</v>
      </c>
      <c r="T681">
        <f t="shared" si="618"/>
        <v>0</v>
      </c>
      <c r="U681">
        <f t="shared" si="619"/>
        <v>58.655999999999999</v>
      </c>
      <c r="V681">
        <f t="shared" si="620"/>
        <v>0</v>
      </c>
      <c r="W681">
        <f t="shared" si="621"/>
        <v>0</v>
      </c>
      <c r="X681">
        <f t="shared" si="622"/>
        <v>23082.12</v>
      </c>
      <c r="Y681">
        <f t="shared" si="623"/>
        <v>3297.45</v>
      </c>
      <c r="AA681">
        <v>1472224561</v>
      </c>
      <c r="AB681">
        <f t="shared" si="624"/>
        <v>176.02600000000001</v>
      </c>
      <c r="AC681">
        <f t="shared" si="625"/>
        <v>0.63</v>
      </c>
      <c r="AD681">
        <f t="shared" si="626"/>
        <v>0</v>
      </c>
      <c r="AE681">
        <f t="shared" si="627"/>
        <v>0</v>
      </c>
      <c r="AF681">
        <f t="shared" si="628"/>
        <v>175.39599999999999</v>
      </c>
      <c r="AG681">
        <f t="shared" si="629"/>
        <v>0</v>
      </c>
      <c r="AH681">
        <f t="shared" si="630"/>
        <v>0.312</v>
      </c>
      <c r="AI681">
        <f t="shared" si="631"/>
        <v>0</v>
      </c>
      <c r="AJ681">
        <f t="shared" si="632"/>
        <v>0</v>
      </c>
      <c r="AK681">
        <v>169.28</v>
      </c>
      <c r="AL681">
        <v>0.63</v>
      </c>
      <c r="AM681">
        <v>0</v>
      </c>
      <c r="AN681">
        <v>0</v>
      </c>
      <c r="AO681">
        <v>168.65</v>
      </c>
      <c r="AP681">
        <v>0</v>
      </c>
      <c r="AQ681">
        <v>0.3</v>
      </c>
      <c r="AR681">
        <v>0</v>
      </c>
      <c r="AS681">
        <v>0</v>
      </c>
      <c r="AT681">
        <v>70</v>
      </c>
      <c r="AU681">
        <v>10</v>
      </c>
      <c r="AV681">
        <v>1</v>
      </c>
      <c r="AW681">
        <v>1</v>
      </c>
      <c r="AZ681">
        <v>1</v>
      </c>
      <c r="BA681">
        <v>1</v>
      </c>
      <c r="BB681">
        <v>1</v>
      </c>
      <c r="BC681">
        <v>1</v>
      </c>
      <c r="BD681" t="s">
        <v>3</v>
      </c>
      <c r="BE681" t="s">
        <v>3</v>
      </c>
      <c r="BF681" t="s">
        <v>3</v>
      </c>
      <c r="BG681" t="s">
        <v>3</v>
      </c>
      <c r="BH681">
        <v>0</v>
      </c>
      <c r="BI681">
        <v>4</v>
      </c>
      <c r="BJ681" t="s">
        <v>531</v>
      </c>
      <c r="BM681">
        <v>0</v>
      </c>
      <c r="BN681">
        <v>0</v>
      </c>
      <c r="BO681" t="s">
        <v>3</v>
      </c>
      <c r="BP681">
        <v>0</v>
      </c>
      <c r="BQ681">
        <v>1</v>
      </c>
      <c r="BR681">
        <v>0</v>
      </c>
      <c r="BS681">
        <v>1</v>
      </c>
      <c r="BT681">
        <v>1</v>
      </c>
      <c r="BU681">
        <v>1</v>
      </c>
      <c r="BV681">
        <v>1</v>
      </c>
      <c r="BW681">
        <v>1</v>
      </c>
      <c r="BX681">
        <v>1</v>
      </c>
      <c r="BY681" t="s">
        <v>3</v>
      </c>
      <c r="BZ681">
        <v>70</v>
      </c>
      <c r="CA681">
        <v>10</v>
      </c>
      <c r="CB681" t="s">
        <v>3</v>
      </c>
      <c r="CE681">
        <v>0</v>
      </c>
      <c r="CF681">
        <v>0</v>
      </c>
      <c r="CG681">
        <v>0</v>
      </c>
      <c r="CM681">
        <v>0</v>
      </c>
      <c r="CN681" t="s">
        <v>522</v>
      </c>
      <c r="CO681">
        <v>0</v>
      </c>
      <c r="CP681">
        <f t="shared" si="633"/>
        <v>33092.89</v>
      </c>
      <c r="CQ681">
        <f t="shared" si="634"/>
        <v>0.63</v>
      </c>
      <c r="CR681">
        <f t="shared" si="635"/>
        <v>0</v>
      </c>
      <c r="CS681">
        <f t="shared" si="636"/>
        <v>0</v>
      </c>
      <c r="CT681">
        <f t="shared" si="637"/>
        <v>175.39599999999999</v>
      </c>
      <c r="CU681">
        <f t="shared" si="638"/>
        <v>0</v>
      </c>
      <c r="CV681">
        <f t="shared" si="639"/>
        <v>0.312</v>
      </c>
      <c r="CW681">
        <f t="shared" si="640"/>
        <v>0</v>
      </c>
      <c r="CX681">
        <f t="shared" si="641"/>
        <v>0</v>
      </c>
      <c r="CY681">
        <f t="shared" si="642"/>
        <v>23082.115000000002</v>
      </c>
      <c r="CZ681">
        <f t="shared" si="643"/>
        <v>3297.4450000000002</v>
      </c>
      <c r="DC681" t="s">
        <v>3</v>
      </c>
      <c r="DD681" t="s">
        <v>3</v>
      </c>
      <c r="DE681" t="s">
        <v>3</v>
      </c>
      <c r="DF681" t="s">
        <v>3</v>
      </c>
      <c r="DG681" t="s">
        <v>523</v>
      </c>
      <c r="DH681" t="s">
        <v>3</v>
      </c>
      <c r="DI681" t="s">
        <v>523</v>
      </c>
      <c r="DJ681" t="s">
        <v>3</v>
      </c>
      <c r="DK681" t="s">
        <v>3</v>
      </c>
      <c r="DL681" t="s">
        <v>3</v>
      </c>
      <c r="DM681" t="s">
        <v>3</v>
      </c>
      <c r="DN681">
        <v>0</v>
      </c>
      <c r="DO681">
        <v>0</v>
      </c>
      <c r="DP681">
        <v>1</v>
      </c>
      <c r="DQ681">
        <v>1</v>
      </c>
      <c r="DU681">
        <v>16987630</v>
      </c>
      <c r="DV681" t="s">
        <v>32</v>
      </c>
      <c r="DW681" t="s">
        <v>32</v>
      </c>
      <c r="DX681">
        <v>1</v>
      </c>
      <c r="DZ681" t="s">
        <v>3</v>
      </c>
      <c r="EA681" t="s">
        <v>3</v>
      </c>
      <c r="EB681" t="s">
        <v>3</v>
      </c>
      <c r="EC681" t="s">
        <v>3</v>
      </c>
      <c r="EE681">
        <v>1441815344</v>
      </c>
      <c r="EF681">
        <v>1</v>
      </c>
      <c r="EG681" t="s">
        <v>23</v>
      </c>
      <c r="EH681">
        <v>0</v>
      </c>
      <c r="EI681" t="s">
        <v>3</v>
      </c>
      <c r="EJ681">
        <v>4</v>
      </c>
      <c r="EK681">
        <v>0</v>
      </c>
      <c r="EL681" t="s">
        <v>24</v>
      </c>
      <c r="EM681" t="s">
        <v>25</v>
      </c>
      <c r="EO681" t="s">
        <v>524</v>
      </c>
      <c r="EQ681">
        <v>768</v>
      </c>
      <c r="ER681">
        <v>169.28</v>
      </c>
      <c r="ES681">
        <v>0.63</v>
      </c>
      <c r="ET681">
        <v>0</v>
      </c>
      <c r="EU681">
        <v>0</v>
      </c>
      <c r="EV681">
        <v>168.65</v>
      </c>
      <c r="EW681">
        <v>0.3</v>
      </c>
      <c r="EX681">
        <v>0</v>
      </c>
      <c r="EY681">
        <v>0</v>
      </c>
      <c r="FQ681">
        <v>0</v>
      </c>
      <c r="FR681">
        <f t="shared" si="644"/>
        <v>0</v>
      </c>
      <c r="FS681">
        <v>0</v>
      </c>
      <c r="FX681">
        <v>70</v>
      </c>
      <c r="FY681">
        <v>10</v>
      </c>
      <c r="GA681" t="s">
        <v>3</v>
      </c>
      <c r="GD681">
        <v>0</v>
      </c>
      <c r="GF681">
        <v>1656029233</v>
      </c>
      <c r="GG681">
        <v>2</v>
      </c>
      <c r="GH681">
        <v>1</v>
      </c>
      <c r="GI681">
        <v>-2</v>
      </c>
      <c r="GJ681">
        <v>0</v>
      </c>
      <c r="GK681">
        <f>ROUND(R681*(R12)/100,2)</f>
        <v>0</v>
      </c>
      <c r="GL681">
        <f t="shared" si="645"/>
        <v>0</v>
      </c>
      <c r="GM681">
        <f t="shared" si="646"/>
        <v>59472.46</v>
      </c>
      <c r="GN681">
        <f t="shared" si="647"/>
        <v>0</v>
      </c>
      <c r="GO681">
        <f t="shared" si="648"/>
        <v>0</v>
      </c>
      <c r="GP681">
        <f t="shared" si="649"/>
        <v>59472.46</v>
      </c>
      <c r="GR681">
        <v>0</v>
      </c>
      <c r="GS681">
        <v>3</v>
      </c>
      <c r="GT681">
        <v>0</v>
      </c>
      <c r="GU681" t="s">
        <v>3</v>
      </c>
      <c r="GV681">
        <f t="shared" si="650"/>
        <v>0</v>
      </c>
      <c r="GW681">
        <v>1</v>
      </c>
      <c r="GX681">
        <f t="shared" si="651"/>
        <v>0</v>
      </c>
      <c r="HA681">
        <v>0</v>
      </c>
      <c r="HB681">
        <v>0</v>
      </c>
      <c r="HC681">
        <f t="shared" si="652"/>
        <v>0</v>
      </c>
      <c r="HE681" t="s">
        <v>3</v>
      </c>
      <c r="HF681" t="s">
        <v>3</v>
      </c>
      <c r="HM681" t="s">
        <v>3</v>
      </c>
      <c r="HN681" t="s">
        <v>3</v>
      </c>
      <c r="HO681" t="s">
        <v>3</v>
      </c>
      <c r="HP681" t="s">
        <v>3</v>
      </c>
      <c r="HQ681" t="s">
        <v>3</v>
      </c>
      <c r="IK681">
        <v>0</v>
      </c>
    </row>
    <row r="682" spans="1:245" x14ac:dyDescent="0.2">
      <c r="A682">
        <v>17</v>
      </c>
      <c r="B682">
        <v>1</v>
      </c>
      <c r="D682">
        <f>ROW(EtalonRes!A583)</f>
        <v>583</v>
      </c>
      <c r="E682" t="s">
        <v>540</v>
      </c>
      <c r="F682" t="s">
        <v>519</v>
      </c>
      <c r="G682" t="s">
        <v>541</v>
      </c>
      <c r="H682" t="s">
        <v>32</v>
      </c>
      <c r="I682">
        <f>ROUND(18+18+18,9)</f>
        <v>54</v>
      </c>
      <c r="J682">
        <v>0</v>
      </c>
      <c r="K682">
        <f>ROUND(18+18+18,9)</f>
        <v>54</v>
      </c>
      <c r="O682">
        <f t="shared" si="613"/>
        <v>5750.87</v>
      </c>
      <c r="P682">
        <f t="shared" si="614"/>
        <v>68.040000000000006</v>
      </c>
      <c r="Q682">
        <f t="shared" si="615"/>
        <v>0</v>
      </c>
      <c r="R682">
        <f t="shared" si="616"/>
        <v>0</v>
      </c>
      <c r="S682">
        <f t="shared" si="617"/>
        <v>5682.83</v>
      </c>
      <c r="T682">
        <f t="shared" si="618"/>
        <v>0</v>
      </c>
      <c r="U682">
        <f t="shared" si="619"/>
        <v>10.1088</v>
      </c>
      <c r="V682">
        <f t="shared" si="620"/>
        <v>0</v>
      </c>
      <c r="W682">
        <f t="shared" si="621"/>
        <v>0</v>
      </c>
      <c r="X682">
        <f t="shared" si="622"/>
        <v>3977.98</v>
      </c>
      <c r="Y682">
        <f t="shared" si="623"/>
        <v>568.28</v>
      </c>
      <c r="AA682">
        <v>1472224561</v>
      </c>
      <c r="AB682">
        <f t="shared" si="624"/>
        <v>106.49760000000001</v>
      </c>
      <c r="AC682">
        <f t="shared" si="625"/>
        <v>1.26</v>
      </c>
      <c r="AD682">
        <f t="shared" si="626"/>
        <v>0</v>
      </c>
      <c r="AE682">
        <f t="shared" si="627"/>
        <v>0</v>
      </c>
      <c r="AF682">
        <f t="shared" si="628"/>
        <v>105.2376</v>
      </c>
      <c r="AG682">
        <f t="shared" si="629"/>
        <v>0</v>
      </c>
      <c r="AH682">
        <f t="shared" si="630"/>
        <v>0.18720000000000001</v>
      </c>
      <c r="AI682">
        <f t="shared" si="631"/>
        <v>0</v>
      </c>
      <c r="AJ682">
        <f t="shared" si="632"/>
        <v>0</v>
      </c>
      <c r="AK682">
        <v>102.45</v>
      </c>
      <c r="AL682">
        <v>1.26</v>
      </c>
      <c r="AM682">
        <v>0</v>
      </c>
      <c r="AN682">
        <v>0</v>
      </c>
      <c r="AO682">
        <v>101.19</v>
      </c>
      <c r="AP682">
        <v>0</v>
      </c>
      <c r="AQ682">
        <v>0.18</v>
      </c>
      <c r="AR682">
        <v>0</v>
      </c>
      <c r="AS682">
        <v>0</v>
      </c>
      <c r="AT682">
        <v>70</v>
      </c>
      <c r="AU682">
        <v>10</v>
      </c>
      <c r="AV682">
        <v>1</v>
      </c>
      <c r="AW682">
        <v>1</v>
      </c>
      <c r="AZ682">
        <v>1</v>
      </c>
      <c r="BA682">
        <v>1</v>
      </c>
      <c r="BB682">
        <v>1</v>
      </c>
      <c r="BC682">
        <v>1</v>
      </c>
      <c r="BD682" t="s">
        <v>3</v>
      </c>
      <c r="BE682" t="s">
        <v>3</v>
      </c>
      <c r="BF682" t="s">
        <v>3</v>
      </c>
      <c r="BG682" t="s">
        <v>3</v>
      </c>
      <c r="BH682">
        <v>0</v>
      </c>
      <c r="BI682">
        <v>4</v>
      </c>
      <c r="BJ682" t="s">
        <v>521</v>
      </c>
      <c r="BM682">
        <v>0</v>
      </c>
      <c r="BN682">
        <v>0</v>
      </c>
      <c r="BO682" t="s">
        <v>3</v>
      </c>
      <c r="BP682">
        <v>0</v>
      </c>
      <c r="BQ682">
        <v>1</v>
      </c>
      <c r="BR682">
        <v>0</v>
      </c>
      <c r="BS682">
        <v>1</v>
      </c>
      <c r="BT682">
        <v>1</v>
      </c>
      <c r="BU682">
        <v>1</v>
      </c>
      <c r="BV682">
        <v>1</v>
      </c>
      <c r="BW682">
        <v>1</v>
      </c>
      <c r="BX682">
        <v>1</v>
      </c>
      <c r="BY682" t="s">
        <v>3</v>
      </c>
      <c r="BZ682">
        <v>70</v>
      </c>
      <c r="CA682">
        <v>10</v>
      </c>
      <c r="CB682" t="s">
        <v>3</v>
      </c>
      <c r="CE682">
        <v>0</v>
      </c>
      <c r="CF682">
        <v>0</v>
      </c>
      <c r="CG682">
        <v>0</v>
      </c>
      <c r="CM682">
        <v>0</v>
      </c>
      <c r="CN682" t="s">
        <v>522</v>
      </c>
      <c r="CO682">
        <v>0</v>
      </c>
      <c r="CP682">
        <f t="shared" si="633"/>
        <v>5750.87</v>
      </c>
      <c r="CQ682">
        <f t="shared" si="634"/>
        <v>1.26</v>
      </c>
      <c r="CR682">
        <f t="shared" si="635"/>
        <v>0</v>
      </c>
      <c r="CS682">
        <f t="shared" si="636"/>
        <v>0</v>
      </c>
      <c r="CT682">
        <f t="shared" si="637"/>
        <v>105.2376</v>
      </c>
      <c r="CU682">
        <f t="shared" si="638"/>
        <v>0</v>
      </c>
      <c r="CV682">
        <f t="shared" si="639"/>
        <v>0.18720000000000001</v>
      </c>
      <c r="CW682">
        <f t="shared" si="640"/>
        <v>0</v>
      </c>
      <c r="CX682">
        <f t="shared" si="641"/>
        <v>0</v>
      </c>
      <c r="CY682">
        <f t="shared" si="642"/>
        <v>3977.9809999999998</v>
      </c>
      <c r="CZ682">
        <f t="shared" si="643"/>
        <v>568.28300000000002</v>
      </c>
      <c r="DC682" t="s">
        <v>3</v>
      </c>
      <c r="DD682" t="s">
        <v>3</v>
      </c>
      <c r="DE682" t="s">
        <v>3</v>
      </c>
      <c r="DF682" t="s">
        <v>3</v>
      </c>
      <c r="DG682" t="s">
        <v>523</v>
      </c>
      <c r="DH682" t="s">
        <v>3</v>
      </c>
      <c r="DI682" t="s">
        <v>523</v>
      </c>
      <c r="DJ682" t="s">
        <v>3</v>
      </c>
      <c r="DK682" t="s">
        <v>3</v>
      </c>
      <c r="DL682" t="s">
        <v>3</v>
      </c>
      <c r="DM682" t="s">
        <v>3</v>
      </c>
      <c r="DN682">
        <v>0</v>
      </c>
      <c r="DO682">
        <v>0</v>
      </c>
      <c r="DP682">
        <v>1</v>
      </c>
      <c r="DQ682">
        <v>1</v>
      </c>
      <c r="DU682">
        <v>16987630</v>
      </c>
      <c r="DV682" t="s">
        <v>32</v>
      </c>
      <c r="DW682" t="s">
        <v>32</v>
      </c>
      <c r="DX682">
        <v>1</v>
      </c>
      <c r="DZ682" t="s">
        <v>3</v>
      </c>
      <c r="EA682" t="s">
        <v>3</v>
      </c>
      <c r="EB682" t="s">
        <v>3</v>
      </c>
      <c r="EC682" t="s">
        <v>3</v>
      </c>
      <c r="EE682">
        <v>1441815344</v>
      </c>
      <c r="EF682">
        <v>1</v>
      </c>
      <c r="EG682" t="s">
        <v>23</v>
      </c>
      <c r="EH682">
        <v>0</v>
      </c>
      <c r="EI682" t="s">
        <v>3</v>
      </c>
      <c r="EJ682">
        <v>4</v>
      </c>
      <c r="EK682">
        <v>0</v>
      </c>
      <c r="EL682" t="s">
        <v>24</v>
      </c>
      <c r="EM682" t="s">
        <v>25</v>
      </c>
      <c r="EO682" t="s">
        <v>524</v>
      </c>
      <c r="EQ682">
        <v>768</v>
      </c>
      <c r="ER682">
        <v>102.45</v>
      </c>
      <c r="ES682">
        <v>1.26</v>
      </c>
      <c r="ET682">
        <v>0</v>
      </c>
      <c r="EU682">
        <v>0</v>
      </c>
      <c r="EV682">
        <v>101.19</v>
      </c>
      <c r="EW682">
        <v>0.18</v>
      </c>
      <c r="EX682">
        <v>0</v>
      </c>
      <c r="EY682">
        <v>0</v>
      </c>
      <c r="FQ682">
        <v>0</v>
      </c>
      <c r="FR682">
        <f t="shared" si="644"/>
        <v>0</v>
      </c>
      <c r="FS682">
        <v>0</v>
      </c>
      <c r="FX682">
        <v>70</v>
      </c>
      <c r="FY682">
        <v>10</v>
      </c>
      <c r="GA682" t="s">
        <v>3</v>
      </c>
      <c r="GD682">
        <v>0</v>
      </c>
      <c r="GF682">
        <v>-724391867</v>
      </c>
      <c r="GG682">
        <v>2</v>
      </c>
      <c r="GH682">
        <v>1</v>
      </c>
      <c r="GI682">
        <v>-2</v>
      </c>
      <c r="GJ682">
        <v>0</v>
      </c>
      <c r="GK682">
        <f>ROUND(R682*(R12)/100,2)</f>
        <v>0</v>
      </c>
      <c r="GL682">
        <f t="shared" si="645"/>
        <v>0</v>
      </c>
      <c r="GM682">
        <f t="shared" si="646"/>
        <v>10297.129999999999</v>
      </c>
      <c r="GN682">
        <f t="shared" si="647"/>
        <v>0</v>
      </c>
      <c r="GO682">
        <f t="shared" si="648"/>
        <v>0</v>
      </c>
      <c r="GP682">
        <f t="shared" si="649"/>
        <v>10297.129999999999</v>
      </c>
      <c r="GR682">
        <v>0</v>
      </c>
      <c r="GS682">
        <v>3</v>
      </c>
      <c r="GT682">
        <v>0</v>
      </c>
      <c r="GU682" t="s">
        <v>3</v>
      </c>
      <c r="GV682">
        <f t="shared" si="650"/>
        <v>0</v>
      </c>
      <c r="GW682">
        <v>1</v>
      </c>
      <c r="GX682">
        <f t="shared" si="651"/>
        <v>0</v>
      </c>
      <c r="HA682">
        <v>0</v>
      </c>
      <c r="HB682">
        <v>0</v>
      </c>
      <c r="HC682">
        <f t="shared" si="652"/>
        <v>0</v>
      </c>
      <c r="HE682" t="s">
        <v>3</v>
      </c>
      <c r="HF682" t="s">
        <v>3</v>
      </c>
      <c r="HM682" t="s">
        <v>3</v>
      </c>
      <c r="HN682" t="s">
        <v>3</v>
      </c>
      <c r="HO682" t="s">
        <v>3</v>
      </c>
      <c r="HP682" t="s">
        <v>3</v>
      </c>
      <c r="HQ682" t="s">
        <v>3</v>
      </c>
      <c r="IK682">
        <v>0</v>
      </c>
    </row>
    <row r="683" spans="1:245" x14ac:dyDescent="0.2">
      <c r="A683">
        <v>17</v>
      </c>
      <c r="B683">
        <v>1</v>
      </c>
      <c r="D683">
        <f>ROW(EtalonRes!A585)</f>
        <v>585</v>
      </c>
      <c r="E683" t="s">
        <v>542</v>
      </c>
      <c r="F683" t="s">
        <v>530</v>
      </c>
      <c r="G683" t="s">
        <v>797</v>
      </c>
      <c r="H683" t="s">
        <v>32</v>
      </c>
      <c r="I683">
        <f>ROUND(2+2+2+3+4,9)</f>
        <v>13</v>
      </c>
      <c r="J683">
        <v>0</v>
      </c>
      <c r="K683">
        <f>ROUND(2+2+2+3+4,9)</f>
        <v>13</v>
      </c>
      <c r="O683">
        <f t="shared" si="613"/>
        <v>2288.34</v>
      </c>
      <c r="P683">
        <f t="shared" si="614"/>
        <v>8.19</v>
      </c>
      <c r="Q683">
        <f t="shared" si="615"/>
        <v>0</v>
      </c>
      <c r="R683">
        <f t="shared" si="616"/>
        <v>0</v>
      </c>
      <c r="S683">
        <f t="shared" si="617"/>
        <v>2280.15</v>
      </c>
      <c r="T683">
        <f t="shared" si="618"/>
        <v>0</v>
      </c>
      <c r="U683">
        <f t="shared" si="619"/>
        <v>4.056</v>
      </c>
      <c r="V683">
        <f t="shared" si="620"/>
        <v>0</v>
      </c>
      <c r="W683">
        <f t="shared" si="621"/>
        <v>0</v>
      </c>
      <c r="X683">
        <f t="shared" si="622"/>
        <v>1596.11</v>
      </c>
      <c r="Y683">
        <f t="shared" si="623"/>
        <v>228.02</v>
      </c>
      <c r="AA683">
        <v>1472224561</v>
      </c>
      <c r="AB683">
        <f t="shared" si="624"/>
        <v>176.02600000000001</v>
      </c>
      <c r="AC683">
        <f t="shared" si="625"/>
        <v>0.63</v>
      </c>
      <c r="AD683">
        <f t="shared" si="626"/>
        <v>0</v>
      </c>
      <c r="AE683">
        <f t="shared" si="627"/>
        <v>0</v>
      </c>
      <c r="AF683">
        <f t="shared" si="628"/>
        <v>175.39599999999999</v>
      </c>
      <c r="AG683">
        <f t="shared" si="629"/>
        <v>0</v>
      </c>
      <c r="AH683">
        <f t="shared" si="630"/>
        <v>0.312</v>
      </c>
      <c r="AI683">
        <f t="shared" si="631"/>
        <v>0</v>
      </c>
      <c r="AJ683">
        <f t="shared" si="632"/>
        <v>0</v>
      </c>
      <c r="AK683">
        <v>169.28</v>
      </c>
      <c r="AL683">
        <v>0.63</v>
      </c>
      <c r="AM683">
        <v>0</v>
      </c>
      <c r="AN683">
        <v>0</v>
      </c>
      <c r="AO683">
        <v>168.65</v>
      </c>
      <c r="AP683">
        <v>0</v>
      </c>
      <c r="AQ683">
        <v>0.3</v>
      </c>
      <c r="AR683">
        <v>0</v>
      </c>
      <c r="AS683">
        <v>0</v>
      </c>
      <c r="AT683">
        <v>70</v>
      </c>
      <c r="AU683">
        <v>10</v>
      </c>
      <c r="AV683">
        <v>1</v>
      </c>
      <c r="AW683">
        <v>1</v>
      </c>
      <c r="AZ683">
        <v>1</v>
      </c>
      <c r="BA683">
        <v>1</v>
      </c>
      <c r="BB683">
        <v>1</v>
      </c>
      <c r="BC683">
        <v>1</v>
      </c>
      <c r="BD683" t="s">
        <v>3</v>
      </c>
      <c r="BE683" t="s">
        <v>3</v>
      </c>
      <c r="BF683" t="s">
        <v>3</v>
      </c>
      <c r="BG683" t="s">
        <v>3</v>
      </c>
      <c r="BH683">
        <v>0</v>
      </c>
      <c r="BI683">
        <v>4</v>
      </c>
      <c r="BJ683" t="s">
        <v>531</v>
      </c>
      <c r="BM683">
        <v>0</v>
      </c>
      <c r="BN683">
        <v>0</v>
      </c>
      <c r="BO683" t="s">
        <v>3</v>
      </c>
      <c r="BP683">
        <v>0</v>
      </c>
      <c r="BQ683">
        <v>1</v>
      </c>
      <c r="BR683">
        <v>0</v>
      </c>
      <c r="BS683">
        <v>1</v>
      </c>
      <c r="BT683">
        <v>1</v>
      </c>
      <c r="BU683">
        <v>1</v>
      </c>
      <c r="BV683">
        <v>1</v>
      </c>
      <c r="BW683">
        <v>1</v>
      </c>
      <c r="BX683">
        <v>1</v>
      </c>
      <c r="BY683" t="s">
        <v>3</v>
      </c>
      <c r="BZ683">
        <v>70</v>
      </c>
      <c r="CA683">
        <v>10</v>
      </c>
      <c r="CB683" t="s">
        <v>3</v>
      </c>
      <c r="CE683">
        <v>0</v>
      </c>
      <c r="CF683">
        <v>0</v>
      </c>
      <c r="CG683">
        <v>0</v>
      </c>
      <c r="CM683">
        <v>0</v>
      </c>
      <c r="CN683" t="s">
        <v>522</v>
      </c>
      <c r="CO683">
        <v>0</v>
      </c>
      <c r="CP683">
        <f t="shared" si="633"/>
        <v>2288.34</v>
      </c>
      <c r="CQ683">
        <f t="shared" si="634"/>
        <v>0.63</v>
      </c>
      <c r="CR683">
        <f t="shared" si="635"/>
        <v>0</v>
      </c>
      <c r="CS683">
        <f t="shared" si="636"/>
        <v>0</v>
      </c>
      <c r="CT683">
        <f t="shared" si="637"/>
        <v>175.39599999999999</v>
      </c>
      <c r="CU683">
        <f t="shared" si="638"/>
        <v>0</v>
      </c>
      <c r="CV683">
        <f t="shared" si="639"/>
        <v>0.312</v>
      </c>
      <c r="CW683">
        <f t="shared" si="640"/>
        <v>0</v>
      </c>
      <c r="CX683">
        <f t="shared" si="641"/>
        <v>0</v>
      </c>
      <c r="CY683">
        <f t="shared" si="642"/>
        <v>1596.105</v>
      </c>
      <c r="CZ683">
        <f t="shared" si="643"/>
        <v>228.01499999999999</v>
      </c>
      <c r="DC683" t="s">
        <v>3</v>
      </c>
      <c r="DD683" t="s">
        <v>3</v>
      </c>
      <c r="DE683" t="s">
        <v>3</v>
      </c>
      <c r="DF683" t="s">
        <v>3</v>
      </c>
      <c r="DG683" t="s">
        <v>523</v>
      </c>
      <c r="DH683" t="s">
        <v>3</v>
      </c>
      <c r="DI683" t="s">
        <v>523</v>
      </c>
      <c r="DJ683" t="s">
        <v>3</v>
      </c>
      <c r="DK683" t="s">
        <v>3</v>
      </c>
      <c r="DL683" t="s">
        <v>3</v>
      </c>
      <c r="DM683" t="s">
        <v>3</v>
      </c>
      <c r="DN683">
        <v>0</v>
      </c>
      <c r="DO683">
        <v>0</v>
      </c>
      <c r="DP683">
        <v>1</v>
      </c>
      <c r="DQ683">
        <v>1</v>
      </c>
      <c r="DU683">
        <v>16987630</v>
      </c>
      <c r="DV683" t="s">
        <v>32</v>
      </c>
      <c r="DW683" t="s">
        <v>32</v>
      </c>
      <c r="DX683">
        <v>1</v>
      </c>
      <c r="DZ683" t="s">
        <v>3</v>
      </c>
      <c r="EA683" t="s">
        <v>3</v>
      </c>
      <c r="EB683" t="s">
        <v>3</v>
      </c>
      <c r="EC683" t="s">
        <v>3</v>
      </c>
      <c r="EE683">
        <v>1441815344</v>
      </c>
      <c r="EF683">
        <v>1</v>
      </c>
      <c r="EG683" t="s">
        <v>23</v>
      </c>
      <c r="EH683">
        <v>0</v>
      </c>
      <c r="EI683" t="s">
        <v>3</v>
      </c>
      <c r="EJ683">
        <v>4</v>
      </c>
      <c r="EK683">
        <v>0</v>
      </c>
      <c r="EL683" t="s">
        <v>24</v>
      </c>
      <c r="EM683" t="s">
        <v>25</v>
      </c>
      <c r="EO683" t="s">
        <v>524</v>
      </c>
      <c r="EQ683">
        <v>768</v>
      </c>
      <c r="ER683">
        <v>169.28</v>
      </c>
      <c r="ES683">
        <v>0.63</v>
      </c>
      <c r="ET683">
        <v>0</v>
      </c>
      <c r="EU683">
        <v>0</v>
      </c>
      <c r="EV683">
        <v>168.65</v>
      </c>
      <c r="EW683">
        <v>0.3</v>
      </c>
      <c r="EX683">
        <v>0</v>
      </c>
      <c r="EY683">
        <v>0</v>
      </c>
      <c r="FQ683">
        <v>0</v>
      </c>
      <c r="FR683">
        <f t="shared" si="644"/>
        <v>0</v>
      </c>
      <c r="FS683">
        <v>0</v>
      </c>
      <c r="FX683">
        <v>70</v>
      </c>
      <c r="FY683">
        <v>10</v>
      </c>
      <c r="GA683" t="s">
        <v>3</v>
      </c>
      <c r="GD683">
        <v>0</v>
      </c>
      <c r="GF683">
        <v>2095205729</v>
      </c>
      <c r="GG683">
        <v>2</v>
      </c>
      <c r="GH683">
        <v>1</v>
      </c>
      <c r="GI683">
        <v>-2</v>
      </c>
      <c r="GJ683">
        <v>0</v>
      </c>
      <c r="GK683">
        <f>ROUND(R683*(R12)/100,2)</f>
        <v>0</v>
      </c>
      <c r="GL683">
        <f t="shared" si="645"/>
        <v>0</v>
      </c>
      <c r="GM683">
        <f t="shared" si="646"/>
        <v>4112.47</v>
      </c>
      <c r="GN683">
        <f t="shared" si="647"/>
        <v>0</v>
      </c>
      <c r="GO683">
        <f t="shared" si="648"/>
        <v>0</v>
      </c>
      <c r="GP683">
        <f t="shared" si="649"/>
        <v>4112.47</v>
      </c>
      <c r="GR683">
        <v>0</v>
      </c>
      <c r="GS683">
        <v>3</v>
      </c>
      <c r="GT683">
        <v>0</v>
      </c>
      <c r="GU683" t="s">
        <v>3</v>
      </c>
      <c r="GV683">
        <f t="shared" si="650"/>
        <v>0</v>
      </c>
      <c r="GW683">
        <v>1</v>
      </c>
      <c r="GX683">
        <f t="shared" si="651"/>
        <v>0</v>
      </c>
      <c r="HA683">
        <v>0</v>
      </c>
      <c r="HB683">
        <v>0</v>
      </c>
      <c r="HC683">
        <f t="shared" si="652"/>
        <v>0</v>
      </c>
      <c r="HE683" t="s">
        <v>3</v>
      </c>
      <c r="HF683" t="s">
        <v>3</v>
      </c>
      <c r="HM683" t="s">
        <v>3</v>
      </c>
      <c r="HN683" t="s">
        <v>3</v>
      </c>
      <c r="HO683" t="s">
        <v>3</v>
      </c>
      <c r="HP683" t="s">
        <v>3</v>
      </c>
      <c r="HQ683" t="s">
        <v>3</v>
      </c>
      <c r="IK683">
        <v>0</v>
      </c>
    </row>
    <row r="684" spans="1:245" x14ac:dyDescent="0.2">
      <c r="A684">
        <v>17</v>
      </c>
      <c r="B684">
        <v>1</v>
      </c>
      <c r="D684">
        <f>ROW(EtalonRes!A587)</f>
        <v>587</v>
      </c>
      <c r="E684" t="s">
        <v>543</v>
      </c>
      <c r="F684" t="s">
        <v>533</v>
      </c>
      <c r="G684" t="s">
        <v>544</v>
      </c>
      <c r="H684" t="s">
        <v>32</v>
      </c>
      <c r="I684">
        <f>ROUND(2+12+6+2+12+6+2+12+6+7+70,9)</f>
        <v>137</v>
      </c>
      <c r="J684">
        <v>0</v>
      </c>
      <c r="K684">
        <f>ROUND(2+12+6+2+12+6+2+12+6+7+70,9)</f>
        <v>137</v>
      </c>
      <c r="O684">
        <f t="shared" si="613"/>
        <v>17835.59</v>
      </c>
      <c r="P684">
        <f t="shared" si="614"/>
        <v>215.09</v>
      </c>
      <c r="Q684">
        <f t="shared" si="615"/>
        <v>0</v>
      </c>
      <c r="R684">
        <f t="shared" si="616"/>
        <v>0</v>
      </c>
      <c r="S684">
        <f t="shared" si="617"/>
        <v>17620.5</v>
      </c>
      <c r="T684">
        <f t="shared" si="618"/>
        <v>0</v>
      </c>
      <c r="U684">
        <f t="shared" si="619"/>
        <v>31.345600000000001</v>
      </c>
      <c r="V684">
        <f t="shared" si="620"/>
        <v>0</v>
      </c>
      <c r="W684">
        <f t="shared" si="621"/>
        <v>0</v>
      </c>
      <c r="X684">
        <f t="shared" si="622"/>
        <v>12334.35</v>
      </c>
      <c r="Y684">
        <f t="shared" si="623"/>
        <v>1762.05</v>
      </c>
      <c r="AA684">
        <v>1472224561</v>
      </c>
      <c r="AB684">
        <f t="shared" si="624"/>
        <v>130.18680000000001</v>
      </c>
      <c r="AC684">
        <f t="shared" si="625"/>
        <v>1.57</v>
      </c>
      <c r="AD684">
        <f t="shared" si="626"/>
        <v>0</v>
      </c>
      <c r="AE684">
        <f t="shared" si="627"/>
        <v>0</v>
      </c>
      <c r="AF684">
        <f t="shared" si="628"/>
        <v>128.61680000000001</v>
      </c>
      <c r="AG684">
        <f t="shared" si="629"/>
        <v>0</v>
      </c>
      <c r="AH684">
        <f t="shared" si="630"/>
        <v>0.2288</v>
      </c>
      <c r="AI684">
        <f t="shared" si="631"/>
        <v>0</v>
      </c>
      <c r="AJ684">
        <f t="shared" si="632"/>
        <v>0</v>
      </c>
      <c r="AK684">
        <v>125.24</v>
      </c>
      <c r="AL684">
        <v>1.57</v>
      </c>
      <c r="AM684">
        <v>0</v>
      </c>
      <c r="AN684">
        <v>0</v>
      </c>
      <c r="AO684">
        <v>123.67</v>
      </c>
      <c r="AP684">
        <v>0</v>
      </c>
      <c r="AQ684">
        <v>0.22</v>
      </c>
      <c r="AR684">
        <v>0</v>
      </c>
      <c r="AS684">
        <v>0</v>
      </c>
      <c r="AT684">
        <v>70</v>
      </c>
      <c r="AU684">
        <v>10</v>
      </c>
      <c r="AV684">
        <v>1</v>
      </c>
      <c r="AW684">
        <v>1</v>
      </c>
      <c r="AZ684">
        <v>1</v>
      </c>
      <c r="BA684">
        <v>1</v>
      </c>
      <c r="BB684">
        <v>1</v>
      </c>
      <c r="BC684">
        <v>1</v>
      </c>
      <c r="BD684" t="s">
        <v>3</v>
      </c>
      <c r="BE684" t="s">
        <v>3</v>
      </c>
      <c r="BF684" t="s">
        <v>3</v>
      </c>
      <c r="BG684" t="s">
        <v>3</v>
      </c>
      <c r="BH684">
        <v>0</v>
      </c>
      <c r="BI684">
        <v>4</v>
      </c>
      <c r="BJ684" t="s">
        <v>535</v>
      </c>
      <c r="BM684">
        <v>0</v>
      </c>
      <c r="BN684">
        <v>0</v>
      </c>
      <c r="BO684" t="s">
        <v>3</v>
      </c>
      <c r="BP684">
        <v>0</v>
      </c>
      <c r="BQ684">
        <v>1</v>
      </c>
      <c r="BR684">
        <v>0</v>
      </c>
      <c r="BS684">
        <v>1</v>
      </c>
      <c r="BT684">
        <v>1</v>
      </c>
      <c r="BU684">
        <v>1</v>
      </c>
      <c r="BV684">
        <v>1</v>
      </c>
      <c r="BW684">
        <v>1</v>
      </c>
      <c r="BX684">
        <v>1</v>
      </c>
      <c r="BY684" t="s">
        <v>3</v>
      </c>
      <c r="BZ684">
        <v>70</v>
      </c>
      <c r="CA684">
        <v>10</v>
      </c>
      <c r="CB684" t="s">
        <v>3</v>
      </c>
      <c r="CE684">
        <v>0</v>
      </c>
      <c r="CF684">
        <v>0</v>
      </c>
      <c r="CG684">
        <v>0</v>
      </c>
      <c r="CM684">
        <v>0</v>
      </c>
      <c r="CN684" t="s">
        <v>522</v>
      </c>
      <c r="CO684">
        <v>0</v>
      </c>
      <c r="CP684">
        <f t="shared" si="633"/>
        <v>17835.59</v>
      </c>
      <c r="CQ684">
        <f t="shared" si="634"/>
        <v>1.57</v>
      </c>
      <c r="CR684">
        <f t="shared" si="635"/>
        <v>0</v>
      </c>
      <c r="CS684">
        <f t="shared" si="636"/>
        <v>0</v>
      </c>
      <c r="CT684">
        <f t="shared" si="637"/>
        <v>128.61680000000001</v>
      </c>
      <c r="CU684">
        <f t="shared" si="638"/>
        <v>0</v>
      </c>
      <c r="CV684">
        <f t="shared" si="639"/>
        <v>0.2288</v>
      </c>
      <c r="CW684">
        <f t="shared" si="640"/>
        <v>0</v>
      </c>
      <c r="CX684">
        <f t="shared" si="641"/>
        <v>0</v>
      </c>
      <c r="CY684">
        <f t="shared" si="642"/>
        <v>12334.35</v>
      </c>
      <c r="CZ684">
        <f t="shared" si="643"/>
        <v>1762.05</v>
      </c>
      <c r="DC684" t="s">
        <v>3</v>
      </c>
      <c r="DD684" t="s">
        <v>3</v>
      </c>
      <c r="DE684" t="s">
        <v>3</v>
      </c>
      <c r="DF684" t="s">
        <v>3</v>
      </c>
      <c r="DG684" t="s">
        <v>523</v>
      </c>
      <c r="DH684" t="s">
        <v>3</v>
      </c>
      <c r="DI684" t="s">
        <v>523</v>
      </c>
      <c r="DJ684" t="s">
        <v>3</v>
      </c>
      <c r="DK684" t="s">
        <v>3</v>
      </c>
      <c r="DL684" t="s">
        <v>3</v>
      </c>
      <c r="DM684" t="s">
        <v>3</v>
      </c>
      <c r="DN684">
        <v>0</v>
      </c>
      <c r="DO684">
        <v>0</v>
      </c>
      <c r="DP684">
        <v>1</v>
      </c>
      <c r="DQ684">
        <v>1</v>
      </c>
      <c r="DU684">
        <v>16987630</v>
      </c>
      <c r="DV684" t="s">
        <v>32</v>
      </c>
      <c r="DW684" t="s">
        <v>32</v>
      </c>
      <c r="DX684">
        <v>1</v>
      </c>
      <c r="DZ684" t="s">
        <v>3</v>
      </c>
      <c r="EA684" t="s">
        <v>3</v>
      </c>
      <c r="EB684" t="s">
        <v>3</v>
      </c>
      <c r="EC684" t="s">
        <v>3</v>
      </c>
      <c r="EE684">
        <v>1441815344</v>
      </c>
      <c r="EF684">
        <v>1</v>
      </c>
      <c r="EG684" t="s">
        <v>23</v>
      </c>
      <c r="EH684">
        <v>0</v>
      </c>
      <c r="EI684" t="s">
        <v>3</v>
      </c>
      <c r="EJ684">
        <v>4</v>
      </c>
      <c r="EK684">
        <v>0</v>
      </c>
      <c r="EL684" t="s">
        <v>24</v>
      </c>
      <c r="EM684" t="s">
        <v>25</v>
      </c>
      <c r="EO684" t="s">
        <v>524</v>
      </c>
      <c r="EQ684">
        <v>768</v>
      </c>
      <c r="ER684">
        <v>125.24</v>
      </c>
      <c r="ES684">
        <v>1.57</v>
      </c>
      <c r="ET684">
        <v>0</v>
      </c>
      <c r="EU684">
        <v>0</v>
      </c>
      <c r="EV684">
        <v>123.67</v>
      </c>
      <c r="EW684">
        <v>0.22</v>
      </c>
      <c r="EX684">
        <v>0</v>
      </c>
      <c r="EY684">
        <v>0</v>
      </c>
      <c r="FQ684">
        <v>0</v>
      </c>
      <c r="FR684">
        <f t="shared" si="644"/>
        <v>0</v>
      </c>
      <c r="FS684">
        <v>0</v>
      </c>
      <c r="FX684">
        <v>70</v>
      </c>
      <c r="FY684">
        <v>10</v>
      </c>
      <c r="GA684" t="s">
        <v>3</v>
      </c>
      <c r="GD684">
        <v>0</v>
      </c>
      <c r="GF684">
        <v>940341212</v>
      </c>
      <c r="GG684">
        <v>2</v>
      </c>
      <c r="GH684">
        <v>1</v>
      </c>
      <c r="GI684">
        <v>-2</v>
      </c>
      <c r="GJ684">
        <v>0</v>
      </c>
      <c r="GK684">
        <f>ROUND(R684*(R12)/100,2)</f>
        <v>0</v>
      </c>
      <c r="GL684">
        <f t="shared" si="645"/>
        <v>0</v>
      </c>
      <c r="GM684">
        <f t="shared" si="646"/>
        <v>31931.99</v>
      </c>
      <c r="GN684">
        <f t="shared" si="647"/>
        <v>0</v>
      </c>
      <c r="GO684">
        <f t="shared" si="648"/>
        <v>0</v>
      </c>
      <c r="GP684">
        <f t="shared" si="649"/>
        <v>31931.99</v>
      </c>
      <c r="GR684">
        <v>0</v>
      </c>
      <c r="GS684">
        <v>3</v>
      </c>
      <c r="GT684">
        <v>0</v>
      </c>
      <c r="GU684" t="s">
        <v>3</v>
      </c>
      <c r="GV684">
        <f t="shared" si="650"/>
        <v>0</v>
      </c>
      <c r="GW684">
        <v>1</v>
      </c>
      <c r="GX684">
        <f t="shared" si="651"/>
        <v>0</v>
      </c>
      <c r="HA684">
        <v>0</v>
      </c>
      <c r="HB684">
        <v>0</v>
      </c>
      <c r="HC684">
        <f t="shared" si="652"/>
        <v>0</v>
      </c>
      <c r="HE684" t="s">
        <v>3</v>
      </c>
      <c r="HF684" t="s">
        <v>3</v>
      </c>
      <c r="HM684" t="s">
        <v>3</v>
      </c>
      <c r="HN684" t="s">
        <v>3</v>
      </c>
      <c r="HO684" t="s">
        <v>3</v>
      </c>
      <c r="HP684" t="s">
        <v>3</v>
      </c>
      <c r="HQ684" t="s">
        <v>3</v>
      </c>
      <c r="IK684">
        <v>0</v>
      </c>
    </row>
    <row r="685" spans="1:245" x14ac:dyDescent="0.2">
      <c r="A685">
        <v>17</v>
      </c>
      <c r="B685">
        <v>1</v>
      </c>
      <c r="D685">
        <f>ROW(EtalonRes!A589)</f>
        <v>589</v>
      </c>
      <c r="E685" t="s">
        <v>545</v>
      </c>
      <c r="F685" t="s">
        <v>546</v>
      </c>
      <c r="G685" t="s">
        <v>547</v>
      </c>
      <c r="H685" t="s">
        <v>32</v>
      </c>
      <c r="I685">
        <v>20</v>
      </c>
      <c r="J685">
        <v>0</v>
      </c>
      <c r="K685">
        <v>20</v>
      </c>
      <c r="O685">
        <f t="shared" si="613"/>
        <v>2603.7399999999998</v>
      </c>
      <c r="P685">
        <f t="shared" si="614"/>
        <v>31.4</v>
      </c>
      <c r="Q685">
        <f t="shared" si="615"/>
        <v>0</v>
      </c>
      <c r="R685">
        <f t="shared" si="616"/>
        <v>0</v>
      </c>
      <c r="S685">
        <f t="shared" si="617"/>
        <v>2572.34</v>
      </c>
      <c r="T685">
        <f t="shared" si="618"/>
        <v>0</v>
      </c>
      <c r="U685">
        <f t="shared" si="619"/>
        <v>4.5760000000000005</v>
      </c>
      <c r="V685">
        <f t="shared" si="620"/>
        <v>0</v>
      </c>
      <c r="W685">
        <f t="shared" si="621"/>
        <v>0</v>
      </c>
      <c r="X685">
        <f t="shared" si="622"/>
        <v>1800.64</v>
      </c>
      <c r="Y685">
        <f t="shared" si="623"/>
        <v>257.23</v>
      </c>
      <c r="AA685">
        <v>1472224561</v>
      </c>
      <c r="AB685">
        <f t="shared" si="624"/>
        <v>130.18680000000001</v>
      </c>
      <c r="AC685">
        <f t="shared" si="625"/>
        <v>1.57</v>
      </c>
      <c r="AD685">
        <f t="shared" si="626"/>
        <v>0</v>
      </c>
      <c r="AE685">
        <f t="shared" si="627"/>
        <v>0</v>
      </c>
      <c r="AF685">
        <f t="shared" si="628"/>
        <v>128.61680000000001</v>
      </c>
      <c r="AG685">
        <f t="shared" si="629"/>
        <v>0</v>
      </c>
      <c r="AH685">
        <f t="shared" si="630"/>
        <v>0.2288</v>
      </c>
      <c r="AI685">
        <f t="shared" si="631"/>
        <v>0</v>
      </c>
      <c r="AJ685">
        <f t="shared" si="632"/>
        <v>0</v>
      </c>
      <c r="AK685">
        <v>125.24</v>
      </c>
      <c r="AL685">
        <v>1.57</v>
      </c>
      <c r="AM685">
        <v>0</v>
      </c>
      <c r="AN685">
        <v>0</v>
      </c>
      <c r="AO685">
        <v>123.67</v>
      </c>
      <c r="AP685">
        <v>0</v>
      </c>
      <c r="AQ685">
        <v>0.22</v>
      </c>
      <c r="AR685">
        <v>0</v>
      </c>
      <c r="AS685">
        <v>0</v>
      </c>
      <c r="AT685">
        <v>70</v>
      </c>
      <c r="AU685">
        <v>10</v>
      </c>
      <c r="AV685">
        <v>1</v>
      </c>
      <c r="AW685">
        <v>1</v>
      </c>
      <c r="AZ685">
        <v>1</v>
      </c>
      <c r="BA685">
        <v>1</v>
      </c>
      <c r="BB685">
        <v>1</v>
      </c>
      <c r="BC685">
        <v>1</v>
      </c>
      <c r="BD685" t="s">
        <v>3</v>
      </c>
      <c r="BE685" t="s">
        <v>3</v>
      </c>
      <c r="BF685" t="s">
        <v>3</v>
      </c>
      <c r="BG685" t="s">
        <v>3</v>
      </c>
      <c r="BH685">
        <v>0</v>
      </c>
      <c r="BI685">
        <v>4</v>
      </c>
      <c r="BJ685" t="s">
        <v>548</v>
      </c>
      <c r="BM685">
        <v>0</v>
      </c>
      <c r="BN685">
        <v>0</v>
      </c>
      <c r="BO685" t="s">
        <v>3</v>
      </c>
      <c r="BP685">
        <v>0</v>
      </c>
      <c r="BQ685">
        <v>1</v>
      </c>
      <c r="BR685">
        <v>0</v>
      </c>
      <c r="BS685">
        <v>1</v>
      </c>
      <c r="BT685">
        <v>1</v>
      </c>
      <c r="BU685">
        <v>1</v>
      </c>
      <c r="BV685">
        <v>1</v>
      </c>
      <c r="BW685">
        <v>1</v>
      </c>
      <c r="BX685">
        <v>1</v>
      </c>
      <c r="BY685" t="s">
        <v>3</v>
      </c>
      <c r="BZ685">
        <v>70</v>
      </c>
      <c r="CA685">
        <v>10</v>
      </c>
      <c r="CB685" t="s">
        <v>3</v>
      </c>
      <c r="CE685">
        <v>0</v>
      </c>
      <c r="CF685">
        <v>0</v>
      </c>
      <c r="CG685">
        <v>0</v>
      </c>
      <c r="CM685">
        <v>0</v>
      </c>
      <c r="CN685" t="s">
        <v>522</v>
      </c>
      <c r="CO685">
        <v>0</v>
      </c>
      <c r="CP685">
        <f t="shared" si="633"/>
        <v>2603.7400000000002</v>
      </c>
      <c r="CQ685">
        <f t="shared" si="634"/>
        <v>1.57</v>
      </c>
      <c r="CR685">
        <f t="shared" si="635"/>
        <v>0</v>
      </c>
      <c r="CS685">
        <f t="shared" si="636"/>
        <v>0</v>
      </c>
      <c r="CT685">
        <f t="shared" si="637"/>
        <v>128.61680000000001</v>
      </c>
      <c r="CU685">
        <f t="shared" si="638"/>
        <v>0</v>
      </c>
      <c r="CV685">
        <f t="shared" si="639"/>
        <v>0.2288</v>
      </c>
      <c r="CW685">
        <f t="shared" si="640"/>
        <v>0</v>
      </c>
      <c r="CX685">
        <f t="shared" si="641"/>
        <v>0</v>
      </c>
      <c r="CY685">
        <f t="shared" si="642"/>
        <v>1800.6380000000001</v>
      </c>
      <c r="CZ685">
        <f t="shared" si="643"/>
        <v>257.23400000000004</v>
      </c>
      <c r="DC685" t="s">
        <v>3</v>
      </c>
      <c r="DD685" t="s">
        <v>3</v>
      </c>
      <c r="DE685" t="s">
        <v>3</v>
      </c>
      <c r="DF685" t="s">
        <v>3</v>
      </c>
      <c r="DG685" t="s">
        <v>523</v>
      </c>
      <c r="DH685" t="s">
        <v>3</v>
      </c>
      <c r="DI685" t="s">
        <v>523</v>
      </c>
      <c r="DJ685" t="s">
        <v>3</v>
      </c>
      <c r="DK685" t="s">
        <v>3</v>
      </c>
      <c r="DL685" t="s">
        <v>3</v>
      </c>
      <c r="DM685" t="s">
        <v>3</v>
      </c>
      <c r="DN685">
        <v>0</v>
      </c>
      <c r="DO685">
        <v>0</v>
      </c>
      <c r="DP685">
        <v>1</v>
      </c>
      <c r="DQ685">
        <v>1</v>
      </c>
      <c r="DU685">
        <v>16987630</v>
      </c>
      <c r="DV685" t="s">
        <v>32</v>
      </c>
      <c r="DW685" t="s">
        <v>32</v>
      </c>
      <c r="DX685">
        <v>1</v>
      </c>
      <c r="DZ685" t="s">
        <v>3</v>
      </c>
      <c r="EA685" t="s">
        <v>3</v>
      </c>
      <c r="EB685" t="s">
        <v>3</v>
      </c>
      <c r="EC685" t="s">
        <v>3</v>
      </c>
      <c r="EE685">
        <v>1441815344</v>
      </c>
      <c r="EF685">
        <v>1</v>
      </c>
      <c r="EG685" t="s">
        <v>23</v>
      </c>
      <c r="EH685">
        <v>0</v>
      </c>
      <c r="EI685" t="s">
        <v>3</v>
      </c>
      <c r="EJ685">
        <v>4</v>
      </c>
      <c r="EK685">
        <v>0</v>
      </c>
      <c r="EL685" t="s">
        <v>24</v>
      </c>
      <c r="EM685" t="s">
        <v>25</v>
      </c>
      <c r="EO685" t="s">
        <v>524</v>
      </c>
      <c r="EQ685">
        <v>768</v>
      </c>
      <c r="ER685">
        <v>125.24</v>
      </c>
      <c r="ES685">
        <v>1.57</v>
      </c>
      <c r="ET685">
        <v>0</v>
      </c>
      <c r="EU685">
        <v>0</v>
      </c>
      <c r="EV685">
        <v>123.67</v>
      </c>
      <c r="EW685">
        <v>0.22</v>
      </c>
      <c r="EX685">
        <v>0</v>
      </c>
      <c r="EY685">
        <v>0</v>
      </c>
      <c r="FQ685">
        <v>0</v>
      </c>
      <c r="FR685">
        <f t="shared" si="644"/>
        <v>0</v>
      </c>
      <c r="FS685">
        <v>0</v>
      </c>
      <c r="FX685">
        <v>70</v>
      </c>
      <c r="FY685">
        <v>10</v>
      </c>
      <c r="GA685" t="s">
        <v>3</v>
      </c>
      <c r="GD685">
        <v>0</v>
      </c>
      <c r="GF685">
        <v>-3841736</v>
      </c>
      <c r="GG685">
        <v>2</v>
      </c>
      <c r="GH685">
        <v>1</v>
      </c>
      <c r="GI685">
        <v>-2</v>
      </c>
      <c r="GJ685">
        <v>0</v>
      </c>
      <c r="GK685">
        <f>ROUND(R685*(R12)/100,2)</f>
        <v>0</v>
      </c>
      <c r="GL685">
        <f t="shared" si="645"/>
        <v>0</v>
      </c>
      <c r="GM685">
        <f t="shared" si="646"/>
        <v>4661.6099999999997</v>
      </c>
      <c r="GN685">
        <f t="shared" si="647"/>
        <v>0</v>
      </c>
      <c r="GO685">
        <f t="shared" si="648"/>
        <v>0</v>
      </c>
      <c r="GP685">
        <f t="shared" si="649"/>
        <v>4661.6099999999997</v>
      </c>
      <c r="GR685">
        <v>0</v>
      </c>
      <c r="GS685">
        <v>3</v>
      </c>
      <c r="GT685">
        <v>0</v>
      </c>
      <c r="GU685" t="s">
        <v>3</v>
      </c>
      <c r="GV685">
        <f t="shared" si="650"/>
        <v>0</v>
      </c>
      <c r="GW685">
        <v>1</v>
      </c>
      <c r="GX685">
        <f t="shared" si="651"/>
        <v>0</v>
      </c>
      <c r="HA685">
        <v>0</v>
      </c>
      <c r="HB685">
        <v>0</v>
      </c>
      <c r="HC685">
        <f t="shared" si="652"/>
        <v>0</v>
      </c>
      <c r="HE685" t="s">
        <v>3</v>
      </c>
      <c r="HF685" t="s">
        <v>3</v>
      </c>
      <c r="HM685" t="s">
        <v>3</v>
      </c>
      <c r="HN685" t="s">
        <v>3</v>
      </c>
      <c r="HO685" t="s">
        <v>3</v>
      </c>
      <c r="HP685" t="s">
        <v>3</v>
      </c>
      <c r="HQ685" t="s">
        <v>3</v>
      </c>
      <c r="IK685">
        <v>0</v>
      </c>
    </row>
    <row r="687" spans="1:245" x14ac:dyDescent="0.2">
      <c r="A687" s="2">
        <v>51</v>
      </c>
      <c r="B687" s="2">
        <f>B671</f>
        <v>1</v>
      </c>
      <c r="C687" s="2">
        <f>A671</f>
        <v>5</v>
      </c>
      <c r="D687" s="2">
        <f>ROW(A671)</f>
        <v>671</v>
      </c>
      <c r="E687" s="2"/>
      <c r="F687" s="2" t="str">
        <f>IF(F671&lt;&gt;"",F671,"")</f>
        <v>Новый подраздел</v>
      </c>
      <c r="G687" s="2" t="str">
        <f>IF(G671&lt;&gt;"",G671,"")</f>
        <v>Электрическое освещение (внутреннее)</v>
      </c>
      <c r="H687" s="2">
        <v>0</v>
      </c>
      <c r="I687" s="2"/>
      <c r="J687" s="2"/>
      <c r="K687" s="2"/>
      <c r="L687" s="2"/>
      <c r="M687" s="2"/>
      <c r="N687" s="2"/>
      <c r="O687" s="2">
        <f t="shared" ref="O687:T687" si="653">ROUND(AB687,2)</f>
        <v>219959.04000000001</v>
      </c>
      <c r="P687" s="2">
        <f t="shared" si="653"/>
        <v>1335.85</v>
      </c>
      <c r="Q687" s="2">
        <f t="shared" si="653"/>
        <v>0</v>
      </c>
      <c r="R687" s="2">
        <f t="shared" si="653"/>
        <v>0</v>
      </c>
      <c r="S687" s="2">
        <f t="shared" si="653"/>
        <v>218623.19</v>
      </c>
      <c r="T687" s="2">
        <f t="shared" si="653"/>
        <v>0</v>
      </c>
      <c r="U687" s="2">
        <f>AH687</f>
        <v>388.89759999999995</v>
      </c>
      <c r="V687" s="2">
        <f>AI687</f>
        <v>0</v>
      </c>
      <c r="W687" s="2">
        <f>ROUND(AJ687,2)</f>
        <v>0</v>
      </c>
      <c r="X687" s="2">
        <f>ROUND(AK687,2)</f>
        <v>153036.24</v>
      </c>
      <c r="Y687" s="2">
        <f>ROUND(AL687,2)</f>
        <v>21862.33</v>
      </c>
      <c r="Z687" s="2"/>
      <c r="AA687" s="2"/>
      <c r="AB687" s="2">
        <f>ROUND(SUMIF(AA675:AA685,"=1472224561",O675:O685),2)</f>
        <v>219959.04000000001</v>
      </c>
      <c r="AC687" s="2">
        <f>ROUND(SUMIF(AA675:AA685,"=1472224561",P675:P685),2)</f>
        <v>1335.85</v>
      </c>
      <c r="AD687" s="2">
        <f>ROUND(SUMIF(AA675:AA685,"=1472224561",Q675:Q685),2)</f>
        <v>0</v>
      </c>
      <c r="AE687" s="2">
        <f>ROUND(SUMIF(AA675:AA685,"=1472224561",R675:R685),2)</f>
        <v>0</v>
      </c>
      <c r="AF687" s="2">
        <f>ROUND(SUMIF(AA675:AA685,"=1472224561",S675:S685),2)</f>
        <v>218623.19</v>
      </c>
      <c r="AG687" s="2">
        <f>ROUND(SUMIF(AA675:AA685,"=1472224561",T675:T685),2)</f>
        <v>0</v>
      </c>
      <c r="AH687" s="2">
        <f>SUMIF(AA675:AA685,"=1472224561",U675:U685)</f>
        <v>388.89759999999995</v>
      </c>
      <c r="AI687" s="2">
        <f>SUMIF(AA675:AA685,"=1472224561",V675:V685)</f>
        <v>0</v>
      </c>
      <c r="AJ687" s="2">
        <f>ROUND(SUMIF(AA675:AA685,"=1472224561",W675:W685),2)</f>
        <v>0</v>
      </c>
      <c r="AK687" s="2">
        <f>ROUND(SUMIF(AA675:AA685,"=1472224561",X675:X685),2)</f>
        <v>153036.24</v>
      </c>
      <c r="AL687" s="2">
        <f>ROUND(SUMIF(AA675:AA685,"=1472224561",Y675:Y685),2)</f>
        <v>21862.33</v>
      </c>
      <c r="AM687" s="2"/>
      <c r="AN687" s="2"/>
      <c r="AO687" s="2">
        <f t="shared" ref="AO687:BD687" si="654">ROUND(BX687,2)</f>
        <v>0</v>
      </c>
      <c r="AP687" s="2">
        <f t="shared" si="654"/>
        <v>0</v>
      </c>
      <c r="AQ687" s="2">
        <f t="shared" si="654"/>
        <v>0</v>
      </c>
      <c r="AR687" s="2">
        <f t="shared" si="654"/>
        <v>394857.61</v>
      </c>
      <c r="AS687" s="2">
        <f t="shared" si="654"/>
        <v>0</v>
      </c>
      <c r="AT687" s="2">
        <f t="shared" si="654"/>
        <v>0</v>
      </c>
      <c r="AU687" s="2">
        <f t="shared" si="654"/>
        <v>394857.61</v>
      </c>
      <c r="AV687" s="2">
        <f t="shared" si="654"/>
        <v>1335.85</v>
      </c>
      <c r="AW687" s="2">
        <f t="shared" si="654"/>
        <v>1335.85</v>
      </c>
      <c r="AX687" s="2">
        <f t="shared" si="654"/>
        <v>0</v>
      </c>
      <c r="AY687" s="2">
        <f t="shared" si="654"/>
        <v>1335.85</v>
      </c>
      <c r="AZ687" s="2">
        <f t="shared" si="654"/>
        <v>0</v>
      </c>
      <c r="BA687" s="2">
        <f t="shared" si="654"/>
        <v>0</v>
      </c>
      <c r="BB687" s="2">
        <f t="shared" si="654"/>
        <v>0</v>
      </c>
      <c r="BC687" s="2">
        <f t="shared" si="654"/>
        <v>0</v>
      </c>
      <c r="BD687" s="2">
        <f t="shared" si="654"/>
        <v>0</v>
      </c>
      <c r="BE687" s="2"/>
      <c r="BF687" s="2"/>
      <c r="BG687" s="2"/>
      <c r="BH687" s="2"/>
      <c r="BI687" s="2"/>
      <c r="BJ687" s="2"/>
      <c r="BK687" s="2"/>
      <c r="BL687" s="2"/>
      <c r="BM687" s="2"/>
      <c r="BN687" s="2"/>
      <c r="BO687" s="2"/>
      <c r="BP687" s="2"/>
      <c r="BQ687" s="2"/>
      <c r="BR687" s="2"/>
      <c r="BS687" s="2"/>
      <c r="BT687" s="2"/>
      <c r="BU687" s="2"/>
      <c r="BV687" s="2"/>
      <c r="BW687" s="2"/>
      <c r="BX687" s="2">
        <f>ROUND(SUMIF(AA675:AA685,"=1472224561",FQ675:FQ685),2)</f>
        <v>0</v>
      </c>
      <c r="BY687" s="2">
        <f>ROUND(SUMIF(AA675:AA685,"=1472224561",FR675:FR685),2)</f>
        <v>0</v>
      </c>
      <c r="BZ687" s="2">
        <f>ROUND(SUMIF(AA675:AA685,"=1472224561",GL675:GL685),2)</f>
        <v>0</v>
      </c>
      <c r="CA687" s="2">
        <f>ROUND(SUMIF(AA675:AA685,"=1472224561",GM675:GM685),2)</f>
        <v>394857.61</v>
      </c>
      <c r="CB687" s="2">
        <f>ROUND(SUMIF(AA675:AA685,"=1472224561",GN675:GN685),2)</f>
        <v>0</v>
      </c>
      <c r="CC687" s="2">
        <f>ROUND(SUMIF(AA675:AA685,"=1472224561",GO675:GO685),2)</f>
        <v>0</v>
      </c>
      <c r="CD687" s="2">
        <f>ROUND(SUMIF(AA675:AA685,"=1472224561",GP675:GP685),2)</f>
        <v>394857.61</v>
      </c>
      <c r="CE687" s="2">
        <f>AC687-BX687</f>
        <v>1335.85</v>
      </c>
      <c r="CF687" s="2">
        <f>AC687-BY687</f>
        <v>1335.85</v>
      </c>
      <c r="CG687" s="2">
        <f>BX687-BZ687</f>
        <v>0</v>
      </c>
      <c r="CH687" s="2">
        <f>AC687-BX687-BY687+BZ687</f>
        <v>1335.85</v>
      </c>
      <c r="CI687" s="2">
        <f>BY687-BZ687</f>
        <v>0</v>
      </c>
      <c r="CJ687" s="2">
        <f>ROUND(SUMIF(AA675:AA685,"=1472224561",GX675:GX685),2)</f>
        <v>0</v>
      </c>
      <c r="CK687" s="2">
        <f>ROUND(SUMIF(AA675:AA685,"=1472224561",GY675:GY685),2)</f>
        <v>0</v>
      </c>
      <c r="CL687" s="2">
        <f>ROUND(SUMIF(AA675:AA685,"=1472224561",GZ675:GZ685),2)</f>
        <v>0</v>
      </c>
      <c r="CM687" s="2">
        <f>ROUND(SUMIF(AA675:AA685,"=1472224561",HD675:HD685),2)</f>
        <v>0</v>
      </c>
      <c r="CN687" s="2"/>
      <c r="CO687" s="2"/>
      <c r="CP687" s="2"/>
      <c r="CQ687" s="2"/>
      <c r="CR687" s="2"/>
      <c r="CS687" s="2"/>
      <c r="CT687" s="2"/>
      <c r="CU687" s="2"/>
      <c r="CV687" s="2"/>
      <c r="CW687" s="2"/>
      <c r="CX687" s="2"/>
      <c r="CY687" s="2"/>
      <c r="CZ687" s="2"/>
      <c r="DA687" s="2"/>
      <c r="DB687" s="2"/>
      <c r="DC687" s="2"/>
      <c r="DD687" s="2"/>
      <c r="DE687" s="2"/>
      <c r="DF687" s="2"/>
      <c r="DG687" s="3"/>
      <c r="DH687" s="3"/>
      <c r="DI687" s="3"/>
      <c r="DJ687" s="3"/>
      <c r="DK687" s="3"/>
      <c r="DL687" s="3"/>
      <c r="DM687" s="3"/>
      <c r="DN687" s="3"/>
      <c r="DO687" s="3"/>
      <c r="DP687" s="3"/>
      <c r="DQ687" s="3"/>
      <c r="DR687" s="3"/>
      <c r="DS687" s="3"/>
      <c r="DT687" s="3"/>
      <c r="DU687" s="3"/>
      <c r="DV687" s="3"/>
      <c r="DW687" s="3"/>
      <c r="DX687" s="3"/>
      <c r="DY687" s="3"/>
      <c r="DZ687" s="3"/>
      <c r="EA687" s="3"/>
      <c r="EB687" s="3"/>
      <c r="EC687" s="3"/>
      <c r="ED687" s="3"/>
      <c r="EE687" s="3"/>
      <c r="EF687" s="3"/>
      <c r="EG687" s="3"/>
      <c r="EH687" s="3"/>
      <c r="EI687" s="3"/>
      <c r="EJ687" s="3"/>
      <c r="EK687" s="3"/>
      <c r="EL687" s="3"/>
      <c r="EM687" s="3"/>
      <c r="EN687" s="3"/>
      <c r="EO687" s="3"/>
      <c r="EP687" s="3"/>
      <c r="EQ687" s="3"/>
      <c r="ER687" s="3"/>
      <c r="ES687" s="3"/>
      <c r="ET687" s="3"/>
      <c r="EU687" s="3"/>
      <c r="EV687" s="3"/>
      <c r="EW687" s="3"/>
      <c r="EX687" s="3"/>
      <c r="EY687" s="3"/>
      <c r="EZ687" s="3"/>
      <c r="FA687" s="3"/>
      <c r="FB687" s="3"/>
      <c r="FC687" s="3"/>
      <c r="FD687" s="3"/>
      <c r="FE687" s="3"/>
      <c r="FF687" s="3"/>
      <c r="FG687" s="3"/>
      <c r="FH687" s="3"/>
      <c r="FI687" s="3"/>
      <c r="FJ687" s="3"/>
      <c r="FK687" s="3"/>
      <c r="FL687" s="3"/>
      <c r="FM687" s="3"/>
      <c r="FN687" s="3"/>
      <c r="FO687" s="3"/>
      <c r="FP687" s="3"/>
      <c r="FQ687" s="3"/>
      <c r="FR687" s="3"/>
      <c r="FS687" s="3"/>
      <c r="FT687" s="3"/>
      <c r="FU687" s="3"/>
      <c r="FV687" s="3"/>
      <c r="FW687" s="3"/>
      <c r="FX687" s="3"/>
      <c r="FY687" s="3"/>
      <c r="FZ687" s="3"/>
      <c r="GA687" s="3"/>
      <c r="GB687" s="3"/>
      <c r="GC687" s="3"/>
      <c r="GD687" s="3"/>
      <c r="GE687" s="3"/>
      <c r="GF687" s="3"/>
      <c r="GG687" s="3"/>
      <c r="GH687" s="3"/>
      <c r="GI687" s="3"/>
      <c r="GJ687" s="3"/>
      <c r="GK687" s="3"/>
      <c r="GL687" s="3"/>
      <c r="GM687" s="3"/>
      <c r="GN687" s="3"/>
      <c r="GO687" s="3"/>
      <c r="GP687" s="3"/>
      <c r="GQ687" s="3"/>
      <c r="GR687" s="3"/>
      <c r="GS687" s="3"/>
      <c r="GT687" s="3"/>
      <c r="GU687" s="3"/>
      <c r="GV687" s="3"/>
      <c r="GW687" s="3"/>
      <c r="GX687" s="3">
        <v>0</v>
      </c>
    </row>
    <row r="689" spans="1:28" x14ac:dyDescent="0.2">
      <c r="A689" s="4">
        <v>50</v>
      </c>
      <c r="B689" s="4">
        <v>0</v>
      </c>
      <c r="C689" s="4">
        <v>0</v>
      </c>
      <c r="D689" s="4">
        <v>1</v>
      </c>
      <c r="E689" s="4">
        <v>201</v>
      </c>
      <c r="F689" s="4">
        <f>ROUND(Source!O687,O689)</f>
        <v>219959.04000000001</v>
      </c>
      <c r="G689" s="4" t="s">
        <v>46</v>
      </c>
      <c r="H689" s="4" t="s">
        <v>47</v>
      </c>
      <c r="I689" s="4"/>
      <c r="J689" s="4"/>
      <c r="K689" s="4">
        <v>201</v>
      </c>
      <c r="L689" s="4">
        <v>1</v>
      </c>
      <c r="M689" s="4">
        <v>3</v>
      </c>
      <c r="N689" s="4" t="s">
        <v>3</v>
      </c>
      <c r="O689" s="4">
        <v>2</v>
      </c>
      <c r="P689" s="4"/>
      <c r="Q689" s="4"/>
      <c r="R689" s="4"/>
      <c r="S689" s="4"/>
      <c r="T689" s="4"/>
      <c r="U689" s="4"/>
      <c r="V689" s="4"/>
      <c r="W689" s="4">
        <v>219959.04000000001</v>
      </c>
      <c r="X689" s="4">
        <v>1</v>
      </c>
      <c r="Y689" s="4">
        <v>219959.04000000001</v>
      </c>
      <c r="Z689" s="4"/>
      <c r="AA689" s="4"/>
      <c r="AB689" s="4"/>
    </row>
    <row r="690" spans="1:28" x14ac:dyDescent="0.2">
      <c r="A690" s="4">
        <v>50</v>
      </c>
      <c r="B690" s="4">
        <v>0</v>
      </c>
      <c r="C690" s="4">
        <v>0</v>
      </c>
      <c r="D690" s="4">
        <v>1</v>
      </c>
      <c r="E690" s="4">
        <v>202</v>
      </c>
      <c r="F690" s="4">
        <f>ROUND(Source!P687,O690)</f>
        <v>1335.85</v>
      </c>
      <c r="G690" s="4" t="s">
        <v>48</v>
      </c>
      <c r="H690" s="4" t="s">
        <v>49</v>
      </c>
      <c r="I690" s="4"/>
      <c r="J690" s="4"/>
      <c r="K690" s="4">
        <v>202</v>
      </c>
      <c r="L690" s="4">
        <v>2</v>
      </c>
      <c r="M690" s="4">
        <v>3</v>
      </c>
      <c r="N690" s="4" t="s">
        <v>3</v>
      </c>
      <c r="O690" s="4">
        <v>2</v>
      </c>
      <c r="P690" s="4"/>
      <c r="Q690" s="4"/>
      <c r="R690" s="4"/>
      <c r="S690" s="4"/>
      <c r="T690" s="4"/>
      <c r="U690" s="4"/>
      <c r="V690" s="4"/>
      <c r="W690" s="4">
        <v>1335.85</v>
      </c>
      <c r="X690" s="4">
        <v>1</v>
      </c>
      <c r="Y690" s="4">
        <v>1335.85</v>
      </c>
      <c r="Z690" s="4"/>
      <c r="AA690" s="4"/>
      <c r="AB690" s="4"/>
    </row>
    <row r="691" spans="1:28" x14ac:dyDescent="0.2">
      <c r="A691" s="4">
        <v>50</v>
      </c>
      <c r="B691" s="4">
        <v>0</v>
      </c>
      <c r="C691" s="4">
        <v>0</v>
      </c>
      <c r="D691" s="4">
        <v>1</v>
      </c>
      <c r="E691" s="4">
        <v>222</v>
      </c>
      <c r="F691" s="4">
        <f>ROUND(Source!AO687,O691)</f>
        <v>0</v>
      </c>
      <c r="G691" s="4" t="s">
        <v>50</v>
      </c>
      <c r="H691" s="4" t="s">
        <v>51</v>
      </c>
      <c r="I691" s="4"/>
      <c r="J691" s="4"/>
      <c r="K691" s="4">
        <v>222</v>
      </c>
      <c r="L691" s="4">
        <v>3</v>
      </c>
      <c r="M691" s="4">
        <v>3</v>
      </c>
      <c r="N691" s="4" t="s">
        <v>3</v>
      </c>
      <c r="O691" s="4">
        <v>2</v>
      </c>
      <c r="P691" s="4"/>
      <c r="Q691" s="4"/>
      <c r="R691" s="4"/>
      <c r="S691" s="4"/>
      <c r="T691" s="4"/>
      <c r="U691" s="4"/>
      <c r="V691" s="4"/>
      <c r="W691" s="4">
        <v>0</v>
      </c>
      <c r="X691" s="4">
        <v>1</v>
      </c>
      <c r="Y691" s="4">
        <v>0</v>
      </c>
      <c r="Z691" s="4"/>
      <c r="AA691" s="4"/>
      <c r="AB691" s="4"/>
    </row>
    <row r="692" spans="1:28" x14ac:dyDescent="0.2">
      <c r="A692" s="4">
        <v>50</v>
      </c>
      <c r="B692" s="4">
        <v>0</v>
      </c>
      <c r="C692" s="4">
        <v>0</v>
      </c>
      <c r="D692" s="4">
        <v>1</v>
      </c>
      <c r="E692" s="4">
        <v>225</v>
      </c>
      <c r="F692" s="4">
        <f>ROUND(Source!AV687,O692)</f>
        <v>1335.85</v>
      </c>
      <c r="G692" s="4" t="s">
        <v>52</v>
      </c>
      <c r="H692" s="4" t="s">
        <v>53</v>
      </c>
      <c r="I692" s="4"/>
      <c r="J692" s="4"/>
      <c r="K692" s="4">
        <v>225</v>
      </c>
      <c r="L692" s="4">
        <v>4</v>
      </c>
      <c r="M692" s="4">
        <v>3</v>
      </c>
      <c r="N692" s="4" t="s">
        <v>3</v>
      </c>
      <c r="O692" s="4">
        <v>2</v>
      </c>
      <c r="P692" s="4"/>
      <c r="Q692" s="4"/>
      <c r="R692" s="4"/>
      <c r="S692" s="4"/>
      <c r="T692" s="4"/>
      <c r="U692" s="4"/>
      <c r="V692" s="4"/>
      <c r="W692" s="4">
        <v>1335.85</v>
      </c>
      <c r="X692" s="4">
        <v>1</v>
      </c>
      <c r="Y692" s="4">
        <v>1335.85</v>
      </c>
      <c r="Z692" s="4"/>
      <c r="AA692" s="4"/>
      <c r="AB692" s="4"/>
    </row>
    <row r="693" spans="1:28" x14ac:dyDescent="0.2">
      <c r="A693" s="4">
        <v>50</v>
      </c>
      <c r="B693" s="4">
        <v>0</v>
      </c>
      <c r="C693" s="4">
        <v>0</v>
      </c>
      <c r="D693" s="4">
        <v>1</v>
      </c>
      <c r="E693" s="4">
        <v>226</v>
      </c>
      <c r="F693" s="4">
        <f>ROUND(Source!AW687,O693)</f>
        <v>1335.85</v>
      </c>
      <c r="G693" s="4" t="s">
        <v>54</v>
      </c>
      <c r="H693" s="4" t="s">
        <v>55</v>
      </c>
      <c r="I693" s="4"/>
      <c r="J693" s="4"/>
      <c r="K693" s="4">
        <v>226</v>
      </c>
      <c r="L693" s="4">
        <v>5</v>
      </c>
      <c r="M693" s="4">
        <v>3</v>
      </c>
      <c r="N693" s="4" t="s">
        <v>3</v>
      </c>
      <c r="O693" s="4">
        <v>2</v>
      </c>
      <c r="P693" s="4"/>
      <c r="Q693" s="4"/>
      <c r="R693" s="4"/>
      <c r="S693" s="4"/>
      <c r="T693" s="4"/>
      <c r="U693" s="4"/>
      <c r="V693" s="4"/>
      <c r="W693" s="4">
        <v>1335.85</v>
      </c>
      <c r="X693" s="4">
        <v>1</v>
      </c>
      <c r="Y693" s="4">
        <v>1335.85</v>
      </c>
      <c r="Z693" s="4"/>
      <c r="AA693" s="4"/>
      <c r="AB693" s="4"/>
    </row>
    <row r="694" spans="1:28" x14ac:dyDescent="0.2">
      <c r="A694" s="4">
        <v>50</v>
      </c>
      <c r="B694" s="4">
        <v>0</v>
      </c>
      <c r="C694" s="4">
        <v>0</v>
      </c>
      <c r="D694" s="4">
        <v>1</v>
      </c>
      <c r="E694" s="4">
        <v>227</v>
      </c>
      <c r="F694" s="4">
        <f>ROUND(Source!AX687,O694)</f>
        <v>0</v>
      </c>
      <c r="G694" s="4" t="s">
        <v>56</v>
      </c>
      <c r="H694" s="4" t="s">
        <v>57</v>
      </c>
      <c r="I694" s="4"/>
      <c r="J694" s="4"/>
      <c r="K694" s="4">
        <v>227</v>
      </c>
      <c r="L694" s="4">
        <v>6</v>
      </c>
      <c r="M694" s="4">
        <v>3</v>
      </c>
      <c r="N694" s="4" t="s">
        <v>3</v>
      </c>
      <c r="O694" s="4">
        <v>2</v>
      </c>
      <c r="P694" s="4"/>
      <c r="Q694" s="4"/>
      <c r="R694" s="4"/>
      <c r="S694" s="4"/>
      <c r="T694" s="4"/>
      <c r="U694" s="4"/>
      <c r="V694" s="4"/>
      <c r="W694" s="4">
        <v>0</v>
      </c>
      <c r="X694" s="4">
        <v>1</v>
      </c>
      <c r="Y694" s="4">
        <v>0</v>
      </c>
      <c r="Z694" s="4"/>
      <c r="AA694" s="4"/>
      <c r="AB694" s="4"/>
    </row>
    <row r="695" spans="1:28" x14ac:dyDescent="0.2">
      <c r="A695" s="4">
        <v>50</v>
      </c>
      <c r="B695" s="4">
        <v>0</v>
      </c>
      <c r="C695" s="4">
        <v>0</v>
      </c>
      <c r="D695" s="4">
        <v>1</v>
      </c>
      <c r="E695" s="4">
        <v>228</v>
      </c>
      <c r="F695" s="4">
        <f>ROUND(Source!AY687,O695)</f>
        <v>1335.85</v>
      </c>
      <c r="G695" s="4" t="s">
        <v>58</v>
      </c>
      <c r="H695" s="4" t="s">
        <v>59</v>
      </c>
      <c r="I695" s="4"/>
      <c r="J695" s="4"/>
      <c r="K695" s="4">
        <v>228</v>
      </c>
      <c r="L695" s="4">
        <v>7</v>
      </c>
      <c r="M695" s="4">
        <v>3</v>
      </c>
      <c r="N695" s="4" t="s">
        <v>3</v>
      </c>
      <c r="O695" s="4">
        <v>2</v>
      </c>
      <c r="P695" s="4"/>
      <c r="Q695" s="4"/>
      <c r="R695" s="4"/>
      <c r="S695" s="4"/>
      <c r="T695" s="4"/>
      <c r="U695" s="4"/>
      <c r="V695" s="4"/>
      <c r="W695" s="4">
        <v>1335.85</v>
      </c>
      <c r="X695" s="4">
        <v>1</v>
      </c>
      <c r="Y695" s="4">
        <v>1335.85</v>
      </c>
      <c r="Z695" s="4"/>
      <c r="AA695" s="4"/>
      <c r="AB695" s="4"/>
    </row>
    <row r="696" spans="1:28" x14ac:dyDescent="0.2">
      <c r="A696" s="4">
        <v>50</v>
      </c>
      <c r="B696" s="4">
        <v>0</v>
      </c>
      <c r="C696" s="4">
        <v>0</v>
      </c>
      <c r="D696" s="4">
        <v>1</v>
      </c>
      <c r="E696" s="4">
        <v>216</v>
      </c>
      <c r="F696" s="4">
        <f>ROUND(Source!AP687,O696)</f>
        <v>0</v>
      </c>
      <c r="G696" s="4" t="s">
        <v>60</v>
      </c>
      <c r="H696" s="4" t="s">
        <v>61</v>
      </c>
      <c r="I696" s="4"/>
      <c r="J696" s="4"/>
      <c r="K696" s="4">
        <v>216</v>
      </c>
      <c r="L696" s="4">
        <v>8</v>
      </c>
      <c r="M696" s="4">
        <v>3</v>
      </c>
      <c r="N696" s="4" t="s">
        <v>3</v>
      </c>
      <c r="O696" s="4">
        <v>2</v>
      </c>
      <c r="P696" s="4"/>
      <c r="Q696" s="4"/>
      <c r="R696" s="4"/>
      <c r="S696" s="4"/>
      <c r="T696" s="4"/>
      <c r="U696" s="4"/>
      <c r="V696" s="4"/>
      <c r="W696" s="4">
        <v>0</v>
      </c>
      <c r="X696" s="4">
        <v>1</v>
      </c>
      <c r="Y696" s="4">
        <v>0</v>
      </c>
      <c r="Z696" s="4"/>
      <c r="AA696" s="4"/>
      <c r="AB696" s="4"/>
    </row>
    <row r="697" spans="1:28" x14ac:dyDescent="0.2">
      <c r="A697" s="4">
        <v>50</v>
      </c>
      <c r="B697" s="4">
        <v>0</v>
      </c>
      <c r="C697" s="4">
        <v>0</v>
      </c>
      <c r="D697" s="4">
        <v>1</v>
      </c>
      <c r="E697" s="4">
        <v>223</v>
      </c>
      <c r="F697" s="4">
        <f>ROUND(Source!AQ687,O697)</f>
        <v>0</v>
      </c>
      <c r="G697" s="4" t="s">
        <v>62</v>
      </c>
      <c r="H697" s="4" t="s">
        <v>63</v>
      </c>
      <c r="I697" s="4"/>
      <c r="J697" s="4"/>
      <c r="K697" s="4">
        <v>223</v>
      </c>
      <c r="L697" s="4">
        <v>9</v>
      </c>
      <c r="M697" s="4">
        <v>3</v>
      </c>
      <c r="N697" s="4" t="s">
        <v>3</v>
      </c>
      <c r="O697" s="4">
        <v>2</v>
      </c>
      <c r="P697" s="4"/>
      <c r="Q697" s="4"/>
      <c r="R697" s="4"/>
      <c r="S697" s="4"/>
      <c r="T697" s="4"/>
      <c r="U697" s="4"/>
      <c r="V697" s="4"/>
      <c r="W697" s="4">
        <v>0</v>
      </c>
      <c r="X697" s="4">
        <v>1</v>
      </c>
      <c r="Y697" s="4">
        <v>0</v>
      </c>
      <c r="Z697" s="4"/>
      <c r="AA697" s="4"/>
      <c r="AB697" s="4"/>
    </row>
    <row r="698" spans="1:28" x14ac:dyDescent="0.2">
      <c r="A698" s="4">
        <v>50</v>
      </c>
      <c r="B698" s="4">
        <v>0</v>
      </c>
      <c r="C698" s="4">
        <v>0</v>
      </c>
      <c r="D698" s="4">
        <v>1</v>
      </c>
      <c r="E698" s="4">
        <v>229</v>
      </c>
      <c r="F698" s="4">
        <f>ROUND(Source!AZ687,O698)</f>
        <v>0</v>
      </c>
      <c r="G698" s="4" t="s">
        <v>64</v>
      </c>
      <c r="H698" s="4" t="s">
        <v>65</v>
      </c>
      <c r="I698" s="4"/>
      <c r="J698" s="4"/>
      <c r="K698" s="4">
        <v>229</v>
      </c>
      <c r="L698" s="4">
        <v>10</v>
      </c>
      <c r="M698" s="4">
        <v>3</v>
      </c>
      <c r="N698" s="4" t="s">
        <v>3</v>
      </c>
      <c r="O698" s="4">
        <v>2</v>
      </c>
      <c r="P698" s="4"/>
      <c r="Q698" s="4"/>
      <c r="R698" s="4"/>
      <c r="S698" s="4"/>
      <c r="T698" s="4"/>
      <c r="U698" s="4"/>
      <c r="V698" s="4"/>
      <c r="W698" s="4">
        <v>0</v>
      </c>
      <c r="X698" s="4">
        <v>1</v>
      </c>
      <c r="Y698" s="4">
        <v>0</v>
      </c>
      <c r="Z698" s="4"/>
      <c r="AA698" s="4"/>
      <c r="AB698" s="4"/>
    </row>
    <row r="699" spans="1:28" x14ac:dyDescent="0.2">
      <c r="A699" s="4">
        <v>50</v>
      </c>
      <c r="B699" s="4">
        <v>0</v>
      </c>
      <c r="C699" s="4">
        <v>0</v>
      </c>
      <c r="D699" s="4">
        <v>1</v>
      </c>
      <c r="E699" s="4">
        <v>203</v>
      </c>
      <c r="F699" s="4">
        <f>ROUND(Source!Q687,O699)</f>
        <v>0</v>
      </c>
      <c r="G699" s="4" t="s">
        <v>66</v>
      </c>
      <c r="H699" s="4" t="s">
        <v>67</v>
      </c>
      <c r="I699" s="4"/>
      <c r="J699" s="4"/>
      <c r="K699" s="4">
        <v>203</v>
      </c>
      <c r="L699" s="4">
        <v>11</v>
      </c>
      <c r="M699" s="4">
        <v>3</v>
      </c>
      <c r="N699" s="4" t="s">
        <v>3</v>
      </c>
      <c r="O699" s="4">
        <v>2</v>
      </c>
      <c r="P699" s="4"/>
      <c r="Q699" s="4"/>
      <c r="R699" s="4"/>
      <c r="S699" s="4"/>
      <c r="T699" s="4"/>
      <c r="U699" s="4"/>
      <c r="V699" s="4"/>
      <c r="W699" s="4">
        <v>0</v>
      </c>
      <c r="X699" s="4">
        <v>1</v>
      </c>
      <c r="Y699" s="4">
        <v>0</v>
      </c>
      <c r="Z699" s="4"/>
      <c r="AA699" s="4"/>
      <c r="AB699" s="4"/>
    </row>
    <row r="700" spans="1:28" x14ac:dyDescent="0.2">
      <c r="A700" s="4">
        <v>50</v>
      </c>
      <c r="B700" s="4">
        <v>0</v>
      </c>
      <c r="C700" s="4">
        <v>0</v>
      </c>
      <c r="D700" s="4">
        <v>1</v>
      </c>
      <c r="E700" s="4">
        <v>231</v>
      </c>
      <c r="F700" s="4">
        <f>ROUND(Source!BB687,O700)</f>
        <v>0</v>
      </c>
      <c r="G700" s="4" t="s">
        <v>68</v>
      </c>
      <c r="H700" s="4" t="s">
        <v>69</v>
      </c>
      <c r="I700" s="4"/>
      <c r="J700" s="4"/>
      <c r="K700" s="4">
        <v>231</v>
      </c>
      <c r="L700" s="4">
        <v>12</v>
      </c>
      <c r="M700" s="4">
        <v>3</v>
      </c>
      <c r="N700" s="4" t="s">
        <v>3</v>
      </c>
      <c r="O700" s="4">
        <v>2</v>
      </c>
      <c r="P700" s="4"/>
      <c r="Q700" s="4"/>
      <c r="R700" s="4"/>
      <c r="S700" s="4"/>
      <c r="T700" s="4"/>
      <c r="U700" s="4"/>
      <c r="V700" s="4"/>
      <c r="W700" s="4">
        <v>0</v>
      </c>
      <c r="X700" s="4">
        <v>1</v>
      </c>
      <c r="Y700" s="4">
        <v>0</v>
      </c>
      <c r="Z700" s="4"/>
      <c r="AA700" s="4"/>
      <c r="AB700" s="4"/>
    </row>
    <row r="701" spans="1:28" x14ac:dyDescent="0.2">
      <c r="A701" s="4">
        <v>50</v>
      </c>
      <c r="B701" s="4">
        <v>0</v>
      </c>
      <c r="C701" s="4">
        <v>0</v>
      </c>
      <c r="D701" s="4">
        <v>1</v>
      </c>
      <c r="E701" s="4">
        <v>204</v>
      </c>
      <c r="F701" s="4">
        <f>ROUND(Source!R687,O701)</f>
        <v>0</v>
      </c>
      <c r="G701" s="4" t="s">
        <v>70</v>
      </c>
      <c r="H701" s="4" t="s">
        <v>71</v>
      </c>
      <c r="I701" s="4"/>
      <c r="J701" s="4"/>
      <c r="K701" s="4">
        <v>204</v>
      </c>
      <c r="L701" s="4">
        <v>13</v>
      </c>
      <c r="M701" s="4">
        <v>3</v>
      </c>
      <c r="N701" s="4" t="s">
        <v>3</v>
      </c>
      <c r="O701" s="4">
        <v>2</v>
      </c>
      <c r="P701" s="4"/>
      <c r="Q701" s="4"/>
      <c r="R701" s="4"/>
      <c r="S701" s="4"/>
      <c r="T701" s="4"/>
      <c r="U701" s="4"/>
      <c r="V701" s="4"/>
      <c r="W701" s="4">
        <v>0</v>
      </c>
      <c r="X701" s="4">
        <v>1</v>
      </c>
      <c r="Y701" s="4">
        <v>0</v>
      </c>
      <c r="Z701" s="4"/>
      <c r="AA701" s="4"/>
      <c r="AB701" s="4"/>
    </row>
    <row r="702" spans="1:28" x14ac:dyDescent="0.2">
      <c r="A702" s="4">
        <v>50</v>
      </c>
      <c r="B702" s="4">
        <v>0</v>
      </c>
      <c r="C702" s="4">
        <v>0</v>
      </c>
      <c r="D702" s="4">
        <v>1</v>
      </c>
      <c r="E702" s="4">
        <v>205</v>
      </c>
      <c r="F702" s="4">
        <f>ROUND(Source!S687,O702)</f>
        <v>218623.19</v>
      </c>
      <c r="G702" s="4" t="s">
        <v>72</v>
      </c>
      <c r="H702" s="4" t="s">
        <v>73</v>
      </c>
      <c r="I702" s="4"/>
      <c r="J702" s="4"/>
      <c r="K702" s="4">
        <v>205</v>
      </c>
      <c r="L702" s="4">
        <v>14</v>
      </c>
      <c r="M702" s="4">
        <v>3</v>
      </c>
      <c r="N702" s="4" t="s">
        <v>3</v>
      </c>
      <c r="O702" s="4">
        <v>2</v>
      </c>
      <c r="P702" s="4"/>
      <c r="Q702" s="4"/>
      <c r="R702" s="4"/>
      <c r="S702" s="4"/>
      <c r="T702" s="4"/>
      <c r="U702" s="4"/>
      <c r="V702" s="4"/>
      <c r="W702" s="4">
        <v>218623.19</v>
      </c>
      <c r="X702" s="4">
        <v>1</v>
      </c>
      <c r="Y702" s="4">
        <v>218623.19</v>
      </c>
      <c r="Z702" s="4"/>
      <c r="AA702" s="4"/>
      <c r="AB702" s="4"/>
    </row>
    <row r="703" spans="1:28" x14ac:dyDescent="0.2">
      <c r="A703" s="4">
        <v>50</v>
      </c>
      <c r="B703" s="4">
        <v>0</v>
      </c>
      <c r="C703" s="4">
        <v>0</v>
      </c>
      <c r="D703" s="4">
        <v>1</v>
      </c>
      <c r="E703" s="4">
        <v>232</v>
      </c>
      <c r="F703" s="4">
        <f>ROUND(Source!BC687,O703)</f>
        <v>0</v>
      </c>
      <c r="G703" s="4" t="s">
        <v>74</v>
      </c>
      <c r="H703" s="4" t="s">
        <v>75</v>
      </c>
      <c r="I703" s="4"/>
      <c r="J703" s="4"/>
      <c r="K703" s="4">
        <v>232</v>
      </c>
      <c r="L703" s="4">
        <v>15</v>
      </c>
      <c r="M703" s="4">
        <v>3</v>
      </c>
      <c r="N703" s="4" t="s">
        <v>3</v>
      </c>
      <c r="O703" s="4">
        <v>2</v>
      </c>
      <c r="P703" s="4"/>
      <c r="Q703" s="4"/>
      <c r="R703" s="4"/>
      <c r="S703" s="4"/>
      <c r="T703" s="4"/>
      <c r="U703" s="4"/>
      <c r="V703" s="4"/>
      <c r="W703" s="4">
        <v>0</v>
      </c>
      <c r="X703" s="4">
        <v>1</v>
      </c>
      <c r="Y703" s="4">
        <v>0</v>
      </c>
      <c r="Z703" s="4"/>
      <c r="AA703" s="4"/>
      <c r="AB703" s="4"/>
    </row>
    <row r="704" spans="1:28" x14ac:dyDescent="0.2">
      <c r="A704" s="4">
        <v>50</v>
      </c>
      <c r="B704" s="4">
        <v>0</v>
      </c>
      <c r="C704" s="4">
        <v>0</v>
      </c>
      <c r="D704" s="4">
        <v>1</v>
      </c>
      <c r="E704" s="4">
        <v>214</v>
      </c>
      <c r="F704" s="4">
        <f>ROUND(Source!AS687,O704)</f>
        <v>0</v>
      </c>
      <c r="G704" s="4" t="s">
        <v>76</v>
      </c>
      <c r="H704" s="4" t="s">
        <v>77</v>
      </c>
      <c r="I704" s="4"/>
      <c r="J704" s="4"/>
      <c r="K704" s="4">
        <v>214</v>
      </c>
      <c r="L704" s="4">
        <v>16</v>
      </c>
      <c r="M704" s="4">
        <v>3</v>
      </c>
      <c r="N704" s="4" t="s">
        <v>3</v>
      </c>
      <c r="O704" s="4">
        <v>2</v>
      </c>
      <c r="P704" s="4"/>
      <c r="Q704" s="4"/>
      <c r="R704" s="4"/>
      <c r="S704" s="4"/>
      <c r="T704" s="4"/>
      <c r="U704" s="4"/>
      <c r="V704" s="4"/>
      <c r="W704" s="4">
        <v>0</v>
      </c>
      <c r="X704" s="4">
        <v>1</v>
      </c>
      <c r="Y704" s="4">
        <v>0</v>
      </c>
      <c r="Z704" s="4"/>
      <c r="AA704" s="4"/>
      <c r="AB704" s="4"/>
    </row>
    <row r="705" spans="1:206" x14ac:dyDescent="0.2">
      <c r="A705" s="4">
        <v>50</v>
      </c>
      <c r="B705" s="4">
        <v>0</v>
      </c>
      <c r="C705" s="4">
        <v>0</v>
      </c>
      <c r="D705" s="4">
        <v>1</v>
      </c>
      <c r="E705" s="4">
        <v>215</v>
      </c>
      <c r="F705" s="4">
        <f>ROUND(Source!AT687,O705)</f>
        <v>0</v>
      </c>
      <c r="G705" s="4" t="s">
        <v>78</v>
      </c>
      <c r="H705" s="4" t="s">
        <v>79</v>
      </c>
      <c r="I705" s="4"/>
      <c r="J705" s="4"/>
      <c r="K705" s="4">
        <v>215</v>
      </c>
      <c r="L705" s="4">
        <v>17</v>
      </c>
      <c r="M705" s="4">
        <v>3</v>
      </c>
      <c r="N705" s="4" t="s">
        <v>3</v>
      </c>
      <c r="O705" s="4">
        <v>2</v>
      </c>
      <c r="P705" s="4"/>
      <c r="Q705" s="4"/>
      <c r="R705" s="4"/>
      <c r="S705" s="4"/>
      <c r="T705" s="4"/>
      <c r="U705" s="4"/>
      <c r="V705" s="4"/>
      <c r="W705" s="4">
        <v>0</v>
      </c>
      <c r="X705" s="4">
        <v>1</v>
      </c>
      <c r="Y705" s="4">
        <v>0</v>
      </c>
      <c r="Z705" s="4"/>
      <c r="AA705" s="4"/>
      <c r="AB705" s="4"/>
    </row>
    <row r="706" spans="1:206" x14ac:dyDescent="0.2">
      <c r="A706" s="4">
        <v>50</v>
      </c>
      <c r="B706" s="4">
        <v>0</v>
      </c>
      <c r="C706" s="4">
        <v>0</v>
      </c>
      <c r="D706" s="4">
        <v>1</v>
      </c>
      <c r="E706" s="4">
        <v>217</v>
      </c>
      <c r="F706" s="4">
        <f>ROUND(Source!AU687,O706)</f>
        <v>394857.61</v>
      </c>
      <c r="G706" s="4" t="s">
        <v>80</v>
      </c>
      <c r="H706" s="4" t="s">
        <v>81</v>
      </c>
      <c r="I706" s="4"/>
      <c r="J706" s="4"/>
      <c r="K706" s="4">
        <v>217</v>
      </c>
      <c r="L706" s="4">
        <v>18</v>
      </c>
      <c r="M706" s="4">
        <v>3</v>
      </c>
      <c r="N706" s="4" t="s">
        <v>3</v>
      </c>
      <c r="O706" s="4">
        <v>2</v>
      </c>
      <c r="P706" s="4"/>
      <c r="Q706" s="4"/>
      <c r="R706" s="4"/>
      <c r="S706" s="4"/>
      <c r="T706" s="4"/>
      <c r="U706" s="4"/>
      <c r="V706" s="4"/>
      <c r="W706" s="4">
        <v>394857.61</v>
      </c>
      <c r="X706" s="4">
        <v>1</v>
      </c>
      <c r="Y706" s="4">
        <v>394857.61</v>
      </c>
      <c r="Z706" s="4"/>
      <c r="AA706" s="4"/>
      <c r="AB706" s="4"/>
    </row>
    <row r="707" spans="1:206" x14ac:dyDescent="0.2">
      <c r="A707" s="4">
        <v>50</v>
      </c>
      <c r="B707" s="4">
        <v>0</v>
      </c>
      <c r="C707" s="4">
        <v>0</v>
      </c>
      <c r="D707" s="4">
        <v>1</v>
      </c>
      <c r="E707" s="4">
        <v>230</v>
      </c>
      <c r="F707" s="4">
        <f>ROUND(Source!BA687,O707)</f>
        <v>0</v>
      </c>
      <c r="G707" s="4" t="s">
        <v>82</v>
      </c>
      <c r="H707" s="4" t="s">
        <v>83</v>
      </c>
      <c r="I707" s="4"/>
      <c r="J707" s="4"/>
      <c r="K707" s="4">
        <v>230</v>
      </c>
      <c r="L707" s="4">
        <v>19</v>
      </c>
      <c r="M707" s="4">
        <v>3</v>
      </c>
      <c r="N707" s="4" t="s">
        <v>3</v>
      </c>
      <c r="O707" s="4">
        <v>2</v>
      </c>
      <c r="P707" s="4"/>
      <c r="Q707" s="4"/>
      <c r="R707" s="4"/>
      <c r="S707" s="4"/>
      <c r="T707" s="4"/>
      <c r="U707" s="4"/>
      <c r="V707" s="4"/>
      <c r="W707" s="4">
        <v>0</v>
      </c>
      <c r="X707" s="4">
        <v>1</v>
      </c>
      <c r="Y707" s="4">
        <v>0</v>
      </c>
      <c r="Z707" s="4"/>
      <c r="AA707" s="4"/>
      <c r="AB707" s="4"/>
    </row>
    <row r="708" spans="1:206" x14ac:dyDescent="0.2">
      <c r="A708" s="4">
        <v>50</v>
      </c>
      <c r="B708" s="4">
        <v>0</v>
      </c>
      <c r="C708" s="4">
        <v>0</v>
      </c>
      <c r="D708" s="4">
        <v>1</v>
      </c>
      <c r="E708" s="4">
        <v>206</v>
      </c>
      <c r="F708" s="4">
        <f>ROUND(Source!T687,O708)</f>
        <v>0</v>
      </c>
      <c r="G708" s="4" t="s">
        <v>84</v>
      </c>
      <c r="H708" s="4" t="s">
        <v>85</v>
      </c>
      <c r="I708" s="4"/>
      <c r="J708" s="4"/>
      <c r="K708" s="4">
        <v>206</v>
      </c>
      <c r="L708" s="4">
        <v>20</v>
      </c>
      <c r="M708" s="4">
        <v>3</v>
      </c>
      <c r="N708" s="4" t="s">
        <v>3</v>
      </c>
      <c r="O708" s="4">
        <v>2</v>
      </c>
      <c r="P708" s="4"/>
      <c r="Q708" s="4"/>
      <c r="R708" s="4"/>
      <c r="S708" s="4"/>
      <c r="T708" s="4"/>
      <c r="U708" s="4"/>
      <c r="V708" s="4"/>
      <c r="W708" s="4">
        <v>0</v>
      </c>
      <c r="X708" s="4">
        <v>1</v>
      </c>
      <c r="Y708" s="4">
        <v>0</v>
      </c>
      <c r="Z708" s="4"/>
      <c r="AA708" s="4"/>
      <c r="AB708" s="4"/>
    </row>
    <row r="709" spans="1:206" x14ac:dyDescent="0.2">
      <c r="A709" s="4">
        <v>50</v>
      </c>
      <c r="B709" s="4">
        <v>0</v>
      </c>
      <c r="C709" s="4">
        <v>0</v>
      </c>
      <c r="D709" s="4">
        <v>1</v>
      </c>
      <c r="E709" s="4">
        <v>207</v>
      </c>
      <c r="F709" s="4">
        <f>Source!U687</f>
        <v>388.89759999999995</v>
      </c>
      <c r="G709" s="4" t="s">
        <v>86</v>
      </c>
      <c r="H709" s="4" t="s">
        <v>87</v>
      </c>
      <c r="I709" s="4"/>
      <c r="J709" s="4"/>
      <c r="K709" s="4">
        <v>207</v>
      </c>
      <c r="L709" s="4">
        <v>21</v>
      </c>
      <c r="M709" s="4">
        <v>3</v>
      </c>
      <c r="N709" s="4" t="s">
        <v>3</v>
      </c>
      <c r="O709" s="4">
        <v>-1</v>
      </c>
      <c r="P709" s="4"/>
      <c r="Q709" s="4"/>
      <c r="R709" s="4"/>
      <c r="S709" s="4"/>
      <c r="T709" s="4"/>
      <c r="U709" s="4"/>
      <c r="V709" s="4"/>
      <c r="W709" s="4">
        <v>388.89759999999995</v>
      </c>
      <c r="X709" s="4">
        <v>1</v>
      </c>
      <c r="Y709" s="4">
        <v>388.89759999999995</v>
      </c>
      <c r="Z709" s="4"/>
      <c r="AA709" s="4"/>
      <c r="AB709" s="4"/>
    </row>
    <row r="710" spans="1:206" x14ac:dyDescent="0.2">
      <c r="A710" s="4">
        <v>50</v>
      </c>
      <c r="B710" s="4">
        <v>0</v>
      </c>
      <c r="C710" s="4">
        <v>0</v>
      </c>
      <c r="D710" s="4">
        <v>1</v>
      </c>
      <c r="E710" s="4">
        <v>208</v>
      </c>
      <c r="F710" s="4">
        <f>Source!V687</f>
        <v>0</v>
      </c>
      <c r="G710" s="4" t="s">
        <v>88</v>
      </c>
      <c r="H710" s="4" t="s">
        <v>89</v>
      </c>
      <c r="I710" s="4"/>
      <c r="J710" s="4"/>
      <c r="K710" s="4">
        <v>208</v>
      </c>
      <c r="L710" s="4">
        <v>22</v>
      </c>
      <c r="M710" s="4">
        <v>3</v>
      </c>
      <c r="N710" s="4" t="s">
        <v>3</v>
      </c>
      <c r="O710" s="4">
        <v>-1</v>
      </c>
      <c r="P710" s="4"/>
      <c r="Q710" s="4"/>
      <c r="R710" s="4"/>
      <c r="S710" s="4"/>
      <c r="T710" s="4"/>
      <c r="U710" s="4"/>
      <c r="V710" s="4"/>
      <c r="W710" s="4">
        <v>0</v>
      </c>
      <c r="X710" s="4">
        <v>1</v>
      </c>
      <c r="Y710" s="4">
        <v>0</v>
      </c>
      <c r="Z710" s="4"/>
      <c r="AA710" s="4"/>
      <c r="AB710" s="4"/>
    </row>
    <row r="711" spans="1:206" x14ac:dyDescent="0.2">
      <c r="A711" s="4">
        <v>50</v>
      </c>
      <c r="B711" s="4">
        <v>0</v>
      </c>
      <c r="C711" s="4">
        <v>0</v>
      </c>
      <c r="D711" s="4">
        <v>1</v>
      </c>
      <c r="E711" s="4">
        <v>209</v>
      </c>
      <c r="F711" s="4">
        <f>ROUND(Source!W687,O711)</f>
        <v>0</v>
      </c>
      <c r="G711" s="4" t="s">
        <v>90</v>
      </c>
      <c r="H711" s="4" t="s">
        <v>91</v>
      </c>
      <c r="I711" s="4"/>
      <c r="J711" s="4"/>
      <c r="K711" s="4">
        <v>209</v>
      </c>
      <c r="L711" s="4">
        <v>23</v>
      </c>
      <c r="M711" s="4">
        <v>3</v>
      </c>
      <c r="N711" s="4" t="s">
        <v>3</v>
      </c>
      <c r="O711" s="4">
        <v>2</v>
      </c>
      <c r="P711" s="4"/>
      <c r="Q711" s="4"/>
      <c r="R711" s="4"/>
      <c r="S711" s="4"/>
      <c r="T711" s="4"/>
      <c r="U711" s="4"/>
      <c r="V711" s="4"/>
      <c r="W711" s="4">
        <v>0</v>
      </c>
      <c r="X711" s="4">
        <v>1</v>
      </c>
      <c r="Y711" s="4">
        <v>0</v>
      </c>
      <c r="Z711" s="4"/>
      <c r="AA711" s="4"/>
      <c r="AB711" s="4"/>
    </row>
    <row r="712" spans="1:206" x14ac:dyDescent="0.2">
      <c r="A712" s="4">
        <v>50</v>
      </c>
      <c r="B712" s="4">
        <v>0</v>
      </c>
      <c r="C712" s="4">
        <v>0</v>
      </c>
      <c r="D712" s="4">
        <v>1</v>
      </c>
      <c r="E712" s="4">
        <v>233</v>
      </c>
      <c r="F712" s="4">
        <f>ROUND(Source!BD687,O712)</f>
        <v>0</v>
      </c>
      <c r="G712" s="4" t="s">
        <v>92</v>
      </c>
      <c r="H712" s="4" t="s">
        <v>93</v>
      </c>
      <c r="I712" s="4"/>
      <c r="J712" s="4"/>
      <c r="K712" s="4">
        <v>233</v>
      </c>
      <c r="L712" s="4">
        <v>24</v>
      </c>
      <c r="M712" s="4">
        <v>3</v>
      </c>
      <c r="N712" s="4" t="s">
        <v>3</v>
      </c>
      <c r="O712" s="4">
        <v>2</v>
      </c>
      <c r="P712" s="4"/>
      <c r="Q712" s="4"/>
      <c r="R712" s="4"/>
      <c r="S712" s="4"/>
      <c r="T712" s="4"/>
      <c r="U712" s="4"/>
      <c r="V712" s="4"/>
      <c r="W712" s="4">
        <v>0</v>
      </c>
      <c r="X712" s="4">
        <v>1</v>
      </c>
      <c r="Y712" s="4">
        <v>0</v>
      </c>
      <c r="Z712" s="4"/>
      <c r="AA712" s="4"/>
      <c r="AB712" s="4"/>
    </row>
    <row r="713" spans="1:206" x14ac:dyDescent="0.2">
      <c r="A713" s="4">
        <v>50</v>
      </c>
      <c r="B713" s="4">
        <v>0</v>
      </c>
      <c r="C713" s="4">
        <v>0</v>
      </c>
      <c r="D713" s="4">
        <v>1</v>
      </c>
      <c r="E713" s="4">
        <v>210</v>
      </c>
      <c r="F713" s="4">
        <f>ROUND(Source!X687,O713)</f>
        <v>153036.24</v>
      </c>
      <c r="G713" s="4" t="s">
        <v>94</v>
      </c>
      <c r="H713" s="4" t="s">
        <v>95</v>
      </c>
      <c r="I713" s="4"/>
      <c r="J713" s="4"/>
      <c r="K713" s="4">
        <v>210</v>
      </c>
      <c r="L713" s="4">
        <v>25</v>
      </c>
      <c r="M713" s="4">
        <v>3</v>
      </c>
      <c r="N713" s="4" t="s">
        <v>3</v>
      </c>
      <c r="O713" s="4">
        <v>2</v>
      </c>
      <c r="P713" s="4"/>
      <c r="Q713" s="4"/>
      <c r="R713" s="4"/>
      <c r="S713" s="4"/>
      <c r="T713" s="4"/>
      <c r="U713" s="4"/>
      <c r="V713" s="4"/>
      <c r="W713" s="4">
        <v>153036.24</v>
      </c>
      <c r="X713" s="4">
        <v>1</v>
      </c>
      <c r="Y713" s="4">
        <v>153036.24</v>
      </c>
      <c r="Z713" s="4"/>
      <c r="AA713" s="4"/>
      <c r="AB713" s="4"/>
    </row>
    <row r="714" spans="1:206" x14ac:dyDescent="0.2">
      <c r="A714" s="4">
        <v>50</v>
      </c>
      <c r="B714" s="4">
        <v>0</v>
      </c>
      <c r="C714" s="4">
        <v>0</v>
      </c>
      <c r="D714" s="4">
        <v>1</v>
      </c>
      <c r="E714" s="4">
        <v>211</v>
      </c>
      <c r="F714" s="4">
        <f>ROUND(Source!Y687,O714)</f>
        <v>21862.33</v>
      </c>
      <c r="G714" s="4" t="s">
        <v>96</v>
      </c>
      <c r="H714" s="4" t="s">
        <v>97</v>
      </c>
      <c r="I714" s="4"/>
      <c r="J714" s="4"/>
      <c r="K714" s="4">
        <v>211</v>
      </c>
      <c r="L714" s="4">
        <v>26</v>
      </c>
      <c r="M714" s="4">
        <v>3</v>
      </c>
      <c r="N714" s="4" t="s">
        <v>3</v>
      </c>
      <c r="O714" s="4">
        <v>2</v>
      </c>
      <c r="P714" s="4"/>
      <c r="Q714" s="4"/>
      <c r="R714" s="4"/>
      <c r="S714" s="4"/>
      <c r="T714" s="4"/>
      <c r="U714" s="4"/>
      <c r="V714" s="4"/>
      <c r="W714" s="4">
        <v>21862.33</v>
      </c>
      <c r="X714" s="4">
        <v>1</v>
      </c>
      <c r="Y714" s="4">
        <v>21862.33</v>
      </c>
      <c r="Z714" s="4"/>
      <c r="AA714" s="4"/>
      <c r="AB714" s="4"/>
    </row>
    <row r="715" spans="1:206" x14ac:dyDescent="0.2">
      <c r="A715" s="4">
        <v>50</v>
      </c>
      <c r="B715" s="4">
        <v>0</v>
      </c>
      <c r="C715" s="4">
        <v>0</v>
      </c>
      <c r="D715" s="4">
        <v>1</v>
      </c>
      <c r="E715" s="4">
        <v>224</v>
      </c>
      <c r="F715" s="4">
        <f>ROUND(Source!AR687,O715)</f>
        <v>394857.61</v>
      </c>
      <c r="G715" s="4" t="s">
        <v>98</v>
      </c>
      <c r="H715" s="4" t="s">
        <v>99</v>
      </c>
      <c r="I715" s="4"/>
      <c r="J715" s="4"/>
      <c r="K715" s="4">
        <v>224</v>
      </c>
      <c r="L715" s="4">
        <v>27</v>
      </c>
      <c r="M715" s="4">
        <v>3</v>
      </c>
      <c r="N715" s="4" t="s">
        <v>3</v>
      </c>
      <c r="O715" s="4">
        <v>2</v>
      </c>
      <c r="P715" s="4"/>
      <c r="Q715" s="4"/>
      <c r="R715" s="4"/>
      <c r="S715" s="4"/>
      <c r="T715" s="4"/>
      <c r="U715" s="4"/>
      <c r="V715" s="4"/>
      <c r="W715" s="4">
        <v>394857.61</v>
      </c>
      <c r="X715" s="4">
        <v>1</v>
      </c>
      <c r="Y715" s="4">
        <v>394857.61</v>
      </c>
      <c r="Z715" s="4"/>
      <c r="AA715" s="4"/>
      <c r="AB715" s="4"/>
    </row>
    <row r="717" spans="1:206" x14ac:dyDescent="0.2">
      <c r="A717" s="1">
        <v>5</v>
      </c>
      <c r="B717" s="1">
        <v>1</v>
      </c>
      <c r="C717" s="1"/>
      <c r="D717" s="1">
        <f>ROW(A729)</f>
        <v>729</v>
      </c>
      <c r="E717" s="1"/>
      <c r="F717" s="1" t="s">
        <v>15</v>
      </c>
      <c r="G717" s="1" t="s">
        <v>549</v>
      </c>
      <c r="H717" s="1" t="s">
        <v>3</v>
      </c>
      <c r="I717" s="1">
        <v>0</v>
      </c>
      <c r="J717" s="1"/>
      <c r="K717" s="1">
        <v>0</v>
      </c>
      <c r="L717" s="1"/>
      <c r="M717" s="1" t="s">
        <v>3</v>
      </c>
      <c r="N717" s="1"/>
      <c r="O717" s="1"/>
      <c r="P717" s="1"/>
      <c r="Q717" s="1"/>
      <c r="R717" s="1"/>
      <c r="S717" s="1">
        <v>0</v>
      </c>
      <c r="T717" s="1"/>
      <c r="U717" s="1" t="s">
        <v>3</v>
      </c>
      <c r="V717" s="1">
        <v>0</v>
      </c>
      <c r="W717" s="1"/>
      <c r="X717" s="1"/>
      <c r="Y717" s="1"/>
      <c r="Z717" s="1"/>
      <c r="AA717" s="1"/>
      <c r="AB717" s="1" t="s">
        <v>3</v>
      </c>
      <c r="AC717" s="1" t="s">
        <v>3</v>
      </c>
      <c r="AD717" s="1" t="s">
        <v>3</v>
      </c>
      <c r="AE717" s="1" t="s">
        <v>3</v>
      </c>
      <c r="AF717" s="1" t="s">
        <v>3</v>
      </c>
      <c r="AG717" s="1" t="s">
        <v>3</v>
      </c>
      <c r="AH717" s="1"/>
      <c r="AI717" s="1"/>
      <c r="AJ717" s="1"/>
      <c r="AK717" s="1"/>
      <c r="AL717" s="1"/>
      <c r="AM717" s="1"/>
      <c r="AN717" s="1"/>
      <c r="AO717" s="1"/>
      <c r="AP717" s="1" t="s">
        <v>3</v>
      </c>
      <c r="AQ717" s="1" t="s">
        <v>3</v>
      </c>
      <c r="AR717" s="1" t="s">
        <v>3</v>
      </c>
      <c r="AS717" s="1"/>
      <c r="AT717" s="1"/>
      <c r="AU717" s="1"/>
      <c r="AV717" s="1"/>
      <c r="AW717" s="1"/>
      <c r="AX717" s="1"/>
      <c r="AY717" s="1"/>
      <c r="AZ717" s="1" t="s">
        <v>3</v>
      </c>
      <c r="BA717" s="1"/>
      <c r="BB717" s="1" t="s">
        <v>3</v>
      </c>
      <c r="BC717" s="1" t="s">
        <v>3</v>
      </c>
      <c r="BD717" s="1" t="s">
        <v>3</v>
      </c>
      <c r="BE717" s="1" t="s">
        <v>3</v>
      </c>
      <c r="BF717" s="1" t="s">
        <v>3</v>
      </c>
      <c r="BG717" s="1" t="s">
        <v>3</v>
      </c>
      <c r="BH717" s="1" t="s">
        <v>3</v>
      </c>
      <c r="BI717" s="1" t="s">
        <v>3</v>
      </c>
      <c r="BJ717" s="1" t="s">
        <v>3</v>
      </c>
      <c r="BK717" s="1" t="s">
        <v>3</v>
      </c>
      <c r="BL717" s="1" t="s">
        <v>3</v>
      </c>
      <c r="BM717" s="1" t="s">
        <v>3</v>
      </c>
      <c r="BN717" s="1" t="s">
        <v>3</v>
      </c>
      <c r="BO717" s="1" t="s">
        <v>3</v>
      </c>
      <c r="BP717" s="1" t="s">
        <v>3</v>
      </c>
      <c r="BQ717" s="1"/>
      <c r="BR717" s="1"/>
      <c r="BS717" s="1"/>
      <c r="BT717" s="1"/>
      <c r="BU717" s="1"/>
      <c r="BV717" s="1"/>
      <c r="BW717" s="1"/>
      <c r="BX717" s="1">
        <v>0</v>
      </c>
      <c r="BY717" s="1"/>
      <c r="BZ717" s="1"/>
      <c r="CA717" s="1"/>
      <c r="CB717" s="1"/>
      <c r="CC717" s="1"/>
      <c r="CD717" s="1"/>
      <c r="CE717" s="1"/>
      <c r="CF717" s="1"/>
      <c r="CG717" s="1"/>
      <c r="CH717" s="1"/>
      <c r="CI717" s="1"/>
      <c r="CJ717" s="1">
        <v>0</v>
      </c>
    </row>
    <row r="719" spans="1:206" x14ac:dyDescent="0.2">
      <c r="A719" s="2">
        <v>52</v>
      </c>
      <c r="B719" s="2">
        <f t="shared" ref="B719:G719" si="655">B729</f>
        <v>1</v>
      </c>
      <c r="C719" s="2">
        <f t="shared" si="655"/>
        <v>5</v>
      </c>
      <c r="D719" s="2">
        <f t="shared" si="655"/>
        <v>717</v>
      </c>
      <c r="E719" s="2">
        <f t="shared" si="655"/>
        <v>0</v>
      </c>
      <c r="F719" s="2" t="str">
        <f t="shared" si="655"/>
        <v>Новый подраздел</v>
      </c>
      <c r="G719" s="2" t="str">
        <f t="shared" si="655"/>
        <v>Система электрического обогрева кровли и водостоков.</v>
      </c>
      <c r="H719" s="2"/>
      <c r="I719" s="2"/>
      <c r="J719" s="2"/>
      <c r="K719" s="2"/>
      <c r="L719" s="2"/>
      <c r="M719" s="2"/>
      <c r="N719" s="2"/>
      <c r="O719" s="2">
        <f t="shared" ref="O719:AT719" si="656">O729</f>
        <v>12546.38</v>
      </c>
      <c r="P719" s="2">
        <f t="shared" si="656"/>
        <v>189.57</v>
      </c>
      <c r="Q719" s="2">
        <f t="shared" si="656"/>
        <v>0</v>
      </c>
      <c r="R719" s="2">
        <f t="shared" si="656"/>
        <v>0</v>
      </c>
      <c r="S719" s="2">
        <f t="shared" si="656"/>
        <v>12356.81</v>
      </c>
      <c r="T719" s="2">
        <f t="shared" si="656"/>
        <v>0</v>
      </c>
      <c r="U719" s="2">
        <f t="shared" si="656"/>
        <v>18.032</v>
      </c>
      <c r="V719" s="2">
        <f t="shared" si="656"/>
        <v>0</v>
      </c>
      <c r="W719" s="2">
        <f t="shared" si="656"/>
        <v>0</v>
      </c>
      <c r="X719" s="2">
        <f t="shared" si="656"/>
        <v>8649.77</v>
      </c>
      <c r="Y719" s="2">
        <f t="shared" si="656"/>
        <v>1235.68</v>
      </c>
      <c r="Z719" s="2">
        <f t="shared" si="656"/>
        <v>0</v>
      </c>
      <c r="AA719" s="2">
        <f t="shared" si="656"/>
        <v>0</v>
      </c>
      <c r="AB719" s="2">
        <f t="shared" si="656"/>
        <v>12546.38</v>
      </c>
      <c r="AC719" s="2">
        <f t="shared" si="656"/>
        <v>189.57</v>
      </c>
      <c r="AD719" s="2">
        <f t="shared" si="656"/>
        <v>0</v>
      </c>
      <c r="AE719" s="2">
        <f t="shared" si="656"/>
        <v>0</v>
      </c>
      <c r="AF719" s="2">
        <f t="shared" si="656"/>
        <v>12356.81</v>
      </c>
      <c r="AG719" s="2">
        <f t="shared" si="656"/>
        <v>0</v>
      </c>
      <c r="AH719" s="2">
        <f t="shared" si="656"/>
        <v>18.032</v>
      </c>
      <c r="AI719" s="2">
        <f t="shared" si="656"/>
        <v>0</v>
      </c>
      <c r="AJ719" s="2">
        <f t="shared" si="656"/>
        <v>0</v>
      </c>
      <c r="AK719" s="2">
        <f t="shared" si="656"/>
        <v>8649.77</v>
      </c>
      <c r="AL719" s="2">
        <f t="shared" si="656"/>
        <v>1235.68</v>
      </c>
      <c r="AM719" s="2">
        <f t="shared" si="656"/>
        <v>0</v>
      </c>
      <c r="AN719" s="2">
        <f t="shared" si="656"/>
        <v>0</v>
      </c>
      <c r="AO719" s="2">
        <f t="shared" si="656"/>
        <v>0</v>
      </c>
      <c r="AP719" s="2">
        <f t="shared" si="656"/>
        <v>0</v>
      </c>
      <c r="AQ719" s="2">
        <f t="shared" si="656"/>
        <v>0</v>
      </c>
      <c r="AR719" s="2">
        <f t="shared" si="656"/>
        <v>22431.83</v>
      </c>
      <c r="AS719" s="2">
        <f t="shared" si="656"/>
        <v>0</v>
      </c>
      <c r="AT719" s="2">
        <f t="shared" si="656"/>
        <v>0</v>
      </c>
      <c r="AU719" s="2">
        <f t="shared" ref="AU719:BZ719" si="657">AU729</f>
        <v>22431.83</v>
      </c>
      <c r="AV719" s="2">
        <f t="shared" si="657"/>
        <v>189.57</v>
      </c>
      <c r="AW719" s="2">
        <f t="shared" si="657"/>
        <v>189.57</v>
      </c>
      <c r="AX719" s="2">
        <f t="shared" si="657"/>
        <v>0</v>
      </c>
      <c r="AY719" s="2">
        <f t="shared" si="657"/>
        <v>189.57</v>
      </c>
      <c r="AZ719" s="2">
        <f t="shared" si="657"/>
        <v>0</v>
      </c>
      <c r="BA719" s="2">
        <f t="shared" si="657"/>
        <v>0</v>
      </c>
      <c r="BB719" s="2">
        <f t="shared" si="657"/>
        <v>0</v>
      </c>
      <c r="BC719" s="2">
        <f t="shared" si="657"/>
        <v>0</v>
      </c>
      <c r="BD719" s="2">
        <f t="shared" si="657"/>
        <v>0</v>
      </c>
      <c r="BE719" s="2">
        <f t="shared" si="657"/>
        <v>0</v>
      </c>
      <c r="BF719" s="2">
        <f t="shared" si="657"/>
        <v>0</v>
      </c>
      <c r="BG719" s="2">
        <f t="shared" si="657"/>
        <v>0</v>
      </c>
      <c r="BH719" s="2">
        <f t="shared" si="657"/>
        <v>0</v>
      </c>
      <c r="BI719" s="2">
        <f t="shared" si="657"/>
        <v>0</v>
      </c>
      <c r="BJ719" s="2">
        <f t="shared" si="657"/>
        <v>0</v>
      </c>
      <c r="BK719" s="2">
        <f t="shared" si="657"/>
        <v>0</v>
      </c>
      <c r="BL719" s="2">
        <f t="shared" si="657"/>
        <v>0</v>
      </c>
      <c r="BM719" s="2">
        <f t="shared" si="657"/>
        <v>0</v>
      </c>
      <c r="BN719" s="2">
        <f t="shared" si="657"/>
        <v>0</v>
      </c>
      <c r="BO719" s="2">
        <f t="shared" si="657"/>
        <v>0</v>
      </c>
      <c r="BP719" s="2">
        <f t="shared" si="657"/>
        <v>0</v>
      </c>
      <c r="BQ719" s="2">
        <f t="shared" si="657"/>
        <v>0</v>
      </c>
      <c r="BR719" s="2">
        <f t="shared" si="657"/>
        <v>0</v>
      </c>
      <c r="BS719" s="2">
        <f t="shared" si="657"/>
        <v>0</v>
      </c>
      <c r="BT719" s="2">
        <f t="shared" si="657"/>
        <v>0</v>
      </c>
      <c r="BU719" s="2">
        <f t="shared" si="657"/>
        <v>0</v>
      </c>
      <c r="BV719" s="2">
        <f t="shared" si="657"/>
        <v>0</v>
      </c>
      <c r="BW719" s="2">
        <f t="shared" si="657"/>
        <v>0</v>
      </c>
      <c r="BX719" s="2">
        <f t="shared" si="657"/>
        <v>0</v>
      </c>
      <c r="BY719" s="2">
        <f t="shared" si="657"/>
        <v>0</v>
      </c>
      <c r="BZ719" s="2">
        <f t="shared" si="657"/>
        <v>0</v>
      </c>
      <c r="CA719" s="2">
        <f t="shared" ref="CA719:DF719" si="658">CA729</f>
        <v>22431.83</v>
      </c>
      <c r="CB719" s="2">
        <f t="shared" si="658"/>
        <v>0</v>
      </c>
      <c r="CC719" s="2">
        <f t="shared" si="658"/>
        <v>0</v>
      </c>
      <c r="CD719" s="2">
        <f t="shared" si="658"/>
        <v>22431.83</v>
      </c>
      <c r="CE719" s="2">
        <f t="shared" si="658"/>
        <v>189.57</v>
      </c>
      <c r="CF719" s="2">
        <f t="shared" si="658"/>
        <v>189.57</v>
      </c>
      <c r="CG719" s="2">
        <f t="shared" si="658"/>
        <v>0</v>
      </c>
      <c r="CH719" s="2">
        <f t="shared" si="658"/>
        <v>189.57</v>
      </c>
      <c r="CI719" s="2">
        <f t="shared" si="658"/>
        <v>0</v>
      </c>
      <c r="CJ719" s="2">
        <f t="shared" si="658"/>
        <v>0</v>
      </c>
      <c r="CK719" s="2">
        <f t="shared" si="658"/>
        <v>0</v>
      </c>
      <c r="CL719" s="2">
        <f t="shared" si="658"/>
        <v>0</v>
      </c>
      <c r="CM719" s="2">
        <f t="shared" si="658"/>
        <v>0</v>
      </c>
      <c r="CN719" s="2">
        <f t="shared" si="658"/>
        <v>0</v>
      </c>
      <c r="CO719" s="2">
        <f t="shared" si="658"/>
        <v>0</v>
      </c>
      <c r="CP719" s="2">
        <f t="shared" si="658"/>
        <v>0</v>
      </c>
      <c r="CQ719" s="2">
        <f t="shared" si="658"/>
        <v>0</v>
      </c>
      <c r="CR719" s="2">
        <f t="shared" si="658"/>
        <v>0</v>
      </c>
      <c r="CS719" s="2">
        <f t="shared" si="658"/>
        <v>0</v>
      </c>
      <c r="CT719" s="2">
        <f t="shared" si="658"/>
        <v>0</v>
      </c>
      <c r="CU719" s="2">
        <f t="shared" si="658"/>
        <v>0</v>
      </c>
      <c r="CV719" s="2">
        <f t="shared" si="658"/>
        <v>0</v>
      </c>
      <c r="CW719" s="2">
        <f t="shared" si="658"/>
        <v>0</v>
      </c>
      <c r="CX719" s="2">
        <f t="shared" si="658"/>
        <v>0</v>
      </c>
      <c r="CY719" s="2">
        <f t="shared" si="658"/>
        <v>0</v>
      </c>
      <c r="CZ719" s="2">
        <f t="shared" si="658"/>
        <v>0</v>
      </c>
      <c r="DA719" s="2">
        <f t="shared" si="658"/>
        <v>0</v>
      </c>
      <c r="DB719" s="2">
        <f t="shared" si="658"/>
        <v>0</v>
      </c>
      <c r="DC719" s="2">
        <f t="shared" si="658"/>
        <v>0</v>
      </c>
      <c r="DD719" s="2">
        <f t="shared" si="658"/>
        <v>0</v>
      </c>
      <c r="DE719" s="2">
        <f t="shared" si="658"/>
        <v>0</v>
      </c>
      <c r="DF719" s="2">
        <f t="shared" si="658"/>
        <v>0</v>
      </c>
      <c r="DG719" s="3">
        <f t="shared" ref="DG719:EL719" si="659">DG729</f>
        <v>0</v>
      </c>
      <c r="DH719" s="3">
        <f t="shared" si="659"/>
        <v>0</v>
      </c>
      <c r="DI719" s="3">
        <f t="shared" si="659"/>
        <v>0</v>
      </c>
      <c r="DJ719" s="3">
        <f t="shared" si="659"/>
        <v>0</v>
      </c>
      <c r="DK719" s="3">
        <f t="shared" si="659"/>
        <v>0</v>
      </c>
      <c r="DL719" s="3">
        <f t="shared" si="659"/>
        <v>0</v>
      </c>
      <c r="DM719" s="3">
        <f t="shared" si="659"/>
        <v>0</v>
      </c>
      <c r="DN719" s="3">
        <f t="shared" si="659"/>
        <v>0</v>
      </c>
      <c r="DO719" s="3">
        <f t="shared" si="659"/>
        <v>0</v>
      </c>
      <c r="DP719" s="3">
        <f t="shared" si="659"/>
        <v>0</v>
      </c>
      <c r="DQ719" s="3">
        <f t="shared" si="659"/>
        <v>0</v>
      </c>
      <c r="DR719" s="3">
        <f t="shared" si="659"/>
        <v>0</v>
      </c>
      <c r="DS719" s="3">
        <f t="shared" si="659"/>
        <v>0</v>
      </c>
      <c r="DT719" s="3">
        <f t="shared" si="659"/>
        <v>0</v>
      </c>
      <c r="DU719" s="3">
        <f t="shared" si="659"/>
        <v>0</v>
      </c>
      <c r="DV719" s="3">
        <f t="shared" si="659"/>
        <v>0</v>
      </c>
      <c r="DW719" s="3">
        <f t="shared" si="659"/>
        <v>0</v>
      </c>
      <c r="DX719" s="3">
        <f t="shared" si="659"/>
        <v>0</v>
      </c>
      <c r="DY719" s="3">
        <f t="shared" si="659"/>
        <v>0</v>
      </c>
      <c r="DZ719" s="3">
        <f t="shared" si="659"/>
        <v>0</v>
      </c>
      <c r="EA719" s="3">
        <f t="shared" si="659"/>
        <v>0</v>
      </c>
      <c r="EB719" s="3">
        <f t="shared" si="659"/>
        <v>0</v>
      </c>
      <c r="EC719" s="3">
        <f t="shared" si="659"/>
        <v>0</v>
      </c>
      <c r="ED719" s="3">
        <f t="shared" si="659"/>
        <v>0</v>
      </c>
      <c r="EE719" s="3">
        <f t="shared" si="659"/>
        <v>0</v>
      </c>
      <c r="EF719" s="3">
        <f t="shared" si="659"/>
        <v>0</v>
      </c>
      <c r="EG719" s="3">
        <f t="shared" si="659"/>
        <v>0</v>
      </c>
      <c r="EH719" s="3">
        <f t="shared" si="659"/>
        <v>0</v>
      </c>
      <c r="EI719" s="3">
        <f t="shared" si="659"/>
        <v>0</v>
      </c>
      <c r="EJ719" s="3">
        <f t="shared" si="659"/>
        <v>0</v>
      </c>
      <c r="EK719" s="3">
        <f t="shared" si="659"/>
        <v>0</v>
      </c>
      <c r="EL719" s="3">
        <f t="shared" si="659"/>
        <v>0</v>
      </c>
      <c r="EM719" s="3">
        <f t="shared" ref="EM719:FR719" si="660">EM729</f>
        <v>0</v>
      </c>
      <c r="EN719" s="3">
        <f t="shared" si="660"/>
        <v>0</v>
      </c>
      <c r="EO719" s="3">
        <f t="shared" si="660"/>
        <v>0</v>
      </c>
      <c r="EP719" s="3">
        <f t="shared" si="660"/>
        <v>0</v>
      </c>
      <c r="EQ719" s="3">
        <f t="shared" si="660"/>
        <v>0</v>
      </c>
      <c r="ER719" s="3">
        <f t="shared" si="660"/>
        <v>0</v>
      </c>
      <c r="ES719" s="3">
        <f t="shared" si="660"/>
        <v>0</v>
      </c>
      <c r="ET719" s="3">
        <f t="shared" si="660"/>
        <v>0</v>
      </c>
      <c r="EU719" s="3">
        <f t="shared" si="660"/>
        <v>0</v>
      </c>
      <c r="EV719" s="3">
        <f t="shared" si="660"/>
        <v>0</v>
      </c>
      <c r="EW719" s="3">
        <f t="shared" si="660"/>
        <v>0</v>
      </c>
      <c r="EX719" s="3">
        <f t="shared" si="660"/>
        <v>0</v>
      </c>
      <c r="EY719" s="3">
        <f t="shared" si="660"/>
        <v>0</v>
      </c>
      <c r="EZ719" s="3">
        <f t="shared" si="660"/>
        <v>0</v>
      </c>
      <c r="FA719" s="3">
        <f t="shared" si="660"/>
        <v>0</v>
      </c>
      <c r="FB719" s="3">
        <f t="shared" si="660"/>
        <v>0</v>
      </c>
      <c r="FC719" s="3">
        <f t="shared" si="660"/>
        <v>0</v>
      </c>
      <c r="FD719" s="3">
        <f t="shared" si="660"/>
        <v>0</v>
      </c>
      <c r="FE719" s="3">
        <f t="shared" si="660"/>
        <v>0</v>
      </c>
      <c r="FF719" s="3">
        <f t="shared" si="660"/>
        <v>0</v>
      </c>
      <c r="FG719" s="3">
        <f t="shared" si="660"/>
        <v>0</v>
      </c>
      <c r="FH719" s="3">
        <f t="shared" si="660"/>
        <v>0</v>
      </c>
      <c r="FI719" s="3">
        <f t="shared" si="660"/>
        <v>0</v>
      </c>
      <c r="FJ719" s="3">
        <f t="shared" si="660"/>
        <v>0</v>
      </c>
      <c r="FK719" s="3">
        <f t="shared" si="660"/>
        <v>0</v>
      </c>
      <c r="FL719" s="3">
        <f t="shared" si="660"/>
        <v>0</v>
      </c>
      <c r="FM719" s="3">
        <f t="shared" si="660"/>
        <v>0</v>
      </c>
      <c r="FN719" s="3">
        <f t="shared" si="660"/>
        <v>0</v>
      </c>
      <c r="FO719" s="3">
        <f t="shared" si="660"/>
        <v>0</v>
      </c>
      <c r="FP719" s="3">
        <f t="shared" si="660"/>
        <v>0</v>
      </c>
      <c r="FQ719" s="3">
        <f t="shared" si="660"/>
        <v>0</v>
      </c>
      <c r="FR719" s="3">
        <f t="shared" si="660"/>
        <v>0</v>
      </c>
      <c r="FS719" s="3">
        <f t="shared" ref="FS719:GX719" si="661">FS729</f>
        <v>0</v>
      </c>
      <c r="FT719" s="3">
        <f t="shared" si="661"/>
        <v>0</v>
      </c>
      <c r="FU719" s="3">
        <f t="shared" si="661"/>
        <v>0</v>
      </c>
      <c r="FV719" s="3">
        <f t="shared" si="661"/>
        <v>0</v>
      </c>
      <c r="FW719" s="3">
        <f t="shared" si="661"/>
        <v>0</v>
      </c>
      <c r="FX719" s="3">
        <f t="shared" si="661"/>
        <v>0</v>
      </c>
      <c r="FY719" s="3">
        <f t="shared" si="661"/>
        <v>0</v>
      </c>
      <c r="FZ719" s="3">
        <f t="shared" si="661"/>
        <v>0</v>
      </c>
      <c r="GA719" s="3">
        <f t="shared" si="661"/>
        <v>0</v>
      </c>
      <c r="GB719" s="3">
        <f t="shared" si="661"/>
        <v>0</v>
      </c>
      <c r="GC719" s="3">
        <f t="shared" si="661"/>
        <v>0</v>
      </c>
      <c r="GD719" s="3">
        <f t="shared" si="661"/>
        <v>0</v>
      </c>
      <c r="GE719" s="3">
        <f t="shared" si="661"/>
        <v>0</v>
      </c>
      <c r="GF719" s="3">
        <f t="shared" si="661"/>
        <v>0</v>
      </c>
      <c r="GG719" s="3">
        <f t="shared" si="661"/>
        <v>0</v>
      </c>
      <c r="GH719" s="3">
        <f t="shared" si="661"/>
        <v>0</v>
      </c>
      <c r="GI719" s="3">
        <f t="shared" si="661"/>
        <v>0</v>
      </c>
      <c r="GJ719" s="3">
        <f t="shared" si="661"/>
        <v>0</v>
      </c>
      <c r="GK719" s="3">
        <f t="shared" si="661"/>
        <v>0</v>
      </c>
      <c r="GL719" s="3">
        <f t="shared" si="661"/>
        <v>0</v>
      </c>
      <c r="GM719" s="3">
        <f t="shared" si="661"/>
        <v>0</v>
      </c>
      <c r="GN719" s="3">
        <f t="shared" si="661"/>
        <v>0</v>
      </c>
      <c r="GO719" s="3">
        <f t="shared" si="661"/>
        <v>0</v>
      </c>
      <c r="GP719" s="3">
        <f t="shared" si="661"/>
        <v>0</v>
      </c>
      <c r="GQ719" s="3">
        <f t="shared" si="661"/>
        <v>0</v>
      </c>
      <c r="GR719" s="3">
        <f t="shared" si="661"/>
        <v>0</v>
      </c>
      <c r="GS719" s="3">
        <f t="shared" si="661"/>
        <v>0</v>
      </c>
      <c r="GT719" s="3">
        <f t="shared" si="661"/>
        <v>0</v>
      </c>
      <c r="GU719" s="3">
        <f t="shared" si="661"/>
        <v>0</v>
      </c>
      <c r="GV719" s="3">
        <f t="shared" si="661"/>
        <v>0</v>
      </c>
      <c r="GW719" s="3">
        <f t="shared" si="661"/>
        <v>0</v>
      </c>
      <c r="GX719" s="3">
        <f t="shared" si="661"/>
        <v>0</v>
      </c>
    </row>
    <row r="721" spans="1:245" x14ac:dyDescent="0.2">
      <c r="A721">
        <v>19</v>
      </c>
      <c r="B721">
        <v>1</v>
      </c>
      <c r="F721" t="s">
        <v>3</v>
      </c>
      <c r="G721" t="s">
        <v>550</v>
      </c>
      <c r="H721" t="s">
        <v>3</v>
      </c>
      <c r="AA721">
        <v>1</v>
      </c>
      <c r="IK721">
        <v>0</v>
      </c>
    </row>
    <row r="722" spans="1:245" x14ac:dyDescent="0.2">
      <c r="A722">
        <v>17</v>
      </c>
      <c r="B722">
        <v>1</v>
      </c>
      <c r="D722">
        <f>ROW(EtalonRes!A590)</f>
        <v>590</v>
      </c>
      <c r="E722" t="s">
        <v>551</v>
      </c>
      <c r="F722" t="s">
        <v>552</v>
      </c>
      <c r="G722" t="s">
        <v>553</v>
      </c>
      <c r="H722" t="s">
        <v>32</v>
      </c>
      <c r="I722">
        <f>ROUND(1+1+1+1,9)</f>
        <v>4</v>
      </c>
      <c r="J722">
        <v>0</v>
      </c>
      <c r="K722">
        <f>ROUND(1+1+1+1,9)</f>
        <v>4</v>
      </c>
      <c r="O722">
        <f t="shared" ref="O722:O727" si="662">ROUND(CP722,2)</f>
        <v>4050.72</v>
      </c>
      <c r="P722">
        <f t="shared" ref="P722:P727" si="663">ROUND(CQ722*I722,2)</f>
        <v>0</v>
      </c>
      <c r="Q722">
        <f t="shared" ref="Q722:Q727" si="664">ROUND(CR722*I722,2)</f>
        <v>0</v>
      </c>
      <c r="R722">
        <f t="shared" ref="R722:R727" si="665">ROUND(CS722*I722,2)</f>
        <v>0</v>
      </c>
      <c r="S722">
        <f t="shared" ref="S722:S727" si="666">ROUND(CT722*I722,2)</f>
        <v>4050.72</v>
      </c>
      <c r="T722">
        <f t="shared" ref="T722:T727" si="667">ROUND(CU722*I722,2)</f>
        <v>0</v>
      </c>
      <c r="U722">
        <f t="shared" ref="U722:U727" si="668">CV722*I722</f>
        <v>6.56</v>
      </c>
      <c r="V722">
        <f t="shared" ref="V722:V727" si="669">CW722*I722</f>
        <v>0</v>
      </c>
      <c r="W722">
        <f t="shared" ref="W722:W727" si="670">ROUND(CX722*I722,2)</f>
        <v>0</v>
      </c>
      <c r="X722">
        <f t="shared" ref="X722:Y727" si="671">ROUND(CY722,2)</f>
        <v>2835.5</v>
      </c>
      <c r="Y722">
        <f t="shared" si="671"/>
        <v>405.07</v>
      </c>
      <c r="AA722">
        <v>1472224561</v>
      </c>
      <c r="AB722">
        <f t="shared" ref="AB722:AB727" si="672">ROUND((AC722+AD722+AF722),6)</f>
        <v>1012.68</v>
      </c>
      <c r="AC722">
        <f>ROUND(((ES722*2)),6)</f>
        <v>0</v>
      </c>
      <c r="AD722">
        <f>ROUND(((((ET722*2))-((EU722*2)))+AE722),6)</f>
        <v>0</v>
      </c>
      <c r="AE722">
        <f>ROUND(((EU722*2)),6)</f>
        <v>0</v>
      </c>
      <c r="AF722">
        <f>ROUND(((EV722*2)),6)</f>
        <v>1012.68</v>
      </c>
      <c r="AG722">
        <f t="shared" ref="AG722:AG727" si="673">ROUND((AP722),6)</f>
        <v>0</v>
      </c>
      <c r="AH722">
        <f>((EW722*2))</f>
        <v>1.64</v>
      </c>
      <c r="AI722">
        <f>((EX722*2))</f>
        <v>0</v>
      </c>
      <c r="AJ722">
        <f t="shared" ref="AJ722:AJ727" si="674">(AS722)</f>
        <v>0</v>
      </c>
      <c r="AK722">
        <v>506.34</v>
      </c>
      <c r="AL722">
        <v>0</v>
      </c>
      <c r="AM722">
        <v>0</v>
      </c>
      <c r="AN722">
        <v>0</v>
      </c>
      <c r="AO722">
        <v>506.34</v>
      </c>
      <c r="AP722">
        <v>0</v>
      </c>
      <c r="AQ722">
        <v>0.82</v>
      </c>
      <c r="AR722">
        <v>0</v>
      </c>
      <c r="AS722">
        <v>0</v>
      </c>
      <c r="AT722">
        <v>70</v>
      </c>
      <c r="AU722">
        <v>10</v>
      </c>
      <c r="AV722">
        <v>1</v>
      </c>
      <c r="AW722">
        <v>1</v>
      </c>
      <c r="AZ722">
        <v>1</v>
      </c>
      <c r="BA722">
        <v>1</v>
      </c>
      <c r="BB722">
        <v>1</v>
      </c>
      <c r="BC722">
        <v>1</v>
      </c>
      <c r="BD722" t="s">
        <v>3</v>
      </c>
      <c r="BE722" t="s">
        <v>3</v>
      </c>
      <c r="BF722" t="s">
        <v>3</v>
      </c>
      <c r="BG722" t="s">
        <v>3</v>
      </c>
      <c r="BH722">
        <v>0</v>
      </c>
      <c r="BI722">
        <v>4</v>
      </c>
      <c r="BJ722" t="s">
        <v>554</v>
      </c>
      <c r="BM722">
        <v>0</v>
      </c>
      <c r="BN722">
        <v>0</v>
      </c>
      <c r="BO722" t="s">
        <v>3</v>
      </c>
      <c r="BP722">
        <v>0</v>
      </c>
      <c r="BQ722">
        <v>1</v>
      </c>
      <c r="BR722">
        <v>0</v>
      </c>
      <c r="BS722">
        <v>1</v>
      </c>
      <c r="BT722">
        <v>1</v>
      </c>
      <c r="BU722">
        <v>1</v>
      </c>
      <c r="BV722">
        <v>1</v>
      </c>
      <c r="BW722">
        <v>1</v>
      </c>
      <c r="BX722">
        <v>1</v>
      </c>
      <c r="BY722" t="s">
        <v>3</v>
      </c>
      <c r="BZ722">
        <v>70</v>
      </c>
      <c r="CA722">
        <v>10</v>
      </c>
      <c r="CB722" t="s">
        <v>3</v>
      </c>
      <c r="CE722">
        <v>0</v>
      </c>
      <c r="CF722">
        <v>0</v>
      </c>
      <c r="CG722">
        <v>0</v>
      </c>
      <c r="CM722">
        <v>0</v>
      </c>
      <c r="CN722" t="s">
        <v>3</v>
      </c>
      <c r="CO722">
        <v>0</v>
      </c>
      <c r="CP722">
        <f t="shared" ref="CP722:CP727" si="675">(P722+Q722+S722)</f>
        <v>4050.72</v>
      </c>
      <c r="CQ722">
        <f t="shared" ref="CQ722:CQ727" si="676">(AC722*BC722*AW722)</f>
        <v>0</v>
      </c>
      <c r="CR722">
        <f>(((((ET722*2))*BB722-((EU722*2))*BS722)+AE722*BS722)*AV722)</f>
        <v>0</v>
      </c>
      <c r="CS722">
        <f t="shared" ref="CS722:CS727" si="677">(AE722*BS722*AV722)</f>
        <v>0</v>
      </c>
      <c r="CT722">
        <f t="shared" ref="CT722:CT727" si="678">(AF722*BA722*AV722)</f>
        <v>1012.68</v>
      </c>
      <c r="CU722">
        <f t="shared" ref="CU722:CU727" si="679">AG722</f>
        <v>0</v>
      </c>
      <c r="CV722">
        <f t="shared" ref="CV722:CV727" si="680">(AH722*AV722)</f>
        <v>1.64</v>
      </c>
      <c r="CW722">
        <f t="shared" ref="CW722:CX727" si="681">AI722</f>
        <v>0</v>
      </c>
      <c r="CX722">
        <f t="shared" si="681"/>
        <v>0</v>
      </c>
      <c r="CY722">
        <f t="shared" ref="CY722:CY727" si="682">((S722*BZ722)/100)</f>
        <v>2835.5039999999995</v>
      </c>
      <c r="CZ722">
        <f t="shared" ref="CZ722:CZ727" si="683">((S722*CA722)/100)</f>
        <v>405.07199999999995</v>
      </c>
      <c r="DC722" t="s">
        <v>3</v>
      </c>
      <c r="DD722" t="s">
        <v>164</v>
      </c>
      <c r="DE722" t="s">
        <v>164</v>
      </c>
      <c r="DF722" t="s">
        <v>164</v>
      </c>
      <c r="DG722" t="s">
        <v>164</v>
      </c>
      <c r="DH722" t="s">
        <v>3</v>
      </c>
      <c r="DI722" t="s">
        <v>164</v>
      </c>
      <c r="DJ722" t="s">
        <v>164</v>
      </c>
      <c r="DK722" t="s">
        <v>3</v>
      </c>
      <c r="DL722" t="s">
        <v>3</v>
      </c>
      <c r="DM722" t="s">
        <v>3</v>
      </c>
      <c r="DN722">
        <v>0</v>
      </c>
      <c r="DO722">
        <v>0</v>
      </c>
      <c r="DP722">
        <v>1</v>
      </c>
      <c r="DQ722">
        <v>1</v>
      </c>
      <c r="DU722">
        <v>16987630</v>
      </c>
      <c r="DV722" t="s">
        <v>32</v>
      </c>
      <c r="DW722" t="s">
        <v>32</v>
      </c>
      <c r="DX722">
        <v>1</v>
      </c>
      <c r="DZ722" t="s">
        <v>3</v>
      </c>
      <c r="EA722" t="s">
        <v>3</v>
      </c>
      <c r="EB722" t="s">
        <v>3</v>
      </c>
      <c r="EC722" t="s">
        <v>3</v>
      </c>
      <c r="EE722">
        <v>1441815344</v>
      </c>
      <c r="EF722">
        <v>1</v>
      </c>
      <c r="EG722" t="s">
        <v>23</v>
      </c>
      <c r="EH722">
        <v>0</v>
      </c>
      <c r="EI722" t="s">
        <v>3</v>
      </c>
      <c r="EJ722">
        <v>4</v>
      </c>
      <c r="EK722">
        <v>0</v>
      </c>
      <c r="EL722" t="s">
        <v>24</v>
      </c>
      <c r="EM722" t="s">
        <v>25</v>
      </c>
      <c r="EO722" t="s">
        <v>3</v>
      </c>
      <c r="EQ722">
        <v>0</v>
      </c>
      <c r="ER722">
        <v>506.34</v>
      </c>
      <c r="ES722">
        <v>0</v>
      </c>
      <c r="ET722">
        <v>0</v>
      </c>
      <c r="EU722">
        <v>0</v>
      </c>
      <c r="EV722">
        <v>506.34</v>
      </c>
      <c r="EW722">
        <v>0.82</v>
      </c>
      <c r="EX722">
        <v>0</v>
      </c>
      <c r="EY722">
        <v>0</v>
      </c>
      <c r="FQ722">
        <v>0</v>
      </c>
      <c r="FR722">
        <f t="shared" ref="FR722:FR727" si="684">ROUND(IF(BI722=3,GM722,0),2)</f>
        <v>0</v>
      </c>
      <c r="FS722">
        <v>0</v>
      </c>
      <c r="FX722">
        <v>70</v>
      </c>
      <c r="FY722">
        <v>10</v>
      </c>
      <c r="GA722" t="s">
        <v>3</v>
      </c>
      <c r="GD722">
        <v>0</v>
      </c>
      <c r="GF722">
        <v>561594423</v>
      </c>
      <c r="GG722">
        <v>2</v>
      </c>
      <c r="GH722">
        <v>1</v>
      </c>
      <c r="GI722">
        <v>-2</v>
      </c>
      <c r="GJ722">
        <v>0</v>
      </c>
      <c r="GK722">
        <f>ROUND(R722*(R12)/100,2)</f>
        <v>0</v>
      </c>
      <c r="GL722">
        <f t="shared" ref="GL722:GL727" si="685">ROUND(IF(AND(BH722=3,BI722=3,FS722&lt;&gt;0),P722,0),2)</f>
        <v>0</v>
      </c>
      <c r="GM722">
        <f t="shared" ref="GM722:GM727" si="686">ROUND(O722+X722+Y722+GK722,2)+GX722</f>
        <v>7291.29</v>
      </c>
      <c r="GN722">
        <f t="shared" ref="GN722:GN727" si="687">IF(OR(BI722=0,BI722=1),GM722-GX722,0)</f>
        <v>0</v>
      </c>
      <c r="GO722">
        <f t="shared" ref="GO722:GO727" si="688">IF(BI722=2,GM722-GX722,0)</f>
        <v>0</v>
      </c>
      <c r="GP722">
        <f t="shared" ref="GP722:GP727" si="689">IF(BI722=4,GM722-GX722,0)</f>
        <v>7291.29</v>
      </c>
      <c r="GR722">
        <v>0</v>
      </c>
      <c r="GS722">
        <v>3</v>
      </c>
      <c r="GT722">
        <v>0</v>
      </c>
      <c r="GU722" t="s">
        <v>3</v>
      </c>
      <c r="GV722">
        <f t="shared" ref="GV722:GV727" si="690">ROUND((GT722),6)</f>
        <v>0</v>
      </c>
      <c r="GW722">
        <v>1</v>
      </c>
      <c r="GX722">
        <f t="shared" ref="GX722:GX727" si="691">ROUND(HC722*I722,2)</f>
        <v>0</v>
      </c>
      <c r="HA722">
        <v>0</v>
      </c>
      <c r="HB722">
        <v>0</v>
      </c>
      <c r="HC722">
        <f t="shared" ref="HC722:HC727" si="692">GV722*GW722</f>
        <v>0</v>
      </c>
      <c r="HE722" t="s">
        <v>3</v>
      </c>
      <c r="HF722" t="s">
        <v>3</v>
      </c>
      <c r="HM722" t="s">
        <v>3</v>
      </c>
      <c r="HN722" t="s">
        <v>3</v>
      </c>
      <c r="HO722" t="s">
        <v>3</v>
      </c>
      <c r="HP722" t="s">
        <v>3</v>
      </c>
      <c r="HQ722" t="s">
        <v>3</v>
      </c>
      <c r="IK722">
        <v>0</v>
      </c>
    </row>
    <row r="723" spans="1:245" x14ac:dyDescent="0.2">
      <c r="A723">
        <v>17</v>
      </c>
      <c r="B723">
        <v>1</v>
      </c>
      <c r="D723">
        <f>ROW(EtalonRes!A593)</f>
        <v>593</v>
      </c>
      <c r="E723" t="s">
        <v>555</v>
      </c>
      <c r="F723" t="s">
        <v>556</v>
      </c>
      <c r="G723" t="s">
        <v>557</v>
      </c>
      <c r="H723" t="s">
        <v>32</v>
      </c>
      <c r="I723">
        <f>ROUND(1+1+1+1,9)</f>
        <v>4</v>
      </c>
      <c r="J723">
        <v>0</v>
      </c>
      <c r="K723">
        <f>ROUND(1+1+1+1,9)</f>
        <v>4</v>
      </c>
      <c r="O723">
        <f t="shared" si="662"/>
        <v>6285.2</v>
      </c>
      <c r="P723">
        <f t="shared" si="663"/>
        <v>180.32</v>
      </c>
      <c r="Q723">
        <f t="shared" si="664"/>
        <v>0</v>
      </c>
      <c r="R723">
        <f t="shared" si="665"/>
        <v>0</v>
      </c>
      <c r="S723">
        <f t="shared" si="666"/>
        <v>6104.88</v>
      </c>
      <c r="T723">
        <f t="shared" si="667"/>
        <v>0</v>
      </c>
      <c r="U723">
        <f t="shared" si="668"/>
        <v>7.36</v>
      </c>
      <c r="V723">
        <f t="shared" si="669"/>
        <v>0</v>
      </c>
      <c r="W723">
        <f t="shared" si="670"/>
        <v>0</v>
      </c>
      <c r="X723">
        <f t="shared" si="671"/>
        <v>4273.42</v>
      </c>
      <c r="Y723">
        <f t="shared" si="671"/>
        <v>610.49</v>
      </c>
      <c r="AA723">
        <v>1472224561</v>
      </c>
      <c r="AB723">
        <f t="shared" si="672"/>
        <v>1571.3</v>
      </c>
      <c r="AC723">
        <f>ROUND(((ES723*2)),6)</f>
        <v>45.08</v>
      </c>
      <c r="AD723">
        <f>ROUND(((((ET723*2))-((EU723*2)))+AE723),6)</f>
        <v>0</v>
      </c>
      <c r="AE723">
        <f>ROUND(((EU723*2)),6)</f>
        <v>0</v>
      </c>
      <c r="AF723">
        <f>ROUND(((EV723*2)),6)</f>
        <v>1526.22</v>
      </c>
      <c r="AG723">
        <f t="shared" si="673"/>
        <v>0</v>
      </c>
      <c r="AH723">
        <f>((EW723*2))</f>
        <v>1.84</v>
      </c>
      <c r="AI723">
        <f>((EX723*2))</f>
        <v>0</v>
      </c>
      <c r="AJ723">
        <f t="shared" si="674"/>
        <v>0</v>
      </c>
      <c r="AK723">
        <v>785.65</v>
      </c>
      <c r="AL723">
        <v>22.54</v>
      </c>
      <c r="AM723">
        <v>0</v>
      </c>
      <c r="AN723">
        <v>0</v>
      </c>
      <c r="AO723">
        <v>763.11</v>
      </c>
      <c r="AP723">
        <v>0</v>
      </c>
      <c r="AQ723">
        <v>0.92</v>
      </c>
      <c r="AR723">
        <v>0</v>
      </c>
      <c r="AS723">
        <v>0</v>
      </c>
      <c r="AT723">
        <v>70</v>
      </c>
      <c r="AU723">
        <v>10</v>
      </c>
      <c r="AV723">
        <v>1</v>
      </c>
      <c r="AW723">
        <v>1</v>
      </c>
      <c r="AZ723">
        <v>1</v>
      </c>
      <c r="BA723">
        <v>1</v>
      </c>
      <c r="BB723">
        <v>1</v>
      </c>
      <c r="BC723">
        <v>1</v>
      </c>
      <c r="BD723" t="s">
        <v>3</v>
      </c>
      <c r="BE723" t="s">
        <v>3</v>
      </c>
      <c r="BF723" t="s">
        <v>3</v>
      </c>
      <c r="BG723" t="s">
        <v>3</v>
      </c>
      <c r="BH723">
        <v>0</v>
      </c>
      <c r="BI723">
        <v>4</v>
      </c>
      <c r="BJ723" t="s">
        <v>558</v>
      </c>
      <c r="BM723">
        <v>0</v>
      </c>
      <c r="BN723">
        <v>0</v>
      </c>
      <c r="BO723" t="s">
        <v>3</v>
      </c>
      <c r="BP723">
        <v>0</v>
      </c>
      <c r="BQ723">
        <v>1</v>
      </c>
      <c r="BR723">
        <v>0</v>
      </c>
      <c r="BS723">
        <v>1</v>
      </c>
      <c r="BT723">
        <v>1</v>
      </c>
      <c r="BU723">
        <v>1</v>
      </c>
      <c r="BV723">
        <v>1</v>
      </c>
      <c r="BW723">
        <v>1</v>
      </c>
      <c r="BX723">
        <v>1</v>
      </c>
      <c r="BY723" t="s">
        <v>3</v>
      </c>
      <c r="BZ723">
        <v>70</v>
      </c>
      <c r="CA723">
        <v>10</v>
      </c>
      <c r="CB723" t="s">
        <v>3</v>
      </c>
      <c r="CE723">
        <v>0</v>
      </c>
      <c r="CF723">
        <v>0</v>
      </c>
      <c r="CG723">
        <v>0</v>
      </c>
      <c r="CM723">
        <v>0</v>
      </c>
      <c r="CN723" t="s">
        <v>3</v>
      </c>
      <c r="CO723">
        <v>0</v>
      </c>
      <c r="CP723">
        <f t="shared" si="675"/>
        <v>6285.2</v>
      </c>
      <c r="CQ723">
        <f t="shared" si="676"/>
        <v>45.08</v>
      </c>
      <c r="CR723">
        <f>(((((ET723*2))*BB723-((EU723*2))*BS723)+AE723*BS723)*AV723)</f>
        <v>0</v>
      </c>
      <c r="CS723">
        <f t="shared" si="677"/>
        <v>0</v>
      </c>
      <c r="CT723">
        <f t="shared" si="678"/>
        <v>1526.22</v>
      </c>
      <c r="CU723">
        <f t="shared" si="679"/>
        <v>0</v>
      </c>
      <c r="CV723">
        <f t="shared" si="680"/>
        <v>1.84</v>
      </c>
      <c r="CW723">
        <f t="shared" si="681"/>
        <v>0</v>
      </c>
      <c r="CX723">
        <f t="shared" si="681"/>
        <v>0</v>
      </c>
      <c r="CY723">
        <f t="shared" si="682"/>
        <v>4273.4160000000002</v>
      </c>
      <c r="CZ723">
        <f t="shared" si="683"/>
        <v>610.48800000000006</v>
      </c>
      <c r="DC723" t="s">
        <v>3</v>
      </c>
      <c r="DD723" t="s">
        <v>164</v>
      </c>
      <c r="DE723" t="s">
        <v>164</v>
      </c>
      <c r="DF723" t="s">
        <v>164</v>
      </c>
      <c r="DG723" t="s">
        <v>164</v>
      </c>
      <c r="DH723" t="s">
        <v>3</v>
      </c>
      <c r="DI723" t="s">
        <v>164</v>
      </c>
      <c r="DJ723" t="s">
        <v>164</v>
      </c>
      <c r="DK723" t="s">
        <v>3</v>
      </c>
      <c r="DL723" t="s">
        <v>3</v>
      </c>
      <c r="DM723" t="s">
        <v>3</v>
      </c>
      <c r="DN723">
        <v>0</v>
      </c>
      <c r="DO723">
        <v>0</v>
      </c>
      <c r="DP723">
        <v>1</v>
      </c>
      <c r="DQ723">
        <v>1</v>
      </c>
      <c r="DU723">
        <v>16987630</v>
      </c>
      <c r="DV723" t="s">
        <v>32</v>
      </c>
      <c r="DW723" t="s">
        <v>32</v>
      </c>
      <c r="DX723">
        <v>1</v>
      </c>
      <c r="DZ723" t="s">
        <v>3</v>
      </c>
      <c r="EA723" t="s">
        <v>3</v>
      </c>
      <c r="EB723" t="s">
        <v>3</v>
      </c>
      <c r="EC723" t="s">
        <v>3</v>
      </c>
      <c r="EE723">
        <v>1441815344</v>
      </c>
      <c r="EF723">
        <v>1</v>
      </c>
      <c r="EG723" t="s">
        <v>23</v>
      </c>
      <c r="EH723">
        <v>0</v>
      </c>
      <c r="EI723" t="s">
        <v>3</v>
      </c>
      <c r="EJ723">
        <v>4</v>
      </c>
      <c r="EK723">
        <v>0</v>
      </c>
      <c r="EL723" t="s">
        <v>24</v>
      </c>
      <c r="EM723" t="s">
        <v>25</v>
      </c>
      <c r="EO723" t="s">
        <v>3</v>
      </c>
      <c r="EQ723">
        <v>0</v>
      </c>
      <c r="ER723">
        <v>785.65</v>
      </c>
      <c r="ES723">
        <v>22.54</v>
      </c>
      <c r="ET723">
        <v>0</v>
      </c>
      <c r="EU723">
        <v>0</v>
      </c>
      <c r="EV723">
        <v>763.11</v>
      </c>
      <c r="EW723">
        <v>0.92</v>
      </c>
      <c r="EX723">
        <v>0</v>
      </c>
      <c r="EY723">
        <v>0</v>
      </c>
      <c r="FQ723">
        <v>0</v>
      </c>
      <c r="FR723">
        <f t="shared" si="684"/>
        <v>0</v>
      </c>
      <c r="FS723">
        <v>0</v>
      </c>
      <c r="FX723">
        <v>70</v>
      </c>
      <c r="FY723">
        <v>10</v>
      </c>
      <c r="GA723" t="s">
        <v>3</v>
      </c>
      <c r="GD723">
        <v>0</v>
      </c>
      <c r="GF723">
        <v>141523212</v>
      </c>
      <c r="GG723">
        <v>2</v>
      </c>
      <c r="GH723">
        <v>1</v>
      </c>
      <c r="GI723">
        <v>-2</v>
      </c>
      <c r="GJ723">
        <v>0</v>
      </c>
      <c r="GK723">
        <f>ROUND(R723*(R12)/100,2)</f>
        <v>0</v>
      </c>
      <c r="GL723">
        <f t="shared" si="685"/>
        <v>0</v>
      </c>
      <c r="GM723">
        <f t="shared" si="686"/>
        <v>11169.11</v>
      </c>
      <c r="GN723">
        <f t="shared" si="687"/>
        <v>0</v>
      </c>
      <c r="GO723">
        <f t="shared" si="688"/>
        <v>0</v>
      </c>
      <c r="GP723">
        <f t="shared" si="689"/>
        <v>11169.11</v>
      </c>
      <c r="GR723">
        <v>0</v>
      </c>
      <c r="GS723">
        <v>3</v>
      </c>
      <c r="GT723">
        <v>0</v>
      </c>
      <c r="GU723" t="s">
        <v>3</v>
      </c>
      <c r="GV723">
        <f t="shared" si="690"/>
        <v>0</v>
      </c>
      <c r="GW723">
        <v>1</v>
      </c>
      <c r="GX723">
        <f t="shared" si="691"/>
        <v>0</v>
      </c>
      <c r="HA723">
        <v>0</v>
      </c>
      <c r="HB723">
        <v>0</v>
      </c>
      <c r="HC723">
        <f t="shared" si="692"/>
        <v>0</v>
      </c>
      <c r="HE723" t="s">
        <v>3</v>
      </c>
      <c r="HF723" t="s">
        <v>3</v>
      </c>
      <c r="HM723" t="s">
        <v>3</v>
      </c>
      <c r="HN723" t="s">
        <v>3</v>
      </c>
      <c r="HO723" t="s">
        <v>3</v>
      </c>
      <c r="HP723" t="s">
        <v>3</v>
      </c>
      <c r="HQ723" t="s">
        <v>3</v>
      </c>
      <c r="IK723">
        <v>0</v>
      </c>
    </row>
    <row r="724" spans="1:245" x14ac:dyDescent="0.2">
      <c r="A724">
        <v>17</v>
      </c>
      <c r="B724">
        <v>1</v>
      </c>
      <c r="D724">
        <f>ROW(EtalonRes!A595)</f>
        <v>595</v>
      </c>
      <c r="E724" t="s">
        <v>559</v>
      </c>
      <c r="F724" t="s">
        <v>475</v>
      </c>
      <c r="G724" t="s">
        <v>476</v>
      </c>
      <c r="H724" t="s">
        <v>20</v>
      </c>
      <c r="I724">
        <f>ROUND((354+354+354+354)*0.2*0.1/100,9)</f>
        <v>0.28320000000000001</v>
      </c>
      <c r="J724">
        <v>0</v>
      </c>
      <c r="K724">
        <f>ROUND((354+354+354+354)*0.2*0.1/100,9)</f>
        <v>0.28320000000000001</v>
      </c>
      <c r="O724">
        <f t="shared" si="662"/>
        <v>1522.38</v>
      </c>
      <c r="P724">
        <f t="shared" si="663"/>
        <v>6.37</v>
      </c>
      <c r="Q724">
        <f t="shared" si="664"/>
        <v>0</v>
      </c>
      <c r="R724">
        <f t="shared" si="665"/>
        <v>0</v>
      </c>
      <c r="S724">
        <f t="shared" si="666"/>
        <v>1516.01</v>
      </c>
      <c r="T724">
        <f t="shared" si="667"/>
        <v>0</v>
      </c>
      <c r="U724">
        <f t="shared" si="668"/>
        <v>2.8319999999999999</v>
      </c>
      <c r="V724">
        <f t="shared" si="669"/>
        <v>0</v>
      </c>
      <c r="W724">
        <f t="shared" si="670"/>
        <v>0</v>
      </c>
      <c r="X724">
        <f t="shared" si="671"/>
        <v>1061.21</v>
      </c>
      <c r="Y724">
        <f t="shared" si="671"/>
        <v>151.6</v>
      </c>
      <c r="AA724">
        <v>1472224561</v>
      </c>
      <c r="AB724">
        <f t="shared" si="672"/>
        <v>5375.66</v>
      </c>
      <c r="AC724">
        <f>ROUND((ES724),6)</f>
        <v>22.51</v>
      </c>
      <c r="AD724">
        <f>ROUND((((ET724)-(EU724))+AE724),6)</f>
        <v>0</v>
      </c>
      <c r="AE724">
        <f t="shared" ref="AE724:AF727" si="693">ROUND((EU724),6)</f>
        <v>0</v>
      </c>
      <c r="AF724">
        <f t="shared" si="693"/>
        <v>5353.15</v>
      </c>
      <c r="AG724">
        <f t="shared" si="673"/>
        <v>0</v>
      </c>
      <c r="AH724">
        <f t="shared" ref="AH724:AI727" si="694">(EW724)</f>
        <v>10</v>
      </c>
      <c r="AI724">
        <f t="shared" si="694"/>
        <v>0</v>
      </c>
      <c r="AJ724">
        <f t="shared" si="674"/>
        <v>0</v>
      </c>
      <c r="AK724">
        <v>5375.66</v>
      </c>
      <c r="AL724">
        <v>22.51</v>
      </c>
      <c r="AM724">
        <v>0</v>
      </c>
      <c r="AN724">
        <v>0</v>
      </c>
      <c r="AO724">
        <v>5353.15</v>
      </c>
      <c r="AP724">
        <v>0</v>
      </c>
      <c r="AQ724">
        <v>10</v>
      </c>
      <c r="AR724">
        <v>0</v>
      </c>
      <c r="AS724">
        <v>0</v>
      </c>
      <c r="AT724">
        <v>70</v>
      </c>
      <c r="AU724">
        <v>10</v>
      </c>
      <c r="AV724">
        <v>1</v>
      </c>
      <c r="AW724">
        <v>1</v>
      </c>
      <c r="AZ724">
        <v>1</v>
      </c>
      <c r="BA724">
        <v>1</v>
      </c>
      <c r="BB724">
        <v>1</v>
      </c>
      <c r="BC724">
        <v>1</v>
      </c>
      <c r="BD724" t="s">
        <v>3</v>
      </c>
      <c r="BE724" t="s">
        <v>3</v>
      </c>
      <c r="BF724" t="s">
        <v>3</v>
      </c>
      <c r="BG724" t="s">
        <v>3</v>
      </c>
      <c r="BH724">
        <v>0</v>
      </c>
      <c r="BI724">
        <v>4</v>
      </c>
      <c r="BJ724" t="s">
        <v>477</v>
      </c>
      <c r="BM724">
        <v>0</v>
      </c>
      <c r="BN724">
        <v>0</v>
      </c>
      <c r="BO724" t="s">
        <v>3</v>
      </c>
      <c r="BP724">
        <v>0</v>
      </c>
      <c r="BQ724">
        <v>1</v>
      </c>
      <c r="BR724">
        <v>0</v>
      </c>
      <c r="BS724">
        <v>1</v>
      </c>
      <c r="BT724">
        <v>1</v>
      </c>
      <c r="BU724">
        <v>1</v>
      </c>
      <c r="BV724">
        <v>1</v>
      </c>
      <c r="BW724">
        <v>1</v>
      </c>
      <c r="BX724">
        <v>1</v>
      </c>
      <c r="BY724" t="s">
        <v>3</v>
      </c>
      <c r="BZ724">
        <v>70</v>
      </c>
      <c r="CA724">
        <v>10</v>
      </c>
      <c r="CB724" t="s">
        <v>3</v>
      </c>
      <c r="CE724">
        <v>0</v>
      </c>
      <c r="CF724">
        <v>0</v>
      </c>
      <c r="CG724">
        <v>0</v>
      </c>
      <c r="CM724">
        <v>0</v>
      </c>
      <c r="CN724" t="s">
        <v>3</v>
      </c>
      <c r="CO724">
        <v>0</v>
      </c>
      <c r="CP724">
        <f t="shared" si="675"/>
        <v>1522.3799999999999</v>
      </c>
      <c r="CQ724">
        <f t="shared" si="676"/>
        <v>22.51</v>
      </c>
      <c r="CR724">
        <f>((((ET724)*BB724-(EU724)*BS724)+AE724*BS724)*AV724)</f>
        <v>0</v>
      </c>
      <c r="CS724">
        <f t="shared" si="677"/>
        <v>0</v>
      </c>
      <c r="CT724">
        <f t="shared" si="678"/>
        <v>5353.15</v>
      </c>
      <c r="CU724">
        <f t="shared" si="679"/>
        <v>0</v>
      </c>
      <c r="CV724">
        <f t="shared" si="680"/>
        <v>10</v>
      </c>
      <c r="CW724">
        <f t="shared" si="681"/>
        <v>0</v>
      </c>
      <c r="CX724">
        <f t="shared" si="681"/>
        <v>0</v>
      </c>
      <c r="CY724">
        <f t="shared" si="682"/>
        <v>1061.2069999999999</v>
      </c>
      <c r="CZ724">
        <f t="shared" si="683"/>
        <v>151.601</v>
      </c>
      <c r="DC724" t="s">
        <v>3</v>
      </c>
      <c r="DD724" t="s">
        <v>3</v>
      </c>
      <c r="DE724" t="s">
        <v>3</v>
      </c>
      <c r="DF724" t="s">
        <v>3</v>
      </c>
      <c r="DG724" t="s">
        <v>3</v>
      </c>
      <c r="DH724" t="s">
        <v>3</v>
      </c>
      <c r="DI724" t="s">
        <v>3</v>
      </c>
      <c r="DJ724" t="s">
        <v>3</v>
      </c>
      <c r="DK724" t="s">
        <v>3</v>
      </c>
      <c r="DL724" t="s">
        <v>3</v>
      </c>
      <c r="DM724" t="s">
        <v>3</v>
      </c>
      <c r="DN724">
        <v>0</v>
      </c>
      <c r="DO724">
        <v>0</v>
      </c>
      <c r="DP724">
        <v>1</v>
      </c>
      <c r="DQ724">
        <v>1</v>
      </c>
      <c r="DU724">
        <v>1003</v>
      </c>
      <c r="DV724" t="s">
        <v>20</v>
      </c>
      <c r="DW724" t="s">
        <v>20</v>
      </c>
      <c r="DX724">
        <v>100</v>
      </c>
      <c r="DZ724" t="s">
        <v>3</v>
      </c>
      <c r="EA724" t="s">
        <v>3</v>
      </c>
      <c r="EB724" t="s">
        <v>3</v>
      </c>
      <c r="EC724" t="s">
        <v>3</v>
      </c>
      <c r="EE724">
        <v>1441815344</v>
      </c>
      <c r="EF724">
        <v>1</v>
      </c>
      <c r="EG724" t="s">
        <v>23</v>
      </c>
      <c r="EH724">
        <v>0</v>
      </c>
      <c r="EI724" t="s">
        <v>3</v>
      </c>
      <c r="EJ724">
        <v>4</v>
      </c>
      <c r="EK724">
        <v>0</v>
      </c>
      <c r="EL724" t="s">
        <v>24</v>
      </c>
      <c r="EM724" t="s">
        <v>25</v>
      </c>
      <c r="EO724" t="s">
        <v>3</v>
      </c>
      <c r="EQ724">
        <v>0</v>
      </c>
      <c r="ER724">
        <v>5375.66</v>
      </c>
      <c r="ES724">
        <v>22.51</v>
      </c>
      <c r="ET724">
        <v>0</v>
      </c>
      <c r="EU724">
        <v>0</v>
      </c>
      <c r="EV724">
        <v>5353.15</v>
      </c>
      <c r="EW724">
        <v>10</v>
      </c>
      <c r="EX724">
        <v>0</v>
      </c>
      <c r="EY724">
        <v>0</v>
      </c>
      <c r="FQ724">
        <v>0</v>
      </c>
      <c r="FR724">
        <f t="shared" si="684"/>
        <v>0</v>
      </c>
      <c r="FS724">
        <v>0</v>
      </c>
      <c r="FX724">
        <v>70</v>
      </c>
      <c r="FY724">
        <v>10</v>
      </c>
      <c r="GA724" t="s">
        <v>3</v>
      </c>
      <c r="GD724">
        <v>0</v>
      </c>
      <c r="GF724">
        <v>409781007</v>
      </c>
      <c r="GG724">
        <v>2</v>
      </c>
      <c r="GH724">
        <v>1</v>
      </c>
      <c r="GI724">
        <v>-2</v>
      </c>
      <c r="GJ724">
        <v>0</v>
      </c>
      <c r="GK724">
        <f>ROUND(R724*(R12)/100,2)</f>
        <v>0</v>
      </c>
      <c r="GL724">
        <f t="shared" si="685"/>
        <v>0</v>
      </c>
      <c r="GM724">
        <f t="shared" si="686"/>
        <v>2735.19</v>
      </c>
      <c r="GN724">
        <f t="shared" si="687"/>
        <v>0</v>
      </c>
      <c r="GO724">
        <f t="shared" si="688"/>
        <v>0</v>
      </c>
      <c r="GP724">
        <f t="shared" si="689"/>
        <v>2735.19</v>
      </c>
      <c r="GR724">
        <v>0</v>
      </c>
      <c r="GS724">
        <v>3</v>
      </c>
      <c r="GT724">
        <v>0</v>
      </c>
      <c r="GU724" t="s">
        <v>3</v>
      </c>
      <c r="GV724">
        <f t="shared" si="690"/>
        <v>0</v>
      </c>
      <c r="GW724">
        <v>1</v>
      </c>
      <c r="GX724">
        <f t="shared" si="691"/>
        <v>0</v>
      </c>
      <c r="HA724">
        <v>0</v>
      </c>
      <c r="HB724">
        <v>0</v>
      </c>
      <c r="HC724">
        <f t="shared" si="692"/>
        <v>0</v>
      </c>
      <c r="HE724" t="s">
        <v>3</v>
      </c>
      <c r="HF724" t="s">
        <v>3</v>
      </c>
      <c r="HM724" t="s">
        <v>3</v>
      </c>
      <c r="HN724" t="s">
        <v>3</v>
      </c>
      <c r="HO724" t="s">
        <v>3</v>
      </c>
      <c r="HP724" t="s">
        <v>3</v>
      </c>
      <c r="HQ724" t="s">
        <v>3</v>
      </c>
      <c r="IK724">
        <v>0</v>
      </c>
    </row>
    <row r="725" spans="1:245" x14ac:dyDescent="0.2">
      <c r="A725">
        <v>17</v>
      </c>
      <c r="B725">
        <v>1</v>
      </c>
      <c r="D725">
        <f>ROW(EtalonRes!A596)</f>
        <v>596</v>
      </c>
      <c r="E725" t="s">
        <v>3</v>
      </c>
      <c r="F725" t="s">
        <v>478</v>
      </c>
      <c r="G725" t="s">
        <v>479</v>
      </c>
      <c r="H725" t="s">
        <v>20</v>
      </c>
      <c r="I725">
        <f>ROUND((354+354+354+354)*0.1/100,9)</f>
        <v>1.4159999999999999</v>
      </c>
      <c r="J725">
        <v>0</v>
      </c>
      <c r="K725">
        <f>ROUND((354+354+354+354)*0.1/100,9)</f>
        <v>1.4159999999999999</v>
      </c>
      <c r="O725">
        <f t="shared" si="662"/>
        <v>250.15</v>
      </c>
      <c r="P725">
        <f t="shared" si="663"/>
        <v>0</v>
      </c>
      <c r="Q725">
        <f t="shared" si="664"/>
        <v>0</v>
      </c>
      <c r="R725">
        <f t="shared" si="665"/>
        <v>0</v>
      </c>
      <c r="S725">
        <f t="shared" si="666"/>
        <v>250.15</v>
      </c>
      <c r="T725">
        <f t="shared" si="667"/>
        <v>0</v>
      </c>
      <c r="U725">
        <f t="shared" si="668"/>
        <v>0.46727999999999997</v>
      </c>
      <c r="V725">
        <f t="shared" si="669"/>
        <v>0</v>
      </c>
      <c r="W725">
        <f t="shared" si="670"/>
        <v>0</v>
      </c>
      <c r="X725">
        <f t="shared" si="671"/>
        <v>175.11</v>
      </c>
      <c r="Y725">
        <f t="shared" si="671"/>
        <v>25.02</v>
      </c>
      <c r="AA725">
        <v>-1</v>
      </c>
      <c r="AB725">
        <f t="shared" si="672"/>
        <v>176.66</v>
      </c>
      <c r="AC725">
        <f>ROUND((ES725),6)</f>
        <v>0</v>
      </c>
      <c r="AD725">
        <f>ROUND((((ET725)-(EU725))+AE725),6)</f>
        <v>0</v>
      </c>
      <c r="AE725">
        <f t="shared" si="693"/>
        <v>0</v>
      </c>
      <c r="AF725">
        <f t="shared" si="693"/>
        <v>176.66</v>
      </c>
      <c r="AG725">
        <f t="shared" si="673"/>
        <v>0</v>
      </c>
      <c r="AH725">
        <f t="shared" si="694"/>
        <v>0.33</v>
      </c>
      <c r="AI725">
        <f t="shared" si="694"/>
        <v>0</v>
      </c>
      <c r="AJ725">
        <f t="shared" si="674"/>
        <v>0</v>
      </c>
      <c r="AK725">
        <v>176.66</v>
      </c>
      <c r="AL725">
        <v>0</v>
      </c>
      <c r="AM725">
        <v>0</v>
      </c>
      <c r="AN725">
        <v>0</v>
      </c>
      <c r="AO725">
        <v>176.66</v>
      </c>
      <c r="AP725">
        <v>0</v>
      </c>
      <c r="AQ725">
        <v>0.33</v>
      </c>
      <c r="AR725">
        <v>0</v>
      </c>
      <c r="AS725">
        <v>0</v>
      </c>
      <c r="AT725">
        <v>70</v>
      </c>
      <c r="AU725">
        <v>10</v>
      </c>
      <c r="AV725">
        <v>1</v>
      </c>
      <c r="AW725">
        <v>1</v>
      </c>
      <c r="AZ725">
        <v>1</v>
      </c>
      <c r="BA725">
        <v>1</v>
      </c>
      <c r="BB725">
        <v>1</v>
      </c>
      <c r="BC725">
        <v>1</v>
      </c>
      <c r="BD725" t="s">
        <v>3</v>
      </c>
      <c r="BE725" t="s">
        <v>3</v>
      </c>
      <c r="BF725" t="s">
        <v>3</v>
      </c>
      <c r="BG725" t="s">
        <v>3</v>
      </c>
      <c r="BH725">
        <v>0</v>
      </c>
      <c r="BI725">
        <v>4</v>
      </c>
      <c r="BJ725" t="s">
        <v>480</v>
      </c>
      <c r="BM725">
        <v>0</v>
      </c>
      <c r="BN725">
        <v>0</v>
      </c>
      <c r="BO725" t="s">
        <v>3</v>
      </c>
      <c r="BP725">
        <v>0</v>
      </c>
      <c r="BQ725">
        <v>1</v>
      </c>
      <c r="BR725">
        <v>0</v>
      </c>
      <c r="BS725">
        <v>1</v>
      </c>
      <c r="BT725">
        <v>1</v>
      </c>
      <c r="BU725">
        <v>1</v>
      </c>
      <c r="BV725">
        <v>1</v>
      </c>
      <c r="BW725">
        <v>1</v>
      </c>
      <c r="BX725">
        <v>1</v>
      </c>
      <c r="BY725" t="s">
        <v>3</v>
      </c>
      <c r="BZ725">
        <v>70</v>
      </c>
      <c r="CA725">
        <v>10</v>
      </c>
      <c r="CB725" t="s">
        <v>3</v>
      </c>
      <c r="CE725">
        <v>0</v>
      </c>
      <c r="CF725">
        <v>0</v>
      </c>
      <c r="CG725">
        <v>0</v>
      </c>
      <c r="CM725">
        <v>0</v>
      </c>
      <c r="CN725" t="s">
        <v>3</v>
      </c>
      <c r="CO725">
        <v>0</v>
      </c>
      <c r="CP725">
        <f t="shared" si="675"/>
        <v>250.15</v>
      </c>
      <c r="CQ725">
        <f t="shared" si="676"/>
        <v>0</v>
      </c>
      <c r="CR725">
        <f>((((ET725)*BB725-(EU725)*BS725)+AE725*BS725)*AV725)</f>
        <v>0</v>
      </c>
      <c r="CS725">
        <f t="shared" si="677"/>
        <v>0</v>
      </c>
      <c r="CT725">
        <f t="shared" si="678"/>
        <v>176.66</v>
      </c>
      <c r="CU725">
        <f t="shared" si="679"/>
        <v>0</v>
      </c>
      <c r="CV725">
        <f t="shared" si="680"/>
        <v>0.33</v>
      </c>
      <c r="CW725">
        <f t="shared" si="681"/>
        <v>0</v>
      </c>
      <c r="CX725">
        <f t="shared" si="681"/>
        <v>0</v>
      </c>
      <c r="CY725">
        <f t="shared" si="682"/>
        <v>175.10499999999999</v>
      </c>
      <c r="CZ725">
        <f t="shared" si="683"/>
        <v>25.015000000000001</v>
      </c>
      <c r="DC725" t="s">
        <v>3</v>
      </c>
      <c r="DD725" t="s">
        <v>3</v>
      </c>
      <c r="DE725" t="s">
        <v>3</v>
      </c>
      <c r="DF725" t="s">
        <v>3</v>
      </c>
      <c r="DG725" t="s">
        <v>3</v>
      </c>
      <c r="DH725" t="s">
        <v>3</v>
      </c>
      <c r="DI725" t="s">
        <v>3</v>
      </c>
      <c r="DJ725" t="s">
        <v>3</v>
      </c>
      <c r="DK725" t="s">
        <v>3</v>
      </c>
      <c r="DL725" t="s">
        <v>3</v>
      </c>
      <c r="DM725" t="s">
        <v>3</v>
      </c>
      <c r="DN725">
        <v>0</v>
      </c>
      <c r="DO725">
        <v>0</v>
      </c>
      <c r="DP725">
        <v>1</v>
      </c>
      <c r="DQ725">
        <v>1</v>
      </c>
      <c r="DU725">
        <v>1003</v>
      </c>
      <c r="DV725" t="s">
        <v>20</v>
      </c>
      <c r="DW725" t="s">
        <v>20</v>
      </c>
      <c r="DX725">
        <v>100</v>
      </c>
      <c r="DZ725" t="s">
        <v>3</v>
      </c>
      <c r="EA725" t="s">
        <v>3</v>
      </c>
      <c r="EB725" t="s">
        <v>3</v>
      </c>
      <c r="EC725" t="s">
        <v>3</v>
      </c>
      <c r="EE725">
        <v>1441815344</v>
      </c>
      <c r="EF725">
        <v>1</v>
      </c>
      <c r="EG725" t="s">
        <v>23</v>
      </c>
      <c r="EH725">
        <v>0</v>
      </c>
      <c r="EI725" t="s">
        <v>3</v>
      </c>
      <c r="EJ725">
        <v>4</v>
      </c>
      <c r="EK725">
        <v>0</v>
      </c>
      <c r="EL725" t="s">
        <v>24</v>
      </c>
      <c r="EM725" t="s">
        <v>25</v>
      </c>
      <c r="EO725" t="s">
        <v>3</v>
      </c>
      <c r="EQ725">
        <v>1024</v>
      </c>
      <c r="ER725">
        <v>176.66</v>
      </c>
      <c r="ES725">
        <v>0</v>
      </c>
      <c r="ET725">
        <v>0</v>
      </c>
      <c r="EU725">
        <v>0</v>
      </c>
      <c r="EV725">
        <v>176.66</v>
      </c>
      <c r="EW725">
        <v>0.33</v>
      </c>
      <c r="EX725">
        <v>0</v>
      </c>
      <c r="EY725">
        <v>0</v>
      </c>
      <c r="FQ725">
        <v>0</v>
      </c>
      <c r="FR725">
        <f t="shared" si="684"/>
        <v>0</v>
      </c>
      <c r="FS725">
        <v>0</v>
      </c>
      <c r="FX725">
        <v>70</v>
      </c>
      <c r="FY725">
        <v>10</v>
      </c>
      <c r="GA725" t="s">
        <v>3</v>
      </c>
      <c r="GD725">
        <v>0</v>
      </c>
      <c r="GF725">
        <v>-89122687</v>
      </c>
      <c r="GG725">
        <v>2</v>
      </c>
      <c r="GH725">
        <v>1</v>
      </c>
      <c r="GI725">
        <v>-2</v>
      </c>
      <c r="GJ725">
        <v>0</v>
      </c>
      <c r="GK725">
        <f>ROUND(R725*(R12)/100,2)</f>
        <v>0</v>
      </c>
      <c r="GL725">
        <f t="shared" si="685"/>
        <v>0</v>
      </c>
      <c r="GM725">
        <f t="shared" si="686"/>
        <v>450.28</v>
      </c>
      <c r="GN725">
        <f t="shared" si="687"/>
        <v>0</v>
      </c>
      <c r="GO725">
        <f t="shared" si="688"/>
        <v>0</v>
      </c>
      <c r="GP725">
        <f t="shared" si="689"/>
        <v>450.28</v>
      </c>
      <c r="GR725">
        <v>0</v>
      </c>
      <c r="GS725">
        <v>3</v>
      </c>
      <c r="GT725">
        <v>0</v>
      </c>
      <c r="GU725" t="s">
        <v>3</v>
      </c>
      <c r="GV725">
        <f t="shared" si="690"/>
        <v>0</v>
      </c>
      <c r="GW725">
        <v>1</v>
      </c>
      <c r="GX725">
        <f t="shared" si="691"/>
        <v>0</v>
      </c>
      <c r="HA725">
        <v>0</v>
      </c>
      <c r="HB725">
        <v>0</v>
      </c>
      <c r="HC725">
        <f t="shared" si="692"/>
        <v>0</v>
      </c>
      <c r="HE725" t="s">
        <v>3</v>
      </c>
      <c r="HF725" t="s">
        <v>3</v>
      </c>
      <c r="HM725" t="s">
        <v>3</v>
      </c>
      <c r="HN725" t="s">
        <v>3</v>
      </c>
      <c r="HO725" t="s">
        <v>3</v>
      </c>
      <c r="HP725" t="s">
        <v>3</v>
      </c>
      <c r="HQ725" t="s">
        <v>3</v>
      </c>
      <c r="IK725">
        <v>0</v>
      </c>
    </row>
    <row r="726" spans="1:245" x14ac:dyDescent="0.2">
      <c r="A726">
        <v>17</v>
      </c>
      <c r="B726">
        <v>1</v>
      </c>
      <c r="D726">
        <f>ROW(EtalonRes!A598)</f>
        <v>598</v>
      </c>
      <c r="E726" t="s">
        <v>560</v>
      </c>
      <c r="F726" t="s">
        <v>475</v>
      </c>
      <c r="G726" t="s">
        <v>476</v>
      </c>
      <c r="H726" t="s">
        <v>20</v>
      </c>
      <c r="I726">
        <f>ROUND((120+40+120+40+120+40+120+40)*0.2*0.1/100,9)</f>
        <v>0.128</v>
      </c>
      <c r="J726">
        <v>0</v>
      </c>
      <c r="K726">
        <f>ROUND((120+40+120+40+120+40+120+40)*0.2*0.1/100,9)</f>
        <v>0.128</v>
      </c>
      <c r="O726">
        <f t="shared" si="662"/>
        <v>688.08</v>
      </c>
      <c r="P726">
        <f t="shared" si="663"/>
        <v>2.88</v>
      </c>
      <c r="Q726">
        <f t="shared" si="664"/>
        <v>0</v>
      </c>
      <c r="R726">
        <f t="shared" si="665"/>
        <v>0</v>
      </c>
      <c r="S726">
        <f t="shared" si="666"/>
        <v>685.2</v>
      </c>
      <c r="T726">
        <f t="shared" si="667"/>
        <v>0</v>
      </c>
      <c r="U726">
        <f t="shared" si="668"/>
        <v>1.28</v>
      </c>
      <c r="V726">
        <f t="shared" si="669"/>
        <v>0</v>
      </c>
      <c r="W726">
        <f t="shared" si="670"/>
        <v>0</v>
      </c>
      <c r="X726">
        <f t="shared" si="671"/>
        <v>479.64</v>
      </c>
      <c r="Y726">
        <f t="shared" si="671"/>
        <v>68.52</v>
      </c>
      <c r="AA726">
        <v>1472224561</v>
      </c>
      <c r="AB726">
        <f t="shared" si="672"/>
        <v>5375.66</v>
      </c>
      <c r="AC726">
        <f>ROUND((ES726),6)</f>
        <v>22.51</v>
      </c>
      <c r="AD726">
        <f>ROUND((((ET726)-(EU726))+AE726),6)</f>
        <v>0</v>
      </c>
      <c r="AE726">
        <f t="shared" si="693"/>
        <v>0</v>
      </c>
      <c r="AF726">
        <f t="shared" si="693"/>
        <v>5353.15</v>
      </c>
      <c r="AG726">
        <f t="shared" si="673"/>
        <v>0</v>
      </c>
      <c r="AH726">
        <f t="shared" si="694"/>
        <v>10</v>
      </c>
      <c r="AI726">
        <f t="shared" si="694"/>
        <v>0</v>
      </c>
      <c r="AJ726">
        <f t="shared" si="674"/>
        <v>0</v>
      </c>
      <c r="AK726">
        <v>5375.66</v>
      </c>
      <c r="AL726">
        <v>22.51</v>
      </c>
      <c r="AM726">
        <v>0</v>
      </c>
      <c r="AN726">
        <v>0</v>
      </c>
      <c r="AO726">
        <v>5353.15</v>
      </c>
      <c r="AP726">
        <v>0</v>
      </c>
      <c r="AQ726">
        <v>10</v>
      </c>
      <c r="AR726">
        <v>0</v>
      </c>
      <c r="AS726">
        <v>0</v>
      </c>
      <c r="AT726">
        <v>70</v>
      </c>
      <c r="AU726">
        <v>10</v>
      </c>
      <c r="AV726">
        <v>1</v>
      </c>
      <c r="AW726">
        <v>1</v>
      </c>
      <c r="AZ726">
        <v>1</v>
      </c>
      <c r="BA726">
        <v>1</v>
      </c>
      <c r="BB726">
        <v>1</v>
      </c>
      <c r="BC726">
        <v>1</v>
      </c>
      <c r="BD726" t="s">
        <v>3</v>
      </c>
      <c r="BE726" t="s">
        <v>3</v>
      </c>
      <c r="BF726" t="s">
        <v>3</v>
      </c>
      <c r="BG726" t="s">
        <v>3</v>
      </c>
      <c r="BH726">
        <v>0</v>
      </c>
      <c r="BI726">
        <v>4</v>
      </c>
      <c r="BJ726" t="s">
        <v>477</v>
      </c>
      <c r="BM726">
        <v>0</v>
      </c>
      <c r="BN726">
        <v>0</v>
      </c>
      <c r="BO726" t="s">
        <v>3</v>
      </c>
      <c r="BP726">
        <v>0</v>
      </c>
      <c r="BQ726">
        <v>1</v>
      </c>
      <c r="BR726">
        <v>0</v>
      </c>
      <c r="BS726">
        <v>1</v>
      </c>
      <c r="BT726">
        <v>1</v>
      </c>
      <c r="BU726">
        <v>1</v>
      </c>
      <c r="BV726">
        <v>1</v>
      </c>
      <c r="BW726">
        <v>1</v>
      </c>
      <c r="BX726">
        <v>1</v>
      </c>
      <c r="BY726" t="s">
        <v>3</v>
      </c>
      <c r="BZ726">
        <v>70</v>
      </c>
      <c r="CA726">
        <v>10</v>
      </c>
      <c r="CB726" t="s">
        <v>3</v>
      </c>
      <c r="CE726">
        <v>0</v>
      </c>
      <c r="CF726">
        <v>0</v>
      </c>
      <c r="CG726">
        <v>0</v>
      </c>
      <c r="CM726">
        <v>0</v>
      </c>
      <c r="CN726" t="s">
        <v>3</v>
      </c>
      <c r="CO726">
        <v>0</v>
      </c>
      <c r="CP726">
        <f t="shared" si="675"/>
        <v>688.08</v>
      </c>
      <c r="CQ726">
        <f t="shared" si="676"/>
        <v>22.51</v>
      </c>
      <c r="CR726">
        <f>((((ET726)*BB726-(EU726)*BS726)+AE726*BS726)*AV726)</f>
        <v>0</v>
      </c>
      <c r="CS726">
        <f t="shared" si="677"/>
        <v>0</v>
      </c>
      <c r="CT726">
        <f t="shared" si="678"/>
        <v>5353.15</v>
      </c>
      <c r="CU726">
        <f t="shared" si="679"/>
        <v>0</v>
      </c>
      <c r="CV726">
        <f t="shared" si="680"/>
        <v>10</v>
      </c>
      <c r="CW726">
        <f t="shared" si="681"/>
        <v>0</v>
      </c>
      <c r="CX726">
        <f t="shared" si="681"/>
        <v>0</v>
      </c>
      <c r="CY726">
        <f t="shared" si="682"/>
        <v>479.64</v>
      </c>
      <c r="CZ726">
        <f t="shared" si="683"/>
        <v>68.52</v>
      </c>
      <c r="DC726" t="s">
        <v>3</v>
      </c>
      <c r="DD726" t="s">
        <v>3</v>
      </c>
      <c r="DE726" t="s">
        <v>3</v>
      </c>
      <c r="DF726" t="s">
        <v>3</v>
      </c>
      <c r="DG726" t="s">
        <v>3</v>
      </c>
      <c r="DH726" t="s">
        <v>3</v>
      </c>
      <c r="DI726" t="s">
        <v>3</v>
      </c>
      <c r="DJ726" t="s">
        <v>3</v>
      </c>
      <c r="DK726" t="s">
        <v>3</v>
      </c>
      <c r="DL726" t="s">
        <v>3</v>
      </c>
      <c r="DM726" t="s">
        <v>3</v>
      </c>
      <c r="DN726">
        <v>0</v>
      </c>
      <c r="DO726">
        <v>0</v>
      </c>
      <c r="DP726">
        <v>1</v>
      </c>
      <c r="DQ726">
        <v>1</v>
      </c>
      <c r="DU726">
        <v>1003</v>
      </c>
      <c r="DV726" t="s">
        <v>20</v>
      </c>
      <c r="DW726" t="s">
        <v>20</v>
      </c>
      <c r="DX726">
        <v>100</v>
      </c>
      <c r="DZ726" t="s">
        <v>3</v>
      </c>
      <c r="EA726" t="s">
        <v>3</v>
      </c>
      <c r="EB726" t="s">
        <v>3</v>
      </c>
      <c r="EC726" t="s">
        <v>3</v>
      </c>
      <c r="EE726">
        <v>1441815344</v>
      </c>
      <c r="EF726">
        <v>1</v>
      </c>
      <c r="EG726" t="s">
        <v>23</v>
      </c>
      <c r="EH726">
        <v>0</v>
      </c>
      <c r="EI726" t="s">
        <v>3</v>
      </c>
      <c r="EJ726">
        <v>4</v>
      </c>
      <c r="EK726">
        <v>0</v>
      </c>
      <c r="EL726" t="s">
        <v>24</v>
      </c>
      <c r="EM726" t="s">
        <v>25</v>
      </c>
      <c r="EO726" t="s">
        <v>3</v>
      </c>
      <c r="EQ726">
        <v>0</v>
      </c>
      <c r="ER726">
        <v>5375.66</v>
      </c>
      <c r="ES726">
        <v>22.51</v>
      </c>
      <c r="ET726">
        <v>0</v>
      </c>
      <c r="EU726">
        <v>0</v>
      </c>
      <c r="EV726">
        <v>5353.15</v>
      </c>
      <c r="EW726">
        <v>10</v>
      </c>
      <c r="EX726">
        <v>0</v>
      </c>
      <c r="EY726">
        <v>0</v>
      </c>
      <c r="FQ726">
        <v>0</v>
      </c>
      <c r="FR726">
        <f t="shared" si="684"/>
        <v>0</v>
      </c>
      <c r="FS726">
        <v>0</v>
      </c>
      <c r="FX726">
        <v>70</v>
      </c>
      <c r="FY726">
        <v>10</v>
      </c>
      <c r="GA726" t="s">
        <v>3</v>
      </c>
      <c r="GD726">
        <v>0</v>
      </c>
      <c r="GF726">
        <v>409781007</v>
      </c>
      <c r="GG726">
        <v>2</v>
      </c>
      <c r="GH726">
        <v>1</v>
      </c>
      <c r="GI726">
        <v>-2</v>
      </c>
      <c r="GJ726">
        <v>0</v>
      </c>
      <c r="GK726">
        <f>ROUND(R726*(R12)/100,2)</f>
        <v>0</v>
      </c>
      <c r="GL726">
        <f t="shared" si="685"/>
        <v>0</v>
      </c>
      <c r="GM726">
        <f t="shared" si="686"/>
        <v>1236.24</v>
      </c>
      <c r="GN726">
        <f t="shared" si="687"/>
        <v>0</v>
      </c>
      <c r="GO726">
        <f t="shared" si="688"/>
        <v>0</v>
      </c>
      <c r="GP726">
        <f t="shared" si="689"/>
        <v>1236.24</v>
      </c>
      <c r="GR726">
        <v>0</v>
      </c>
      <c r="GS726">
        <v>3</v>
      </c>
      <c r="GT726">
        <v>0</v>
      </c>
      <c r="GU726" t="s">
        <v>3</v>
      </c>
      <c r="GV726">
        <f t="shared" si="690"/>
        <v>0</v>
      </c>
      <c r="GW726">
        <v>1</v>
      </c>
      <c r="GX726">
        <f t="shared" si="691"/>
        <v>0</v>
      </c>
      <c r="HA726">
        <v>0</v>
      </c>
      <c r="HB726">
        <v>0</v>
      </c>
      <c r="HC726">
        <f t="shared" si="692"/>
        <v>0</v>
      </c>
      <c r="HE726" t="s">
        <v>3</v>
      </c>
      <c r="HF726" t="s">
        <v>3</v>
      </c>
      <c r="HM726" t="s">
        <v>3</v>
      </c>
      <c r="HN726" t="s">
        <v>3</v>
      </c>
      <c r="HO726" t="s">
        <v>3</v>
      </c>
      <c r="HP726" t="s">
        <v>3</v>
      </c>
      <c r="HQ726" t="s">
        <v>3</v>
      </c>
      <c r="IK726">
        <v>0</v>
      </c>
    </row>
    <row r="727" spans="1:245" x14ac:dyDescent="0.2">
      <c r="A727">
        <v>17</v>
      </c>
      <c r="B727">
        <v>1</v>
      </c>
      <c r="D727">
        <f>ROW(EtalonRes!A599)</f>
        <v>599</v>
      </c>
      <c r="E727" t="s">
        <v>3</v>
      </c>
      <c r="F727" t="s">
        <v>478</v>
      </c>
      <c r="G727" t="s">
        <v>479</v>
      </c>
      <c r="H727" t="s">
        <v>20</v>
      </c>
      <c r="I727">
        <f>ROUND((120+40+120+40+120+40+120+40)*0.1/100,9)</f>
        <v>0.64</v>
      </c>
      <c r="J727">
        <v>0</v>
      </c>
      <c r="K727">
        <f>ROUND((120+40+120+40+120+40+120+40)*0.1/100,9)</f>
        <v>0.64</v>
      </c>
      <c r="O727">
        <f t="shared" si="662"/>
        <v>113.06</v>
      </c>
      <c r="P727">
        <f t="shared" si="663"/>
        <v>0</v>
      </c>
      <c r="Q727">
        <f t="shared" si="664"/>
        <v>0</v>
      </c>
      <c r="R727">
        <f t="shared" si="665"/>
        <v>0</v>
      </c>
      <c r="S727">
        <f t="shared" si="666"/>
        <v>113.06</v>
      </c>
      <c r="T727">
        <f t="shared" si="667"/>
        <v>0</v>
      </c>
      <c r="U727">
        <f t="shared" si="668"/>
        <v>0.21120000000000003</v>
      </c>
      <c r="V727">
        <f t="shared" si="669"/>
        <v>0</v>
      </c>
      <c r="W727">
        <f t="shared" si="670"/>
        <v>0</v>
      </c>
      <c r="X727">
        <f t="shared" si="671"/>
        <v>79.14</v>
      </c>
      <c r="Y727">
        <f t="shared" si="671"/>
        <v>11.31</v>
      </c>
      <c r="AA727">
        <v>-1</v>
      </c>
      <c r="AB727">
        <f t="shared" si="672"/>
        <v>176.66</v>
      </c>
      <c r="AC727">
        <f>ROUND((ES727),6)</f>
        <v>0</v>
      </c>
      <c r="AD727">
        <f>ROUND((((ET727)-(EU727))+AE727),6)</f>
        <v>0</v>
      </c>
      <c r="AE727">
        <f t="shared" si="693"/>
        <v>0</v>
      </c>
      <c r="AF727">
        <f t="shared" si="693"/>
        <v>176.66</v>
      </c>
      <c r="AG727">
        <f t="shared" si="673"/>
        <v>0</v>
      </c>
      <c r="AH727">
        <f t="shared" si="694"/>
        <v>0.33</v>
      </c>
      <c r="AI727">
        <f t="shared" si="694"/>
        <v>0</v>
      </c>
      <c r="AJ727">
        <f t="shared" si="674"/>
        <v>0</v>
      </c>
      <c r="AK727">
        <v>176.66</v>
      </c>
      <c r="AL727">
        <v>0</v>
      </c>
      <c r="AM727">
        <v>0</v>
      </c>
      <c r="AN727">
        <v>0</v>
      </c>
      <c r="AO727">
        <v>176.66</v>
      </c>
      <c r="AP727">
        <v>0</v>
      </c>
      <c r="AQ727">
        <v>0.33</v>
      </c>
      <c r="AR727">
        <v>0</v>
      </c>
      <c r="AS727">
        <v>0</v>
      </c>
      <c r="AT727">
        <v>70</v>
      </c>
      <c r="AU727">
        <v>10</v>
      </c>
      <c r="AV727">
        <v>1</v>
      </c>
      <c r="AW727">
        <v>1</v>
      </c>
      <c r="AZ727">
        <v>1</v>
      </c>
      <c r="BA727">
        <v>1</v>
      </c>
      <c r="BB727">
        <v>1</v>
      </c>
      <c r="BC727">
        <v>1</v>
      </c>
      <c r="BD727" t="s">
        <v>3</v>
      </c>
      <c r="BE727" t="s">
        <v>3</v>
      </c>
      <c r="BF727" t="s">
        <v>3</v>
      </c>
      <c r="BG727" t="s">
        <v>3</v>
      </c>
      <c r="BH727">
        <v>0</v>
      </c>
      <c r="BI727">
        <v>4</v>
      </c>
      <c r="BJ727" t="s">
        <v>480</v>
      </c>
      <c r="BM727">
        <v>0</v>
      </c>
      <c r="BN727">
        <v>0</v>
      </c>
      <c r="BO727" t="s">
        <v>3</v>
      </c>
      <c r="BP727">
        <v>0</v>
      </c>
      <c r="BQ727">
        <v>1</v>
      </c>
      <c r="BR727">
        <v>0</v>
      </c>
      <c r="BS727">
        <v>1</v>
      </c>
      <c r="BT727">
        <v>1</v>
      </c>
      <c r="BU727">
        <v>1</v>
      </c>
      <c r="BV727">
        <v>1</v>
      </c>
      <c r="BW727">
        <v>1</v>
      </c>
      <c r="BX727">
        <v>1</v>
      </c>
      <c r="BY727" t="s">
        <v>3</v>
      </c>
      <c r="BZ727">
        <v>70</v>
      </c>
      <c r="CA727">
        <v>10</v>
      </c>
      <c r="CB727" t="s">
        <v>3</v>
      </c>
      <c r="CE727">
        <v>0</v>
      </c>
      <c r="CF727">
        <v>0</v>
      </c>
      <c r="CG727">
        <v>0</v>
      </c>
      <c r="CM727">
        <v>0</v>
      </c>
      <c r="CN727" t="s">
        <v>3</v>
      </c>
      <c r="CO727">
        <v>0</v>
      </c>
      <c r="CP727">
        <f t="shared" si="675"/>
        <v>113.06</v>
      </c>
      <c r="CQ727">
        <f t="shared" si="676"/>
        <v>0</v>
      </c>
      <c r="CR727">
        <f>((((ET727)*BB727-(EU727)*BS727)+AE727*BS727)*AV727)</f>
        <v>0</v>
      </c>
      <c r="CS727">
        <f t="shared" si="677"/>
        <v>0</v>
      </c>
      <c r="CT727">
        <f t="shared" si="678"/>
        <v>176.66</v>
      </c>
      <c r="CU727">
        <f t="shared" si="679"/>
        <v>0</v>
      </c>
      <c r="CV727">
        <f t="shared" si="680"/>
        <v>0.33</v>
      </c>
      <c r="CW727">
        <f t="shared" si="681"/>
        <v>0</v>
      </c>
      <c r="CX727">
        <f t="shared" si="681"/>
        <v>0</v>
      </c>
      <c r="CY727">
        <f t="shared" si="682"/>
        <v>79.141999999999996</v>
      </c>
      <c r="CZ727">
        <f t="shared" si="683"/>
        <v>11.305999999999999</v>
      </c>
      <c r="DC727" t="s">
        <v>3</v>
      </c>
      <c r="DD727" t="s">
        <v>3</v>
      </c>
      <c r="DE727" t="s">
        <v>3</v>
      </c>
      <c r="DF727" t="s">
        <v>3</v>
      </c>
      <c r="DG727" t="s">
        <v>3</v>
      </c>
      <c r="DH727" t="s">
        <v>3</v>
      </c>
      <c r="DI727" t="s">
        <v>3</v>
      </c>
      <c r="DJ727" t="s">
        <v>3</v>
      </c>
      <c r="DK727" t="s">
        <v>3</v>
      </c>
      <c r="DL727" t="s">
        <v>3</v>
      </c>
      <c r="DM727" t="s">
        <v>3</v>
      </c>
      <c r="DN727">
        <v>0</v>
      </c>
      <c r="DO727">
        <v>0</v>
      </c>
      <c r="DP727">
        <v>1</v>
      </c>
      <c r="DQ727">
        <v>1</v>
      </c>
      <c r="DU727">
        <v>1003</v>
      </c>
      <c r="DV727" t="s">
        <v>20</v>
      </c>
      <c r="DW727" t="s">
        <v>20</v>
      </c>
      <c r="DX727">
        <v>100</v>
      </c>
      <c r="DZ727" t="s">
        <v>3</v>
      </c>
      <c r="EA727" t="s">
        <v>3</v>
      </c>
      <c r="EB727" t="s">
        <v>3</v>
      </c>
      <c r="EC727" t="s">
        <v>3</v>
      </c>
      <c r="EE727">
        <v>1441815344</v>
      </c>
      <c r="EF727">
        <v>1</v>
      </c>
      <c r="EG727" t="s">
        <v>23</v>
      </c>
      <c r="EH727">
        <v>0</v>
      </c>
      <c r="EI727" t="s">
        <v>3</v>
      </c>
      <c r="EJ727">
        <v>4</v>
      </c>
      <c r="EK727">
        <v>0</v>
      </c>
      <c r="EL727" t="s">
        <v>24</v>
      </c>
      <c r="EM727" t="s">
        <v>25</v>
      </c>
      <c r="EO727" t="s">
        <v>3</v>
      </c>
      <c r="EQ727">
        <v>1024</v>
      </c>
      <c r="ER727">
        <v>176.66</v>
      </c>
      <c r="ES727">
        <v>0</v>
      </c>
      <c r="ET727">
        <v>0</v>
      </c>
      <c r="EU727">
        <v>0</v>
      </c>
      <c r="EV727">
        <v>176.66</v>
      </c>
      <c r="EW727">
        <v>0.33</v>
      </c>
      <c r="EX727">
        <v>0</v>
      </c>
      <c r="EY727">
        <v>0</v>
      </c>
      <c r="FQ727">
        <v>0</v>
      </c>
      <c r="FR727">
        <f t="shared" si="684"/>
        <v>0</v>
      </c>
      <c r="FS727">
        <v>0</v>
      </c>
      <c r="FX727">
        <v>70</v>
      </c>
      <c r="FY727">
        <v>10</v>
      </c>
      <c r="GA727" t="s">
        <v>3</v>
      </c>
      <c r="GD727">
        <v>0</v>
      </c>
      <c r="GF727">
        <v>-89122687</v>
      </c>
      <c r="GG727">
        <v>2</v>
      </c>
      <c r="GH727">
        <v>1</v>
      </c>
      <c r="GI727">
        <v>-2</v>
      </c>
      <c r="GJ727">
        <v>0</v>
      </c>
      <c r="GK727">
        <f>ROUND(R727*(R12)/100,2)</f>
        <v>0</v>
      </c>
      <c r="GL727">
        <f t="shared" si="685"/>
        <v>0</v>
      </c>
      <c r="GM727">
        <f t="shared" si="686"/>
        <v>203.51</v>
      </c>
      <c r="GN727">
        <f t="shared" si="687"/>
        <v>0</v>
      </c>
      <c r="GO727">
        <f t="shared" si="688"/>
        <v>0</v>
      </c>
      <c r="GP727">
        <f t="shared" si="689"/>
        <v>203.51</v>
      </c>
      <c r="GR727">
        <v>0</v>
      </c>
      <c r="GS727">
        <v>3</v>
      </c>
      <c r="GT727">
        <v>0</v>
      </c>
      <c r="GU727" t="s">
        <v>3</v>
      </c>
      <c r="GV727">
        <f t="shared" si="690"/>
        <v>0</v>
      </c>
      <c r="GW727">
        <v>1</v>
      </c>
      <c r="GX727">
        <f t="shared" si="691"/>
        <v>0</v>
      </c>
      <c r="HA727">
        <v>0</v>
      </c>
      <c r="HB727">
        <v>0</v>
      </c>
      <c r="HC727">
        <f t="shared" si="692"/>
        <v>0</v>
      </c>
      <c r="HE727" t="s">
        <v>3</v>
      </c>
      <c r="HF727" t="s">
        <v>3</v>
      </c>
      <c r="HM727" t="s">
        <v>3</v>
      </c>
      <c r="HN727" t="s">
        <v>3</v>
      </c>
      <c r="HO727" t="s">
        <v>3</v>
      </c>
      <c r="HP727" t="s">
        <v>3</v>
      </c>
      <c r="HQ727" t="s">
        <v>3</v>
      </c>
      <c r="IK727">
        <v>0</v>
      </c>
    </row>
    <row r="729" spans="1:245" x14ac:dyDescent="0.2">
      <c r="A729" s="2">
        <v>51</v>
      </c>
      <c r="B729" s="2">
        <f>B717</f>
        <v>1</v>
      </c>
      <c r="C729" s="2">
        <f>A717</f>
        <v>5</v>
      </c>
      <c r="D729" s="2">
        <f>ROW(A717)</f>
        <v>717</v>
      </c>
      <c r="E729" s="2"/>
      <c r="F729" s="2" t="str">
        <f>IF(F717&lt;&gt;"",F717,"")</f>
        <v>Новый подраздел</v>
      </c>
      <c r="G729" s="2" t="str">
        <f>IF(G717&lt;&gt;"",G717,"")</f>
        <v>Система электрического обогрева кровли и водостоков.</v>
      </c>
      <c r="H729" s="2">
        <v>0</v>
      </c>
      <c r="I729" s="2"/>
      <c r="J729" s="2"/>
      <c r="K729" s="2"/>
      <c r="L729" s="2"/>
      <c r="M729" s="2"/>
      <c r="N729" s="2"/>
      <c r="O729" s="2">
        <f t="shared" ref="O729:T729" si="695">ROUND(AB729,2)</f>
        <v>12546.38</v>
      </c>
      <c r="P729" s="2">
        <f t="shared" si="695"/>
        <v>189.57</v>
      </c>
      <c r="Q729" s="2">
        <f t="shared" si="695"/>
        <v>0</v>
      </c>
      <c r="R729" s="2">
        <f t="shared" si="695"/>
        <v>0</v>
      </c>
      <c r="S729" s="2">
        <f t="shared" si="695"/>
        <v>12356.81</v>
      </c>
      <c r="T729" s="2">
        <f t="shared" si="695"/>
        <v>0</v>
      </c>
      <c r="U729" s="2">
        <f>AH729</f>
        <v>18.032</v>
      </c>
      <c r="V729" s="2">
        <f>AI729</f>
        <v>0</v>
      </c>
      <c r="W729" s="2">
        <f>ROUND(AJ729,2)</f>
        <v>0</v>
      </c>
      <c r="X729" s="2">
        <f>ROUND(AK729,2)</f>
        <v>8649.77</v>
      </c>
      <c r="Y729" s="2">
        <f>ROUND(AL729,2)</f>
        <v>1235.68</v>
      </c>
      <c r="Z729" s="2"/>
      <c r="AA729" s="2"/>
      <c r="AB729" s="2">
        <f>ROUND(SUMIF(AA721:AA727,"=1472224561",O721:O727),2)</f>
        <v>12546.38</v>
      </c>
      <c r="AC729" s="2">
        <f>ROUND(SUMIF(AA721:AA727,"=1472224561",P721:P727),2)</f>
        <v>189.57</v>
      </c>
      <c r="AD729" s="2">
        <f>ROUND(SUMIF(AA721:AA727,"=1472224561",Q721:Q727),2)</f>
        <v>0</v>
      </c>
      <c r="AE729" s="2">
        <f>ROUND(SUMIF(AA721:AA727,"=1472224561",R721:R727),2)</f>
        <v>0</v>
      </c>
      <c r="AF729" s="2">
        <f>ROUND(SUMIF(AA721:AA727,"=1472224561",S721:S727),2)</f>
        <v>12356.81</v>
      </c>
      <c r="AG729" s="2">
        <f>ROUND(SUMIF(AA721:AA727,"=1472224561",T721:T727),2)</f>
        <v>0</v>
      </c>
      <c r="AH729" s="2">
        <f>SUMIF(AA721:AA727,"=1472224561",U721:U727)</f>
        <v>18.032</v>
      </c>
      <c r="AI729" s="2">
        <f>SUMIF(AA721:AA727,"=1472224561",V721:V727)</f>
        <v>0</v>
      </c>
      <c r="AJ729" s="2">
        <f>ROUND(SUMIF(AA721:AA727,"=1472224561",W721:W727),2)</f>
        <v>0</v>
      </c>
      <c r="AK729" s="2">
        <f>ROUND(SUMIF(AA721:AA727,"=1472224561",X721:X727),2)</f>
        <v>8649.77</v>
      </c>
      <c r="AL729" s="2">
        <f>ROUND(SUMIF(AA721:AA727,"=1472224561",Y721:Y727),2)</f>
        <v>1235.68</v>
      </c>
      <c r="AM729" s="2"/>
      <c r="AN729" s="2"/>
      <c r="AO729" s="2">
        <f t="shared" ref="AO729:BD729" si="696">ROUND(BX729,2)</f>
        <v>0</v>
      </c>
      <c r="AP729" s="2">
        <f t="shared" si="696"/>
        <v>0</v>
      </c>
      <c r="AQ729" s="2">
        <f t="shared" si="696"/>
        <v>0</v>
      </c>
      <c r="AR729" s="2">
        <f t="shared" si="696"/>
        <v>22431.83</v>
      </c>
      <c r="AS729" s="2">
        <f t="shared" si="696"/>
        <v>0</v>
      </c>
      <c r="AT729" s="2">
        <f t="shared" si="696"/>
        <v>0</v>
      </c>
      <c r="AU729" s="2">
        <f t="shared" si="696"/>
        <v>22431.83</v>
      </c>
      <c r="AV729" s="2">
        <f t="shared" si="696"/>
        <v>189.57</v>
      </c>
      <c r="AW729" s="2">
        <f t="shared" si="696"/>
        <v>189.57</v>
      </c>
      <c r="AX729" s="2">
        <f t="shared" si="696"/>
        <v>0</v>
      </c>
      <c r="AY729" s="2">
        <f t="shared" si="696"/>
        <v>189.57</v>
      </c>
      <c r="AZ729" s="2">
        <f t="shared" si="696"/>
        <v>0</v>
      </c>
      <c r="BA729" s="2">
        <f t="shared" si="696"/>
        <v>0</v>
      </c>
      <c r="BB729" s="2">
        <f t="shared" si="696"/>
        <v>0</v>
      </c>
      <c r="BC729" s="2">
        <f t="shared" si="696"/>
        <v>0</v>
      </c>
      <c r="BD729" s="2">
        <f t="shared" si="696"/>
        <v>0</v>
      </c>
      <c r="BE729" s="2"/>
      <c r="BF729" s="2"/>
      <c r="BG729" s="2"/>
      <c r="BH729" s="2"/>
      <c r="BI729" s="2"/>
      <c r="BJ729" s="2"/>
      <c r="BK729" s="2"/>
      <c r="BL729" s="2"/>
      <c r="BM729" s="2"/>
      <c r="BN729" s="2"/>
      <c r="BO729" s="2"/>
      <c r="BP729" s="2"/>
      <c r="BQ729" s="2"/>
      <c r="BR729" s="2"/>
      <c r="BS729" s="2"/>
      <c r="BT729" s="2"/>
      <c r="BU729" s="2"/>
      <c r="BV729" s="2"/>
      <c r="BW729" s="2"/>
      <c r="BX729" s="2">
        <f>ROUND(SUMIF(AA721:AA727,"=1472224561",FQ721:FQ727),2)</f>
        <v>0</v>
      </c>
      <c r="BY729" s="2">
        <f>ROUND(SUMIF(AA721:AA727,"=1472224561",FR721:FR727),2)</f>
        <v>0</v>
      </c>
      <c r="BZ729" s="2">
        <f>ROUND(SUMIF(AA721:AA727,"=1472224561",GL721:GL727),2)</f>
        <v>0</v>
      </c>
      <c r="CA729" s="2">
        <f>ROUND(SUMIF(AA721:AA727,"=1472224561",GM721:GM727),2)</f>
        <v>22431.83</v>
      </c>
      <c r="CB729" s="2">
        <f>ROUND(SUMIF(AA721:AA727,"=1472224561",GN721:GN727),2)</f>
        <v>0</v>
      </c>
      <c r="CC729" s="2">
        <f>ROUND(SUMIF(AA721:AA727,"=1472224561",GO721:GO727),2)</f>
        <v>0</v>
      </c>
      <c r="CD729" s="2">
        <f>ROUND(SUMIF(AA721:AA727,"=1472224561",GP721:GP727),2)</f>
        <v>22431.83</v>
      </c>
      <c r="CE729" s="2">
        <f>AC729-BX729</f>
        <v>189.57</v>
      </c>
      <c r="CF729" s="2">
        <f>AC729-BY729</f>
        <v>189.57</v>
      </c>
      <c r="CG729" s="2">
        <f>BX729-BZ729</f>
        <v>0</v>
      </c>
      <c r="CH729" s="2">
        <f>AC729-BX729-BY729+BZ729</f>
        <v>189.57</v>
      </c>
      <c r="CI729" s="2">
        <f>BY729-BZ729</f>
        <v>0</v>
      </c>
      <c r="CJ729" s="2">
        <f>ROUND(SUMIF(AA721:AA727,"=1472224561",GX721:GX727),2)</f>
        <v>0</v>
      </c>
      <c r="CK729" s="2">
        <f>ROUND(SUMIF(AA721:AA727,"=1472224561",GY721:GY727),2)</f>
        <v>0</v>
      </c>
      <c r="CL729" s="2">
        <f>ROUND(SUMIF(AA721:AA727,"=1472224561",GZ721:GZ727),2)</f>
        <v>0</v>
      </c>
      <c r="CM729" s="2">
        <f>ROUND(SUMIF(AA721:AA727,"=1472224561",HD721:HD727),2)</f>
        <v>0</v>
      </c>
      <c r="CN729" s="2"/>
      <c r="CO729" s="2"/>
      <c r="CP729" s="2"/>
      <c r="CQ729" s="2"/>
      <c r="CR729" s="2"/>
      <c r="CS729" s="2"/>
      <c r="CT729" s="2"/>
      <c r="CU729" s="2"/>
      <c r="CV729" s="2"/>
      <c r="CW729" s="2"/>
      <c r="CX729" s="2"/>
      <c r="CY729" s="2"/>
      <c r="CZ729" s="2"/>
      <c r="DA729" s="2"/>
      <c r="DB729" s="2"/>
      <c r="DC729" s="2"/>
      <c r="DD729" s="2"/>
      <c r="DE729" s="2"/>
      <c r="DF729" s="2"/>
      <c r="DG729" s="3"/>
      <c r="DH729" s="3"/>
      <c r="DI729" s="3"/>
      <c r="DJ729" s="3"/>
      <c r="DK729" s="3"/>
      <c r="DL729" s="3"/>
      <c r="DM729" s="3"/>
      <c r="DN729" s="3"/>
      <c r="DO729" s="3"/>
      <c r="DP729" s="3"/>
      <c r="DQ729" s="3"/>
      <c r="DR729" s="3"/>
      <c r="DS729" s="3"/>
      <c r="DT729" s="3"/>
      <c r="DU729" s="3"/>
      <c r="DV729" s="3"/>
      <c r="DW729" s="3"/>
      <c r="DX729" s="3"/>
      <c r="DY729" s="3"/>
      <c r="DZ729" s="3"/>
      <c r="EA729" s="3"/>
      <c r="EB729" s="3"/>
      <c r="EC729" s="3"/>
      <c r="ED729" s="3"/>
      <c r="EE729" s="3"/>
      <c r="EF729" s="3"/>
      <c r="EG729" s="3"/>
      <c r="EH729" s="3"/>
      <c r="EI729" s="3"/>
      <c r="EJ729" s="3"/>
      <c r="EK729" s="3"/>
      <c r="EL729" s="3"/>
      <c r="EM729" s="3"/>
      <c r="EN729" s="3"/>
      <c r="EO729" s="3"/>
      <c r="EP729" s="3"/>
      <c r="EQ729" s="3"/>
      <c r="ER729" s="3"/>
      <c r="ES729" s="3"/>
      <c r="ET729" s="3"/>
      <c r="EU729" s="3"/>
      <c r="EV729" s="3"/>
      <c r="EW729" s="3"/>
      <c r="EX729" s="3"/>
      <c r="EY729" s="3"/>
      <c r="EZ729" s="3"/>
      <c r="FA729" s="3"/>
      <c r="FB729" s="3"/>
      <c r="FC729" s="3"/>
      <c r="FD729" s="3"/>
      <c r="FE729" s="3"/>
      <c r="FF729" s="3"/>
      <c r="FG729" s="3"/>
      <c r="FH729" s="3"/>
      <c r="FI729" s="3"/>
      <c r="FJ729" s="3"/>
      <c r="FK729" s="3"/>
      <c r="FL729" s="3"/>
      <c r="FM729" s="3"/>
      <c r="FN729" s="3"/>
      <c r="FO729" s="3"/>
      <c r="FP729" s="3"/>
      <c r="FQ729" s="3"/>
      <c r="FR729" s="3"/>
      <c r="FS729" s="3"/>
      <c r="FT729" s="3"/>
      <c r="FU729" s="3"/>
      <c r="FV729" s="3"/>
      <c r="FW729" s="3"/>
      <c r="FX729" s="3"/>
      <c r="FY729" s="3"/>
      <c r="FZ729" s="3"/>
      <c r="GA729" s="3"/>
      <c r="GB729" s="3"/>
      <c r="GC729" s="3"/>
      <c r="GD729" s="3"/>
      <c r="GE729" s="3"/>
      <c r="GF729" s="3"/>
      <c r="GG729" s="3"/>
      <c r="GH729" s="3"/>
      <c r="GI729" s="3"/>
      <c r="GJ729" s="3"/>
      <c r="GK729" s="3"/>
      <c r="GL729" s="3"/>
      <c r="GM729" s="3"/>
      <c r="GN729" s="3"/>
      <c r="GO729" s="3"/>
      <c r="GP729" s="3"/>
      <c r="GQ729" s="3"/>
      <c r="GR729" s="3"/>
      <c r="GS729" s="3"/>
      <c r="GT729" s="3"/>
      <c r="GU729" s="3"/>
      <c r="GV729" s="3"/>
      <c r="GW729" s="3"/>
      <c r="GX729" s="3">
        <v>0</v>
      </c>
    </row>
    <row r="731" spans="1:245" x14ac:dyDescent="0.2">
      <c r="A731" s="4">
        <v>50</v>
      </c>
      <c r="B731" s="4">
        <v>0</v>
      </c>
      <c r="C731" s="4">
        <v>0</v>
      </c>
      <c r="D731" s="4">
        <v>1</v>
      </c>
      <c r="E731" s="4">
        <v>201</v>
      </c>
      <c r="F731" s="4">
        <f>ROUND(Source!O729,O731)</f>
        <v>12546.38</v>
      </c>
      <c r="G731" s="4" t="s">
        <v>46</v>
      </c>
      <c r="H731" s="4" t="s">
        <v>47</v>
      </c>
      <c r="I731" s="4"/>
      <c r="J731" s="4"/>
      <c r="K731" s="4">
        <v>201</v>
      </c>
      <c r="L731" s="4">
        <v>1</v>
      </c>
      <c r="M731" s="4">
        <v>3</v>
      </c>
      <c r="N731" s="4" t="s">
        <v>3</v>
      </c>
      <c r="O731" s="4">
        <v>2</v>
      </c>
      <c r="P731" s="4"/>
      <c r="Q731" s="4"/>
      <c r="R731" s="4"/>
      <c r="S731" s="4"/>
      <c r="T731" s="4"/>
      <c r="U731" s="4"/>
      <c r="V731" s="4"/>
      <c r="W731" s="4">
        <v>2210.46</v>
      </c>
      <c r="X731" s="4">
        <v>1</v>
      </c>
      <c r="Y731" s="4">
        <v>2210.46</v>
      </c>
      <c r="Z731" s="4"/>
      <c r="AA731" s="4"/>
      <c r="AB731" s="4"/>
    </row>
    <row r="732" spans="1:245" x14ac:dyDescent="0.2">
      <c r="A732" s="4">
        <v>50</v>
      </c>
      <c r="B732" s="4">
        <v>0</v>
      </c>
      <c r="C732" s="4">
        <v>0</v>
      </c>
      <c r="D732" s="4">
        <v>1</v>
      </c>
      <c r="E732" s="4">
        <v>202</v>
      </c>
      <c r="F732" s="4">
        <f>ROUND(Source!P729,O732)</f>
        <v>189.57</v>
      </c>
      <c r="G732" s="4" t="s">
        <v>48</v>
      </c>
      <c r="H732" s="4" t="s">
        <v>49</v>
      </c>
      <c r="I732" s="4"/>
      <c r="J732" s="4"/>
      <c r="K732" s="4">
        <v>202</v>
      </c>
      <c r="L732" s="4">
        <v>2</v>
      </c>
      <c r="M732" s="4">
        <v>3</v>
      </c>
      <c r="N732" s="4" t="s">
        <v>3</v>
      </c>
      <c r="O732" s="4">
        <v>2</v>
      </c>
      <c r="P732" s="4"/>
      <c r="Q732" s="4"/>
      <c r="R732" s="4"/>
      <c r="S732" s="4"/>
      <c r="T732" s="4"/>
      <c r="U732" s="4"/>
      <c r="V732" s="4"/>
      <c r="W732" s="4">
        <v>9.25</v>
      </c>
      <c r="X732" s="4">
        <v>1</v>
      </c>
      <c r="Y732" s="4">
        <v>9.25</v>
      </c>
      <c r="Z732" s="4"/>
      <c r="AA732" s="4"/>
      <c r="AB732" s="4"/>
    </row>
    <row r="733" spans="1:245" x14ac:dyDescent="0.2">
      <c r="A733" s="4">
        <v>50</v>
      </c>
      <c r="B733" s="4">
        <v>0</v>
      </c>
      <c r="C733" s="4">
        <v>0</v>
      </c>
      <c r="D733" s="4">
        <v>1</v>
      </c>
      <c r="E733" s="4">
        <v>222</v>
      </c>
      <c r="F733" s="4">
        <f>ROUND(Source!AO729,O733)</f>
        <v>0</v>
      </c>
      <c r="G733" s="4" t="s">
        <v>50</v>
      </c>
      <c r="H733" s="4" t="s">
        <v>51</v>
      </c>
      <c r="I733" s="4"/>
      <c r="J733" s="4"/>
      <c r="K733" s="4">
        <v>222</v>
      </c>
      <c r="L733" s="4">
        <v>3</v>
      </c>
      <c r="M733" s="4">
        <v>3</v>
      </c>
      <c r="N733" s="4" t="s">
        <v>3</v>
      </c>
      <c r="O733" s="4">
        <v>2</v>
      </c>
      <c r="P733" s="4"/>
      <c r="Q733" s="4"/>
      <c r="R733" s="4"/>
      <c r="S733" s="4"/>
      <c r="T733" s="4"/>
      <c r="U733" s="4"/>
      <c r="V733" s="4"/>
      <c r="W733" s="4">
        <v>0</v>
      </c>
      <c r="X733" s="4">
        <v>1</v>
      </c>
      <c r="Y733" s="4">
        <v>0</v>
      </c>
      <c r="Z733" s="4"/>
      <c r="AA733" s="4"/>
      <c r="AB733" s="4"/>
    </row>
    <row r="734" spans="1:245" x14ac:dyDescent="0.2">
      <c r="A734" s="4">
        <v>50</v>
      </c>
      <c r="B734" s="4">
        <v>0</v>
      </c>
      <c r="C734" s="4">
        <v>0</v>
      </c>
      <c r="D734" s="4">
        <v>1</v>
      </c>
      <c r="E734" s="4">
        <v>225</v>
      </c>
      <c r="F734" s="4">
        <f>ROUND(Source!AV729,O734)</f>
        <v>189.57</v>
      </c>
      <c r="G734" s="4" t="s">
        <v>52</v>
      </c>
      <c r="H734" s="4" t="s">
        <v>53</v>
      </c>
      <c r="I734" s="4"/>
      <c r="J734" s="4"/>
      <c r="K734" s="4">
        <v>225</v>
      </c>
      <c r="L734" s="4">
        <v>4</v>
      </c>
      <c r="M734" s="4">
        <v>3</v>
      </c>
      <c r="N734" s="4" t="s">
        <v>3</v>
      </c>
      <c r="O734" s="4">
        <v>2</v>
      </c>
      <c r="P734" s="4"/>
      <c r="Q734" s="4"/>
      <c r="R734" s="4"/>
      <c r="S734" s="4"/>
      <c r="T734" s="4"/>
      <c r="U734" s="4"/>
      <c r="V734" s="4"/>
      <c r="W734" s="4">
        <v>9.25</v>
      </c>
      <c r="X734" s="4">
        <v>1</v>
      </c>
      <c r="Y734" s="4">
        <v>9.25</v>
      </c>
      <c r="Z734" s="4"/>
      <c r="AA734" s="4"/>
      <c r="AB734" s="4"/>
    </row>
    <row r="735" spans="1:245" x14ac:dyDescent="0.2">
      <c r="A735" s="4">
        <v>50</v>
      </c>
      <c r="B735" s="4">
        <v>0</v>
      </c>
      <c r="C735" s="4">
        <v>0</v>
      </c>
      <c r="D735" s="4">
        <v>1</v>
      </c>
      <c r="E735" s="4">
        <v>226</v>
      </c>
      <c r="F735" s="4">
        <f>ROUND(Source!AW729,O735)</f>
        <v>189.57</v>
      </c>
      <c r="G735" s="4" t="s">
        <v>54</v>
      </c>
      <c r="H735" s="4" t="s">
        <v>55</v>
      </c>
      <c r="I735" s="4"/>
      <c r="J735" s="4"/>
      <c r="K735" s="4">
        <v>226</v>
      </c>
      <c r="L735" s="4">
        <v>5</v>
      </c>
      <c r="M735" s="4">
        <v>3</v>
      </c>
      <c r="N735" s="4" t="s">
        <v>3</v>
      </c>
      <c r="O735" s="4">
        <v>2</v>
      </c>
      <c r="P735" s="4"/>
      <c r="Q735" s="4"/>
      <c r="R735" s="4"/>
      <c r="S735" s="4"/>
      <c r="T735" s="4"/>
      <c r="U735" s="4"/>
      <c r="V735" s="4"/>
      <c r="W735" s="4">
        <v>9.25</v>
      </c>
      <c r="X735" s="4">
        <v>1</v>
      </c>
      <c r="Y735" s="4">
        <v>9.25</v>
      </c>
      <c r="Z735" s="4"/>
      <c r="AA735" s="4"/>
      <c r="AB735" s="4"/>
    </row>
    <row r="736" spans="1:245" x14ac:dyDescent="0.2">
      <c r="A736" s="4">
        <v>50</v>
      </c>
      <c r="B736" s="4">
        <v>0</v>
      </c>
      <c r="C736" s="4">
        <v>0</v>
      </c>
      <c r="D736" s="4">
        <v>1</v>
      </c>
      <c r="E736" s="4">
        <v>227</v>
      </c>
      <c r="F736" s="4">
        <f>ROUND(Source!AX729,O736)</f>
        <v>0</v>
      </c>
      <c r="G736" s="4" t="s">
        <v>56</v>
      </c>
      <c r="H736" s="4" t="s">
        <v>57</v>
      </c>
      <c r="I736" s="4"/>
      <c r="J736" s="4"/>
      <c r="K736" s="4">
        <v>227</v>
      </c>
      <c r="L736" s="4">
        <v>6</v>
      </c>
      <c r="M736" s="4">
        <v>3</v>
      </c>
      <c r="N736" s="4" t="s">
        <v>3</v>
      </c>
      <c r="O736" s="4">
        <v>2</v>
      </c>
      <c r="P736" s="4"/>
      <c r="Q736" s="4"/>
      <c r="R736" s="4"/>
      <c r="S736" s="4"/>
      <c r="T736" s="4"/>
      <c r="U736" s="4"/>
      <c r="V736" s="4"/>
      <c r="W736" s="4">
        <v>0</v>
      </c>
      <c r="X736" s="4">
        <v>1</v>
      </c>
      <c r="Y736" s="4">
        <v>0</v>
      </c>
      <c r="Z736" s="4"/>
      <c r="AA736" s="4"/>
      <c r="AB736" s="4"/>
    </row>
    <row r="737" spans="1:28" x14ac:dyDescent="0.2">
      <c r="A737" s="4">
        <v>50</v>
      </c>
      <c r="B737" s="4">
        <v>0</v>
      </c>
      <c r="C737" s="4">
        <v>0</v>
      </c>
      <c r="D737" s="4">
        <v>1</v>
      </c>
      <c r="E737" s="4">
        <v>228</v>
      </c>
      <c r="F737" s="4">
        <f>ROUND(Source!AY729,O737)</f>
        <v>189.57</v>
      </c>
      <c r="G737" s="4" t="s">
        <v>58</v>
      </c>
      <c r="H737" s="4" t="s">
        <v>59</v>
      </c>
      <c r="I737" s="4"/>
      <c r="J737" s="4"/>
      <c r="K737" s="4">
        <v>228</v>
      </c>
      <c r="L737" s="4">
        <v>7</v>
      </c>
      <c r="M737" s="4">
        <v>3</v>
      </c>
      <c r="N737" s="4" t="s">
        <v>3</v>
      </c>
      <c r="O737" s="4">
        <v>2</v>
      </c>
      <c r="P737" s="4"/>
      <c r="Q737" s="4"/>
      <c r="R737" s="4"/>
      <c r="S737" s="4"/>
      <c r="T737" s="4"/>
      <c r="U737" s="4"/>
      <c r="V737" s="4"/>
      <c r="W737" s="4">
        <v>9.25</v>
      </c>
      <c r="X737" s="4">
        <v>1</v>
      </c>
      <c r="Y737" s="4">
        <v>9.25</v>
      </c>
      <c r="Z737" s="4"/>
      <c r="AA737" s="4"/>
      <c r="AB737" s="4"/>
    </row>
    <row r="738" spans="1:28" x14ac:dyDescent="0.2">
      <c r="A738" s="4">
        <v>50</v>
      </c>
      <c r="B738" s="4">
        <v>0</v>
      </c>
      <c r="C738" s="4">
        <v>0</v>
      </c>
      <c r="D738" s="4">
        <v>1</v>
      </c>
      <c r="E738" s="4">
        <v>216</v>
      </c>
      <c r="F738" s="4">
        <f>ROUND(Source!AP729,O738)</f>
        <v>0</v>
      </c>
      <c r="G738" s="4" t="s">
        <v>60</v>
      </c>
      <c r="H738" s="4" t="s">
        <v>61</v>
      </c>
      <c r="I738" s="4"/>
      <c r="J738" s="4"/>
      <c r="K738" s="4">
        <v>216</v>
      </c>
      <c r="L738" s="4">
        <v>8</v>
      </c>
      <c r="M738" s="4">
        <v>3</v>
      </c>
      <c r="N738" s="4" t="s">
        <v>3</v>
      </c>
      <c r="O738" s="4">
        <v>2</v>
      </c>
      <c r="P738" s="4"/>
      <c r="Q738" s="4"/>
      <c r="R738" s="4"/>
      <c r="S738" s="4"/>
      <c r="T738" s="4"/>
      <c r="U738" s="4"/>
      <c r="V738" s="4"/>
      <c r="W738" s="4">
        <v>0</v>
      </c>
      <c r="X738" s="4">
        <v>1</v>
      </c>
      <c r="Y738" s="4">
        <v>0</v>
      </c>
      <c r="Z738" s="4"/>
      <c r="AA738" s="4"/>
      <c r="AB738" s="4"/>
    </row>
    <row r="739" spans="1:28" x14ac:dyDescent="0.2">
      <c r="A739" s="4">
        <v>50</v>
      </c>
      <c r="B739" s="4">
        <v>0</v>
      </c>
      <c r="C739" s="4">
        <v>0</v>
      </c>
      <c r="D739" s="4">
        <v>1</v>
      </c>
      <c r="E739" s="4">
        <v>223</v>
      </c>
      <c r="F739" s="4">
        <f>ROUND(Source!AQ729,O739)</f>
        <v>0</v>
      </c>
      <c r="G739" s="4" t="s">
        <v>62</v>
      </c>
      <c r="H739" s="4" t="s">
        <v>63</v>
      </c>
      <c r="I739" s="4"/>
      <c r="J739" s="4"/>
      <c r="K739" s="4">
        <v>223</v>
      </c>
      <c r="L739" s="4">
        <v>9</v>
      </c>
      <c r="M739" s="4">
        <v>3</v>
      </c>
      <c r="N739" s="4" t="s">
        <v>3</v>
      </c>
      <c r="O739" s="4">
        <v>2</v>
      </c>
      <c r="P739" s="4"/>
      <c r="Q739" s="4"/>
      <c r="R739" s="4"/>
      <c r="S739" s="4"/>
      <c r="T739" s="4"/>
      <c r="U739" s="4"/>
      <c r="V739" s="4"/>
      <c r="W739" s="4">
        <v>0</v>
      </c>
      <c r="X739" s="4">
        <v>1</v>
      </c>
      <c r="Y739" s="4">
        <v>0</v>
      </c>
      <c r="Z739" s="4"/>
      <c r="AA739" s="4"/>
      <c r="AB739" s="4"/>
    </row>
    <row r="740" spans="1:28" x14ac:dyDescent="0.2">
      <c r="A740" s="4">
        <v>50</v>
      </c>
      <c r="B740" s="4">
        <v>0</v>
      </c>
      <c r="C740" s="4">
        <v>0</v>
      </c>
      <c r="D740" s="4">
        <v>1</v>
      </c>
      <c r="E740" s="4">
        <v>229</v>
      </c>
      <c r="F740" s="4">
        <f>ROUND(Source!AZ729,O740)</f>
        <v>0</v>
      </c>
      <c r="G740" s="4" t="s">
        <v>64</v>
      </c>
      <c r="H740" s="4" t="s">
        <v>65</v>
      </c>
      <c r="I740" s="4"/>
      <c r="J740" s="4"/>
      <c r="K740" s="4">
        <v>229</v>
      </c>
      <c r="L740" s="4">
        <v>10</v>
      </c>
      <c r="M740" s="4">
        <v>3</v>
      </c>
      <c r="N740" s="4" t="s">
        <v>3</v>
      </c>
      <c r="O740" s="4">
        <v>2</v>
      </c>
      <c r="P740" s="4"/>
      <c r="Q740" s="4"/>
      <c r="R740" s="4"/>
      <c r="S740" s="4"/>
      <c r="T740" s="4"/>
      <c r="U740" s="4"/>
      <c r="V740" s="4"/>
      <c r="W740" s="4">
        <v>0</v>
      </c>
      <c r="X740" s="4">
        <v>1</v>
      </c>
      <c r="Y740" s="4">
        <v>0</v>
      </c>
      <c r="Z740" s="4"/>
      <c r="AA740" s="4"/>
      <c r="AB740" s="4"/>
    </row>
    <row r="741" spans="1:28" x14ac:dyDescent="0.2">
      <c r="A741" s="4">
        <v>50</v>
      </c>
      <c r="B741" s="4">
        <v>0</v>
      </c>
      <c r="C741" s="4">
        <v>0</v>
      </c>
      <c r="D741" s="4">
        <v>1</v>
      </c>
      <c r="E741" s="4">
        <v>203</v>
      </c>
      <c r="F741" s="4">
        <f>ROUND(Source!Q729,O741)</f>
        <v>0</v>
      </c>
      <c r="G741" s="4" t="s">
        <v>66</v>
      </c>
      <c r="H741" s="4" t="s">
        <v>67</v>
      </c>
      <c r="I741" s="4"/>
      <c r="J741" s="4"/>
      <c r="K741" s="4">
        <v>203</v>
      </c>
      <c r="L741" s="4">
        <v>11</v>
      </c>
      <c r="M741" s="4">
        <v>3</v>
      </c>
      <c r="N741" s="4" t="s">
        <v>3</v>
      </c>
      <c r="O741" s="4">
        <v>2</v>
      </c>
      <c r="P741" s="4"/>
      <c r="Q741" s="4"/>
      <c r="R741" s="4"/>
      <c r="S741" s="4"/>
      <c r="T741" s="4"/>
      <c r="U741" s="4"/>
      <c r="V741" s="4"/>
      <c r="W741" s="4">
        <v>0</v>
      </c>
      <c r="X741" s="4">
        <v>1</v>
      </c>
      <c r="Y741" s="4">
        <v>0</v>
      </c>
      <c r="Z741" s="4"/>
      <c r="AA741" s="4"/>
      <c r="AB741" s="4"/>
    </row>
    <row r="742" spans="1:28" x14ac:dyDescent="0.2">
      <c r="A742" s="4">
        <v>50</v>
      </c>
      <c r="B742" s="4">
        <v>0</v>
      </c>
      <c r="C742" s="4">
        <v>0</v>
      </c>
      <c r="D742" s="4">
        <v>1</v>
      </c>
      <c r="E742" s="4">
        <v>231</v>
      </c>
      <c r="F742" s="4">
        <f>ROUND(Source!BB729,O742)</f>
        <v>0</v>
      </c>
      <c r="G742" s="4" t="s">
        <v>68</v>
      </c>
      <c r="H742" s="4" t="s">
        <v>69</v>
      </c>
      <c r="I742" s="4"/>
      <c r="J742" s="4"/>
      <c r="K742" s="4">
        <v>231</v>
      </c>
      <c r="L742" s="4">
        <v>12</v>
      </c>
      <c r="M742" s="4">
        <v>3</v>
      </c>
      <c r="N742" s="4" t="s">
        <v>3</v>
      </c>
      <c r="O742" s="4">
        <v>2</v>
      </c>
      <c r="P742" s="4"/>
      <c r="Q742" s="4"/>
      <c r="R742" s="4"/>
      <c r="S742" s="4"/>
      <c r="T742" s="4"/>
      <c r="U742" s="4"/>
      <c r="V742" s="4"/>
      <c r="W742" s="4">
        <v>0</v>
      </c>
      <c r="X742" s="4">
        <v>1</v>
      </c>
      <c r="Y742" s="4">
        <v>0</v>
      </c>
      <c r="Z742" s="4"/>
      <c r="AA742" s="4"/>
      <c r="AB742" s="4"/>
    </row>
    <row r="743" spans="1:28" x14ac:dyDescent="0.2">
      <c r="A743" s="4">
        <v>50</v>
      </c>
      <c r="B743" s="4">
        <v>0</v>
      </c>
      <c r="C743" s="4">
        <v>0</v>
      </c>
      <c r="D743" s="4">
        <v>1</v>
      </c>
      <c r="E743" s="4">
        <v>204</v>
      </c>
      <c r="F743" s="4">
        <f>ROUND(Source!R729,O743)</f>
        <v>0</v>
      </c>
      <c r="G743" s="4" t="s">
        <v>70</v>
      </c>
      <c r="H743" s="4" t="s">
        <v>71</v>
      </c>
      <c r="I743" s="4"/>
      <c r="J743" s="4"/>
      <c r="K743" s="4">
        <v>204</v>
      </c>
      <c r="L743" s="4">
        <v>13</v>
      </c>
      <c r="M743" s="4">
        <v>3</v>
      </c>
      <c r="N743" s="4" t="s">
        <v>3</v>
      </c>
      <c r="O743" s="4">
        <v>2</v>
      </c>
      <c r="P743" s="4"/>
      <c r="Q743" s="4"/>
      <c r="R743" s="4"/>
      <c r="S743" s="4"/>
      <c r="T743" s="4"/>
      <c r="U743" s="4"/>
      <c r="V743" s="4"/>
      <c r="W743" s="4">
        <v>0</v>
      </c>
      <c r="X743" s="4">
        <v>1</v>
      </c>
      <c r="Y743" s="4">
        <v>0</v>
      </c>
      <c r="Z743" s="4"/>
      <c r="AA743" s="4"/>
      <c r="AB743" s="4"/>
    </row>
    <row r="744" spans="1:28" x14ac:dyDescent="0.2">
      <c r="A744" s="4">
        <v>50</v>
      </c>
      <c r="B744" s="4">
        <v>0</v>
      </c>
      <c r="C744" s="4">
        <v>0</v>
      </c>
      <c r="D744" s="4">
        <v>1</v>
      </c>
      <c r="E744" s="4">
        <v>205</v>
      </c>
      <c r="F744" s="4">
        <f>ROUND(Source!S729,O744)</f>
        <v>12356.81</v>
      </c>
      <c r="G744" s="4" t="s">
        <v>72</v>
      </c>
      <c r="H744" s="4" t="s">
        <v>73</v>
      </c>
      <c r="I744" s="4"/>
      <c r="J744" s="4"/>
      <c r="K744" s="4">
        <v>205</v>
      </c>
      <c r="L744" s="4">
        <v>14</v>
      </c>
      <c r="M744" s="4">
        <v>3</v>
      </c>
      <c r="N744" s="4" t="s">
        <v>3</v>
      </c>
      <c r="O744" s="4">
        <v>2</v>
      </c>
      <c r="P744" s="4"/>
      <c r="Q744" s="4"/>
      <c r="R744" s="4"/>
      <c r="S744" s="4"/>
      <c r="T744" s="4"/>
      <c r="U744" s="4"/>
      <c r="V744" s="4"/>
      <c r="W744" s="4">
        <v>2201.21</v>
      </c>
      <c r="X744" s="4">
        <v>1</v>
      </c>
      <c r="Y744" s="4">
        <v>2201.21</v>
      </c>
      <c r="Z744" s="4"/>
      <c r="AA744" s="4"/>
      <c r="AB744" s="4"/>
    </row>
    <row r="745" spans="1:28" x14ac:dyDescent="0.2">
      <c r="A745" s="4">
        <v>50</v>
      </c>
      <c r="B745" s="4">
        <v>0</v>
      </c>
      <c r="C745" s="4">
        <v>0</v>
      </c>
      <c r="D745" s="4">
        <v>1</v>
      </c>
      <c r="E745" s="4">
        <v>232</v>
      </c>
      <c r="F745" s="4">
        <f>ROUND(Source!BC729,O745)</f>
        <v>0</v>
      </c>
      <c r="G745" s="4" t="s">
        <v>74</v>
      </c>
      <c r="H745" s="4" t="s">
        <v>75</v>
      </c>
      <c r="I745" s="4"/>
      <c r="J745" s="4"/>
      <c r="K745" s="4">
        <v>232</v>
      </c>
      <c r="L745" s="4">
        <v>15</v>
      </c>
      <c r="M745" s="4">
        <v>3</v>
      </c>
      <c r="N745" s="4" t="s">
        <v>3</v>
      </c>
      <c r="O745" s="4">
        <v>2</v>
      </c>
      <c r="P745" s="4"/>
      <c r="Q745" s="4"/>
      <c r="R745" s="4"/>
      <c r="S745" s="4"/>
      <c r="T745" s="4"/>
      <c r="U745" s="4"/>
      <c r="V745" s="4"/>
      <c r="W745" s="4">
        <v>0</v>
      </c>
      <c r="X745" s="4">
        <v>1</v>
      </c>
      <c r="Y745" s="4">
        <v>0</v>
      </c>
      <c r="Z745" s="4"/>
      <c r="AA745" s="4"/>
      <c r="AB745" s="4"/>
    </row>
    <row r="746" spans="1:28" x14ac:dyDescent="0.2">
      <c r="A746" s="4">
        <v>50</v>
      </c>
      <c r="B746" s="4">
        <v>0</v>
      </c>
      <c r="C746" s="4">
        <v>0</v>
      </c>
      <c r="D746" s="4">
        <v>1</v>
      </c>
      <c r="E746" s="4">
        <v>214</v>
      </c>
      <c r="F746" s="4">
        <f>ROUND(Source!AS729,O746)</f>
        <v>0</v>
      </c>
      <c r="G746" s="4" t="s">
        <v>76</v>
      </c>
      <c r="H746" s="4" t="s">
        <v>77</v>
      </c>
      <c r="I746" s="4"/>
      <c r="J746" s="4"/>
      <c r="K746" s="4">
        <v>214</v>
      </c>
      <c r="L746" s="4">
        <v>16</v>
      </c>
      <c r="M746" s="4">
        <v>3</v>
      </c>
      <c r="N746" s="4" t="s">
        <v>3</v>
      </c>
      <c r="O746" s="4">
        <v>2</v>
      </c>
      <c r="P746" s="4"/>
      <c r="Q746" s="4"/>
      <c r="R746" s="4"/>
      <c r="S746" s="4"/>
      <c r="T746" s="4"/>
      <c r="U746" s="4"/>
      <c r="V746" s="4"/>
      <c r="W746" s="4">
        <v>0</v>
      </c>
      <c r="X746" s="4">
        <v>1</v>
      </c>
      <c r="Y746" s="4">
        <v>0</v>
      </c>
      <c r="Z746" s="4"/>
      <c r="AA746" s="4"/>
      <c r="AB746" s="4"/>
    </row>
    <row r="747" spans="1:28" x14ac:dyDescent="0.2">
      <c r="A747" s="4">
        <v>50</v>
      </c>
      <c r="B747" s="4">
        <v>0</v>
      </c>
      <c r="C747" s="4">
        <v>0</v>
      </c>
      <c r="D747" s="4">
        <v>1</v>
      </c>
      <c r="E747" s="4">
        <v>215</v>
      </c>
      <c r="F747" s="4">
        <f>ROUND(Source!AT729,O747)</f>
        <v>0</v>
      </c>
      <c r="G747" s="4" t="s">
        <v>78</v>
      </c>
      <c r="H747" s="4" t="s">
        <v>79</v>
      </c>
      <c r="I747" s="4"/>
      <c r="J747" s="4"/>
      <c r="K747" s="4">
        <v>215</v>
      </c>
      <c r="L747" s="4">
        <v>17</v>
      </c>
      <c r="M747" s="4">
        <v>3</v>
      </c>
      <c r="N747" s="4" t="s">
        <v>3</v>
      </c>
      <c r="O747" s="4">
        <v>2</v>
      </c>
      <c r="P747" s="4"/>
      <c r="Q747" s="4"/>
      <c r="R747" s="4"/>
      <c r="S747" s="4"/>
      <c r="T747" s="4"/>
      <c r="U747" s="4"/>
      <c r="V747" s="4"/>
      <c r="W747" s="4">
        <v>0</v>
      </c>
      <c r="X747" s="4">
        <v>1</v>
      </c>
      <c r="Y747" s="4">
        <v>0</v>
      </c>
      <c r="Z747" s="4"/>
      <c r="AA747" s="4"/>
      <c r="AB747" s="4"/>
    </row>
    <row r="748" spans="1:28" x14ac:dyDescent="0.2">
      <c r="A748" s="4">
        <v>50</v>
      </c>
      <c r="B748" s="4">
        <v>0</v>
      </c>
      <c r="C748" s="4">
        <v>0</v>
      </c>
      <c r="D748" s="4">
        <v>1</v>
      </c>
      <c r="E748" s="4">
        <v>217</v>
      </c>
      <c r="F748" s="4">
        <f>ROUND(Source!AU729,O748)</f>
        <v>22431.83</v>
      </c>
      <c r="G748" s="4" t="s">
        <v>80</v>
      </c>
      <c r="H748" s="4" t="s">
        <v>81</v>
      </c>
      <c r="I748" s="4"/>
      <c r="J748" s="4"/>
      <c r="K748" s="4">
        <v>217</v>
      </c>
      <c r="L748" s="4">
        <v>18</v>
      </c>
      <c r="M748" s="4">
        <v>3</v>
      </c>
      <c r="N748" s="4" t="s">
        <v>3</v>
      </c>
      <c r="O748" s="4">
        <v>2</v>
      </c>
      <c r="P748" s="4"/>
      <c r="Q748" s="4"/>
      <c r="R748" s="4"/>
      <c r="S748" s="4"/>
      <c r="T748" s="4"/>
      <c r="U748" s="4"/>
      <c r="V748" s="4"/>
      <c r="W748" s="4">
        <v>3971.43</v>
      </c>
      <c r="X748" s="4">
        <v>1</v>
      </c>
      <c r="Y748" s="4">
        <v>3971.43</v>
      </c>
      <c r="Z748" s="4"/>
      <c r="AA748" s="4"/>
      <c r="AB748" s="4"/>
    </row>
    <row r="749" spans="1:28" x14ac:dyDescent="0.2">
      <c r="A749" s="4">
        <v>50</v>
      </c>
      <c r="B749" s="4">
        <v>0</v>
      </c>
      <c r="C749" s="4">
        <v>0</v>
      </c>
      <c r="D749" s="4">
        <v>1</v>
      </c>
      <c r="E749" s="4">
        <v>230</v>
      </c>
      <c r="F749" s="4">
        <f>ROUND(Source!BA729,O749)</f>
        <v>0</v>
      </c>
      <c r="G749" s="4" t="s">
        <v>82</v>
      </c>
      <c r="H749" s="4" t="s">
        <v>83</v>
      </c>
      <c r="I749" s="4"/>
      <c r="J749" s="4"/>
      <c r="K749" s="4">
        <v>230</v>
      </c>
      <c r="L749" s="4">
        <v>19</v>
      </c>
      <c r="M749" s="4">
        <v>3</v>
      </c>
      <c r="N749" s="4" t="s">
        <v>3</v>
      </c>
      <c r="O749" s="4">
        <v>2</v>
      </c>
      <c r="P749" s="4"/>
      <c r="Q749" s="4"/>
      <c r="R749" s="4"/>
      <c r="S749" s="4"/>
      <c r="T749" s="4"/>
      <c r="U749" s="4"/>
      <c r="V749" s="4"/>
      <c r="W749" s="4">
        <v>0</v>
      </c>
      <c r="X749" s="4">
        <v>1</v>
      </c>
      <c r="Y749" s="4">
        <v>0</v>
      </c>
      <c r="Z749" s="4"/>
      <c r="AA749" s="4"/>
      <c r="AB749" s="4"/>
    </row>
    <row r="750" spans="1:28" x14ac:dyDescent="0.2">
      <c r="A750" s="4">
        <v>50</v>
      </c>
      <c r="B750" s="4">
        <v>0</v>
      </c>
      <c r="C750" s="4">
        <v>0</v>
      </c>
      <c r="D750" s="4">
        <v>1</v>
      </c>
      <c r="E750" s="4">
        <v>206</v>
      </c>
      <c r="F750" s="4">
        <f>ROUND(Source!T729,O750)</f>
        <v>0</v>
      </c>
      <c r="G750" s="4" t="s">
        <v>84</v>
      </c>
      <c r="H750" s="4" t="s">
        <v>85</v>
      </c>
      <c r="I750" s="4"/>
      <c r="J750" s="4"/>
      <c r="K750" s="4">
        <v>206</v>
      </c>
      <c r="L750" s="4">
        <v>20</v>
      </c>
      <c r="M750" s="4">
        <v>3</v>
      </c>
      <c r="N750" s="4" t="s">
        <v>3</v>
      </c>
      <c r="O750" s="4">
        <v>2</v>
      </c>
      <c r="P750" s="4"/>
      <c r="Q750" s="4"/>
      <c r="R750" s="4"/>
      <c r="S750" s="4"/>
      <c r="T750" s="4"/>
      <c r="U750" s="4"/>
      <c r="V750" s="4"/>
      <c r="W750" s="4">
        <v>0</v>
      </c>
      <c r="X750" s="4">
        <v>1</v>
      </c>
      <c r="Y750" s="4">
        <v>0</v>
      </c>
      <c r="Z750" s="4"/>
      <c r="AA750" s="4"/>
      <c r="AB750" s="4"/>
    </row>
    <row r="751" spans="1:28" x14ac:dyDescent="0.2">
      <c r="A751" s="4">
        <v>50</v>
      </c>
      <c r="B751" s="4">
        <v>0</v>
      </c>
      <c r="C751" s="4">
        <v>0</v>
      </c>
      <c r="D751" s="4">
        <v>1</v>
      </c>
      <c r="E751" s="4">
        <v>207</v>
      </c>
      <c r="F751" s="4">
        <f>Source!U729</f>
        <v>18.032</v>
      </c>
      <c r="G751" s="4" t="s">
        <v>86</v>
      </c>
      <c r="H751" s="4" t="s">
        <v>87</v>
      </c>
      <c r="I751" s="4"/>
      <c r="J751" s="4"/>
      <c r="K751" s="4">
        <v>207</v>
      </c>
      <c r="L751" s="4">
        <v>21</v>
      </c>
      <c r="M751" s="4">
        <v>3</v>
      </c>
      <c r="N751" s="4" t="s">
        <v>3</v>
      </c>
      <c r="O751" s="4">
        <v>-1</v>
      </c>
      <c r="P751" s="4"/>
      <c r="Q751" s="4"/>
      <c r="R751" s="4"/>
      <c r="S751" s="4"/>
      <c r="T751" s="4"/>
      <c r="U751" s="4"/>
      <c r="V751" s="4"/>
      <c r="W751" s="4">
        <v>4.1120000000000001</v>
      </c>
      <c r="X751" s="4">
        <v>1</v>
      </c>
      <c r="Y751" s="4">
        <v>4.1120000000000001</v>
      </c>
      <c r="Z751" s="4"/>
      <c r="AA751" s="4"/>
      <c r="AB751" s="4"/>
    </row>
    <row r="752" spans="1:28" x14ac:dyDescent="0.2">
      <c r="A752" s="4">
        <v>50</v>
      </c>
      <c r="B752" s="4">
        <v>0</v>
      </c>
      <c r="C752" s="4">
        <v>0</v>
      </c>
      <c r="D752" s="4">
        <v>1</v>
      </c>
      <c r="E752" s="4">
        <v>208</v>
      </c>
      <c r="F752" s="4">
        <f>Source!V729</f>
        <v>0</v>
      </c>
      <c r="G752" s="4" t="s">
        <v>88</v>
      </c>
      <c r="H752" s="4" t="s">
        <v>89</v>
      </c>
      <c r="I752" s="4"/>
      <c r="J752" s="4"/>
      <c r="K752" s="4">
        <v>208</v>
      </c>
      <c r="L752" s="4">
        <v>22</v>
      </c>
      <c r="M752" s="4">
        <v>3</v>
      </c>
      <c r="N752" s="4" t="s">
        <v>3</v>
      </c>
      <c r="O752" s="4">
        <v>-1</v>
      </c>
      <c r="P752" s="4"/>
      <c r="Q752" s="4"/>
      <c r="R752" s="4"/>
      <c r="S752" s="4"/>
      <c r="T752" s="4"/>
      <c r="U752" s="4"/>
      <c r="V752" s="4"/>
      <c r="W752" s="4">
        <v>0</v>
      </c>
      <c r="X752" s="4">
        <v>1</v>
      </c>
      <c r="Y752" s="4">
        <v>0</v>
      </c>
      <c r="Z752" s="4"/>
      <c r="AA752" s="4"/>
      <c r="AB752" s="4"/>
    </row>
    <row r="753" spans="1:245" x14ac:dyDescent="0.2">
      <c r="A753" s="4">
        <v>50</v>
      </c>
      <c r="B753" s="4">
        <v>0</v>
      </c>
      <c r="C753" s="4">
        <v>0</v>
      </c>
      <c r="D753" s="4">
        <v>1</v>
      </c>
      <c r="E753" s="4">
        <v>209</v>
      </c>
      <c r="F753" s="4">
        <f>ROUND(Source!W729,O753)</f>
        <v>0</v>
      </c>
      <c r="G753" s="4" t="s">
        <v>90</v>
      </c>
      <c r="H753" s="4" t="s">
        <v>91</v>
      </c>
      <c r="I753" s="4"/>
      <c r="J753" s="4"/>
      <c r="K753" s="4">
        <v>209</v>
      </c>
      <c r="L753" s="4">
        <v>23</v>
      </c>
      <c r="M753" s="4">
        <v>3</v>
      </c>
      <c r="N753" s="4" t="s">
        <v>3</v>
      </c>
      <c r="O753" s="4">
        <v>2</v>
      </c>
      <c r="P753" s="4"/>
      <c r="Q753" s="4"/>
      <c r="R753" s="4"/>
      <c r="S753" s="4"/>
      <c r="T753" s="4"/>
      <c r="U753" s="4"/>
      <c r="V753" s="4"/>
      <c r="W753" s="4">
        <v>0</v>
      </c>
      <c r="X753" s="4">
        <v>1</v>
      </c>
      <c r="Y753" s="4">
        <v>0</v>
      </c>
      <c r="Z753" s="4"/>
      <c r="AA753" s="4"/>
      <c r="AB753" s="4"/>
    </row>
    <row r="754" spans="1:245" x14ac:dyDescent="0.2">
      <c r="A754" s="4">
        <v>50</v>
      </c>
      <c r="B754" s="4">
        <v>0</v>
      </c>
      <c r="C754" s="4">
        <v>0</v>
      </c>
      <c r="D754" s="4">
        <v>1</v>
      </c>
      <c r="E754" s="4">
        <v>233</v>
      </c>
      <c r="F754" s="4">
        <f>ROUND(Source!BD729,O754)</f>
        <v>0</v>
      </c>
      <c r="G754" s="4" t="s">
        <v>92</v>
      </c>
      <c r="H754" s="4" t="s">
        <v>93</v>
      </c>
      <c r="I754" s="4"/>
      <c r="J754" s="4"/>
      <c r="K754" s="4">
        <v>233</v>
      </c>
      <c r="L754" s="4">
        <v>24</v>
      </c>
      <c r="M754" s="4">
        <v>3</v>
      </c>
      <c r="N754" s="4" t="s">
        <v>3</v>
      </c>
      <c r="O754" s="4">
        <v>2</v>
      </c>
      <c r="P754" s="4"/>
      <c r="Q754" s="4"/>
      <c r="R754" s="4"/>
      <c r="S754" s="4"/>
      <c r="T754" s="4"/>
      <c r="U754" s="4"/>
      <c r="V754" s="4"/>
      <c r="W754" s="4">
        <v>0</v>
      </c>
      <c r="X754" s="4">
        <v>1</v>
      </c>
      <c r="Y754" s="4">
        <v>0</v>
      </c>
      <c r="Z754" s="4"/>
      <c r="AA754" s="4"/>
      <c r="AB754" s="4"/>
    </row>
    <row r="755" spans="1:245" x14ac:dyDescent="0.2">
      <c r="A755" s="4">
        <v>50</v>
      </c>
      <c r="B755" s="4">
        <v>0</v>
      </c>
      <c r="C755" s="4">
        <v>0</v>
      </c>
      <c r="D755" s="4">
        <v>1</v>
      </c>
      <c r="E755" s="4">
        <v>210</v>
      </c>
      <c r="F755" s="4">
        <f>ROUND(Source!X729,O755)</f>
        <v>8649.77</v>
      </c>
      <c r="G755" s="4" t="s">
        <v>94</v>
      </c>
      <c r="H755" s="4" t="s">
        <v>95</v>
      </c>
      <c r="I755" s="4"/>
      <c r="J755" s="4"/>
      <c r="K755" s="4">
        <v>210</v>
      </c>
      <c r="L755" s="4">
        <v>25</v>
      </c>
      <c r="M755" s="4">
        <v>3</v>
      </c>
      <c r="N755" s="4" t="s">
        <v>3</v>
      </c>
      <c r="O755" s="4">
        <v>2</v>
      </c>
      <c r="P755" s="4"/>
      <c r="Q755" s="4"/>
      <c r="R755" s="4"/>
      <c r="S755" s="4"/>
      <c r="T755" s="4"/>
      <c r="U755" s="4"/>
      <c r="V755" s="4"/>
      <c r="W755" s="4">
        <v>1540.85</v>
      </c>
      <c r="X755" s="4">
        <v>1</v>
      </c>
      <c r="Y755" s="4">
        <v>1540.85</v>
      </c>
      <c r="Z755" s="4"/>
      <c r="AA755" s="4"/>
      <c r="AB755" s="4"/>
    </row>
    <row r="756" spans="1:245" x14ac:dyDescent="0.2">
      <c r="A756" s="4">
        <v>50</v>
      </c>
      <c r="B756" s="4">
        <v>0</v>
      </c>
      <c r="C756" s="4">
        <v>0</v>
      </c>
      <c r="D756" s="4">
        <v>1</v>
      </c>
      <c r="E756" s="4">
        <v>211</v>
      </c>
      <c r="F756" s="4">
        <f>ROUND(Source!Y729,O756)</f>
        <v>1235.68</v>
      </c>
      <c r="G756" s="4" t="s">
        <v>96</v>
      </c>
      <c r="H756" s="4" t="s">
        <v>97</v>
      </c>
      <c r="I756" s="4"/>
      <c r="J756" s="4"/>
      <c r="K756" s="4">
        <v>211</v>
      </c>
      <c r="L756" s="4">
        <v>26</v>
      </c>
      <c r="M756" s="4">
        <v>3</v>
      </c>
      <c r="N756" s="4" t="s">
        <v>3</v>
      </c>
      <c r="O756" s="4">
        <v>2</v>
      </c>
      <c r="P756" s="4"/>
      <c r="Q756" s="4"/>
      <c r="R756" s="4"/>
      <c r="S756" s="4"/>
      <c r="T756" s="4"/>
      <c r="U756" s="4"/>
      <c r="V756" s="4"/>
      <c r="W756" s="4">
        <v>220.12</v>
      </c>
      <c r="X756" s="4">
        <v>1</v>
      </c>
      <c r="Y756" s="4">
        <v>220.12</v>
      </c>
      <c r="Z756" s="4"/>
      <c r="AA756" s="4"/>
      <c r="AB756" s="4"/>
    </row>
    <row r="757" spans="1:245" x14ac:dyDescent="0.2">
      <c r="A757" s="4">
        <v>50</v>
      </c>
      <c r="B757" s="4">
        <v>0</v>
      </c>
      <c r="C757" s="4">
        <v>0</v>
      </c>
      <c r="D757" s="4">
        <v>1</v>
      </c>
      <c r="E757" s="4">
        <v>224</v>
      </c>
      <c r="F757" s="4">
        <f>ROUND(Source!AR729,O757)</f>
        <v>22431.83</v>
      </c>
      <c r="G757" s="4" t="s">
        <v>98</v>
      </c>
      <c r="H757" s="4" t="s">
        <v>99</v>
      </c>
      <c r="I757" s="4"/>
      <c r="J757" s="4"/>
      <c r="K757" s="4">
        <v>224</v>
      </c>
      <c r="L757" s="4">
        <v>27</v>
      </c>
      <c r="M757" s="4">
        <v>3</v>
      </c>
      <c r="N757" s="4" t="s">
        <v>3</v>
      </c>
      <c r="O757" s="4">
        <v>2</v>
      </c>
      <c r="P757" s="4"/>
      <c r="Q757" s="4"/>
      <c r="R757" s="4"/>
      <c r="S757" s="4"/>
      <c r="T757" s="4"/>
      <c r="U757" s="4"/>
      <c r="V757" s="4"/>
      <c r="W757" s="4">
        <v>3971.43</v>
      </c>
      <c r="X757" s="4">
        <v>1</v>
      </c>
      <c r="Y757" s="4">
        <v>3971.43</v>
      </c>
      <c r="Z757" s="4"/>
      <c r="AA757" s="4"/>
      <c r="AB757" s="4"/>
    </row>
    <row r="759" spans="1:245" x14ac:dyDescent="0.2">
      <c r="A759" s="1">
        <v>5</v>
      </c>
      <c r="B759" s="1">
        <v>1</v>
      </c>
      <c r="C759" s="1"/>
      <c r="D759" s="1">
        <f>ROW(A768)</f>
        <v>768</v>
      </c>
      <c r="E759" s="1"/>
      <c r="F759" s="1" t="s">
        <v>15</v>
      </c>
      <c r="G759" s="1" t="s">
        <v>561</v>
      </c>
      <c r="H759" s="1" t="s">
        <v>3</v>
      </c>
      <c r="I759" s="1">
        <v>0</v>
      </c>
      <c r="J759" s="1"/>
      <c r="K759" s="1">
        <v>0</v>
      </c>
      <c r="L759" s="1"/>
      <c r="M759" s="1" t="s">
        <v>3</v>
      </c>
      <c r="N759" s="1"/>
      <c r="O759" s="1"/>
      <c r="P759" s="1"/>
      <c r="Q759" s="1"/>
      <c r="R759" s="1"/>
      <c r="S759" s="1">
        <v>0</v>
      </c>
      <c r="T759" s="1"/>
      <c r="U759" s="1" t="s">
        <v>3</v>
      </c>
      <c r="V759" s="1">
        <v>0</v>
      </c>
      <c r="W759" s="1"/>
      <c r="X759" s="1"/>
      <c r="Y759" s="1"/>
      <c r="Z759" s="1"/>
      <c r="AA759" s="1"/>
      <c r="AB759" s="1" t="s">
        <v>3</v>
      </c>
      <c r="AC759" s="1" t="s">
        <v>3</v>
      </c>
      <c r="AD759" s="1" t="s">
        <v>3</v>
      </c>
      <c r="AE759" s="1" t="s">
        <v>3</v>
      </c>
      <c r="AF759" s="1" t="s">
        <v>3</v>
      </c>
      <c r="AG759" s="1" t="s">
        <v>3</v>
      </c>
      <c r="AH759" s="1"/>
      <c r="AI759" s="1"/>
      <c r="AJ759" s="1"/>
      <c r="AK759" s="1"/>
      <c r="AL759" s="1"/>
      <c r="AM759" s="1"/>
      <c r="AN759" s="1"/>
      <c r="AO759" s="1"/>
      <c r="AP759" s="1" t="s">
        <v>3</v>
      </c>
      <c r="AQ759" s="1" t="s">
        <v>3</v>
      </c>
      <c r="AR759" s="1" t="s">
        <v>3</v>
      </c>
      <c r="AS759" s="1"/>
      <c r="AT759" s="1"/>
      <c r="AU759" s="1"/>
      <c r="AV759" s="1"/>
      <c r="AW759" s="1"/>
      <c r="AX759" s="1"/>
      <c r="AY759" s="1"/>
      <c r="AZ759" s="1" t="s">
        <v>3</v>
      </c>
      <c r="BA759" s="1"/>
      <c r="BB759" s="1" t="s">
        <v>3</v>
      </c>
      <c r="BC759" s="1" t="s">
        <v>3</v>
      </c>
      <c r="BD759" s="1" t="s">
        <v>3</v>
      </c>
      <c r="BE759" s="1" t="s">
        <v>3</v>
      </c>
      <c r="BF759" s="1" t="s">
        <v>3</v>
      </c>
      <c r="BG759" s="1" t="s">
        <v>3</v>
      </c>
      <c r="BH759" s="1" t="s">
        <v>3</v>
      </c>
      <c r="BI759" s="1" t="s">
        <v>3</v>
      </c>
      <c r="BJ759" s="1" t="s">
        <v>3</v>
      </c>
      <c r="BK759" s="1" t="s">
        <v>3</v>
      </c>
      <c r="BL759" s="1" t="s">
        <v>3</v>
      </c>
      <c r="BM759" s="1" t="s">
        <v>3</v>
      </c>
      <c r="BN759" s="1" t="s">
        <v>3</v>
      </c>
      <c r="BO759" s="1" t="s">
        <v>3</v>
      </c>
      <c r="BP759" s="1" t="s">
        <v>3</v>
      </c>
      <c r="BQ759" s="1"/>
      <c r="BR759" s="1"/>
      <c r="BS759" s="1"/>
      <c r="BT759" s="1"/>
      <c r="BU759" s="1"/>
      <c r="BV759" s="1"/>
      <c r="BW759" s="1"/>
      <c r="BX759" s="1">
        <v>0</v>
      </c>
      <c r="BY759" s="1"/>
      <c r="BZ759" s="1"/>
      <c r="CA759" s="1"/>
      <c r="CB759" s="1"/>
      <c r="CC759" s="1"/>
      <c r="CD759" s="1"/>
      <c r="CE759" s="1"/>
      <c r="CF759" s="1"/>
      <c r="CG759" s="1"/>
      <c r="CH759" s="1"/>
      <c r="CI759" s="1"/>
      <c r="CJ759" s="1">
        <v>0</v>
      </c>
    </row>
    <row r="761" spans="1:245" x14ac:dyDescent="0.2">
      <c r="A761" s="2">
        <v>52</v>
      </c>
      <c r="B761" s="2">
        <f t="shared" ref="B761:G761" si="697">B768</f>
        <v>1</v>
      </c>
      <c r="C761" s="2">
        <f t="shared" si="697"/>
        <v>5</v>
      </c>
      <c r="D761" s="2">
        <f t="shared" si="697"/>
        <v>759</v>
      </c>
      <c r="E761" s="2">
        <f t="shared" si="697"/>
        <v>0</v>
      </c>
      <c r="F761" s="2" t="str">
        <f t="shared" si="697"/>
        <v>Новый подраздел</v>
      </c>
      <c r="G761" s="2" t="str">
        <f t="shared" si="697"/>
        <v>Молниезащита, заземление и уравнивание потенциалов</v>
      </c>
      <c r="H761" s="2"/>
      <c r="I761" s="2"/>
      <c r="J761" s="2"/>
      <c r="K761" s="2"/>
      <c r="L761" s="2"/>
      <c r="M761" s="2"/>
      <c r="N761" s="2"/>
      <c r="O761" s="2">
        <f t="shared" ref="O761:AT761" si="698">O768</f>
        <v>10414.030000000001</v>
      </c>
      <c r="P761" s="2">
        <f t="shared" si="698"/>
        <v>39.299999999999997</v>
      </c>
      <c r="Q761" s="2">
        <f t="shared" si="698"/>
        <v>0</v>
      </c>
      <c r="R761" s="2">
        <f t="shared" si="698"/>
        <v>0</v>
      </c>
      <c r="S761" s="2">
        <f t="shared" si="698"/>
        <v>10374.73</v>
      </c>
      <c r="T761" s="2">
        <f t="shared" si="698"/>
        <v>0</v>
      </c>
      <c r="U761" s="2">
        <f t="shared" si="698"/>
        <v>19.380599999999998</v>
      </c>
      <c r="V761" s="2">
        <f t="shared" si="698"/>
        <v>0</v>
      </c>
      <c r="W761" s="2">
        <f t="shared" si="698"/>
        <v>0</v>
      </c>
      <c r="X761" s="2">
        <f t="shared" si="698"/>
        <v>7262.31</v>
      </c>
      <c r="Y761" s="2">
        <f t="shared" si="698"/>
        <v>1037.47</v>
      </c>
      <c r="Z761" s="2">
        <f t="shared" si="698"/>
        <v>0</v>
      </c>
      <c r="AA761" s="2">
        <f t="shared" si="698"/>
        <v>0</v>
      </c>
      <c r="AB761" s="2">
        <f t="shared" si="698"/>
        <v>10414.030000000001</v>
      </c>
      <c r="AC761" s="2">
        <f t="shared" si="698"/>
        <v>39.299999999999997</v>
      </c>
      <c r="AD761" s="2">
        <f t="shared" si="698"/>
        <v>0</v>
      </c>
      <c r="AE761" s="2">
        <f t="shared" si="698"/>
        <v>0</v>
      </c>
      <c r="AF761" s="2">
        <f t="shared" si="698"/>
        <v>10374.73</v>
      </c>
      <c r="AG761" s="2">
        <f t="shared" si="698"/>
        <v>0</v>
      </c>
      <c r="AH761" s="2">
        <f t="shared" si="698"/>
        <v>19.380599999999998</v>
      </c>
      <c r="AI761" s="2">
        <f t="shared" si="698"/>
        <v>0</v>
      </c>
      <c r="AJ761" s="2">
        <f t="shared" si="698"/>
        <v>0</v>
      </c>
      <c r="AK761" s="2">
        <f t="shared" si="698"/>
        <v>7262.31</v>
      </c>
      <c r="AL761" s="2">
        <f t="shared" si="698"/>
        <v>1037.47</v>
      </c>
      <c r="AM761" s="2">
        <f t="shared" si="698"/>
        <v>0</v>
      </c>
      <c r="AN761" s="2">
        <f t="shared" si="698"/>
        <v>0</v>
      </c>
      <c r="AO761" s="2">
        <f t="shared" si="698"/>
        <v>0</v>
      </c>
      <c r="AP761" s="2">
        <f t="shared" si="698"/>
        <v>0</v>
      </c>
      <c r="AQ761" s="2">
        <f t="shared" si="698"/>
        <v>0</v>
      </c>
      <c r="AR761" s="2">
        <f t="shared" si="698"/>
        <v>18713.810000000001</v>
      </c>
      <c r="AS761" s="2">
        <f t="shared" si="698"/>
        <v>0</v>
      </c>
      <c r="AT761" s="2">
        <f t="shared" si="698"/>
        <v>0</v>
      </c>
      <c r="AU761" s="2">
        <f t="shared" ref="AU761:BZ761" si="699">AU768</f>
        <v>18713.810000000001</v>
      </c>
      <c r="AV761" s="2">
        <f t="shared" si="699"/>
        <v>39.299999999999997</v>
      </c>
      <c r="AW761" s="2">
        <f t="shared" si="699"/>
        <v>39.299999999999997</v>
      </c>
      <c r="AX761" s="2">
        <f t="shared" si="699"/>
        <v>0</v>
      </c>
      <c r="AY761" s="2">
        <f t="shared" si="699"/>
        <v>39.299999999999997</v>
      </c>
      <c r="AZ761" s="2">
        <f t="shared" si="699"/>
        <v>0</v>
      </c>
      <c r="BA761" s="2">
        <f t="shared" si="699"/>
        <v>0</v>
      </c>
      <c r="BB761" s="2">
        <f t="shared" si="699"/>
        <v>0</v>
      </c>
      <c r="BC761" s="2">
        <f t="shared" si="699"/>
        <v>0</v>
      </c>
      <c r="BD761" s="2">
        <f t="shared" si="699"/>
        <v>0</v>
      </c>
      <c r="BE761" s="2">
        <f t="shared" si="699"/>
        <v>0</v>
      </c>
      <c r="BF761" s="2">
        <f t="shared" si="699"/>
        <v>0</v>
      </c>
      <c r="BG761" s="2">
        <f t="shared" si="699"/>
        <v>0</v>
      </c>
      <c r="BH761" s="2">
        <f t="shared" si="699"/>
        <v>0</v>
      </c>
      <c r="BI761" s="2">
        <f t="shared" si="699"/>
        <v>0</v>
      </c>
      <c r="BJ761" s="2">
        <f t="shared" si="699"/>
        <v>0</v>
      </c>
      <c r="BK761" s="2">
        <f t="shared" si="699"/>
        <v>0</v>
      </c>
      <c r="BL761" s="2">
        <f t="shared" si="699"/>
        <v>0</v>
      </c>
      <c r="BM761" s="2">
        <f t="shared" si="699"/>
        <v>0</v>
      </c>
      <c r="BN761" s="2">
        <f t="shared" si="699"/>
        <v>0</v>
      </c>
      <c r="BO761" s="2">
        <f t="shared" si="699"/>
        <v>0</v>
      </c>
      <c r="BP761" s="2">
        <f t="shared" si="699"/>
        <v>0</v>
      </c>
      <c r="BQ761" s="2">
        <f t="shared" si="699"/>
        <v>0</v>
      </c>
      <c r="BR761" s="2">
        <f t="shared" si="699"/>
        <v>0</v>
      </c>
      <c r="BS761" s="2">
        <f t="shared" si="699"/>
        <v>0</v>
      </c>
      <c r="BT761" s="2">
        <f t="shared" si="699"/>
        <v>0</v>
      </c>
      <c r="BU761" s="2">
        <f t="shared" si="699"/>
        <v>0</v>
      </c>
      <c r="BV761" s="2">
        <f t="shared" si="699"/>
        <v>0</v>
      </c>
      <c r="BW761" s="2">
        <f t="shared" si="699"/>
        <v>0</v>
      </c>
      <c r="BX761" s="2">
        <f t="shared" si="699"/>
        <v>0</v>
      </c>
      <c r="BY761" s="2">
        <f t="shared" si="699"/>
        <v>0</v>
      </c>
      <c r="BZ761" s="2">
        <f t="shared" si="699"/>
        <v>0</v>
      </c>
      <c r="CA761" s="2">
        <f t="shared" ref="CA761:DF761" si="700">CA768</f>
        <v>18713.810000000001</v>
      </c>
      <c r="CB761" s="2">
        <f t="shared" si="700"/>
        <v>0</v>
      </c>
      <c r="CC761" s="2">
        <f t="shared" si="700"/>
        <v>0</v>
      </c>
      <c r="CD761" s="2">
        <f t="shared" si="700"/>
        <v>18713.810000000001</v>
      </c>
      <c r="CE761" s="2">
        <f t="shared" si="700"/>
        <v>39.299999999999997</v>
      </c>
      <c r="CF761" s="2">
        <f t="shared" si="700"/>
        <v>39.299999999999997</v>
      </c>
      <c r="CG761" s="2">
        <f t="shared" si="700"/>
        <v>0</v>
      </c>
      <c r="CH761" s="2">
        <f t="shared" si="700"/>
        <v>39.299999999999997</v>
      </c>
      <c r="CI761" s="2">
        <f t="shared" si="700"/>
        <v>0</v>
      </c>
      <c r="CJ761" s="2">
        <f t="shared" si="700"/>
        <v>0</v>
      </c>
      <c r="CK761" s="2">
        <f t="shared" si="700"/>
        <v>0</v>
      </c>
      <c r="CL761" s="2">
        <f t="shared" si="700"/>
        <v>0</v>
      </c>
      <c r="CM761" s="2">
        <f t="shared" si="700"/>
        <v>0</v>
      </c>
      <c r="CN761" s="2">
        <f t="shared" si="700"/>
        <v>0</v>
      </c>
      <c r="CO761" s="2">
        <f t="shared" si="700"/>
        <v>0</v>
      </c>
      <c r="CP761" s="2">
        <f t="shared" si="700"/>
        <v>0</v>
      </c>
      <c r="CQ761" s="2">
        <f t="shared" si="700"/>
        <v>0</v>
      </c>
      <c r="CR761" s="2">
        <f t="shared" si="700"/>
        <v>0</v>
      </c>
      <c r="CS761" s="2">
        <f t="shared" si="700"/>
        <v>0</v>
      </c>
      <c r="CT761" s="2">
        <f t="shared" si="700"/>
        <v>0</v>
      </c>
      <c r="CU761" s="2">
        <f t="shared" si="700"/>
        <v>0</v>
      </c>
      <c r="CV761" s="2">
        <f t="shared" si="700"/>
        <v>0</v>
      </c>
      <c r="CW761" s="2">
        <f t="shared" si="700"/>
        <v>0</v>
      </c>
      <c r="CX761" s="2">
        <f t="shared" si="700"/>
        <v>0</v>
      </c>
      <c r="CY761" s="2">
        <f t="shared" si="700"/>
        <v>0</v>
      </c>
      <c r="CZ761" s="2">
        <f t="shared" si="700"/>
        <v>0</v>
      </c>
      <c r="DA761" s="2">
        <f t="shared" si="700"/>
        <v>0</v>
      </c>
      <c r="DB761" s="2">
        <f t="shared" si="700"/>
        <v>0</v>
      </c>
      <c r="DC761" s="2">
        <f t="shared" si="700"/>
        <v>0</v>
      </c>
      <c r="DD761" s="2">
        <f t="shared" si="700"/>
        <v>0</v>
      </c>
      <c r="DE761" s="2">
        <f t="shared" si="700"/>
        <v>0</v>
      </c>
      <c r="DF761" s="2">
        <f t="shared" si="700"/>
        <v>0</v>
      </c>
      <c r="DG761" s="3">
        <f t="shared" ref="DG761:EL761" si="701">DG768</f>
        <v>0</v>
      </c>
      <c r="DH761" s="3">
        <f t="shared" si="701"/>
        <v>0</v>
      </c>
      <c r="DI761" s="3">
        <f t="shared" si="701"/>
        <v>0</v>
      </c>
      <c r="DJ761" s="3">
        <f t="shared" si="701"/>
        <v>0</v>
      </c>
      <c r="DK761" s="3">
        <f t="shared" si="701"/>
        <v>0</v>
      </c>
      <c r="DL761" s="3">
        <f t="shared" si="701"/>
        <v>0</v>
      </c>
      <c r="DM761" s="3">
        <f t="shared" si="701"/>
        <v>0</v>
      </c>
      <c r="DN761" s="3">
        <f t="shared" si="701"/>
        <v>0</v>
      </c>
      <c r="DO761" s="3">
        <f t="shared" si="701"/>
        <v>0</v>
      </c>
      <c r="DP761" s="3">
        <f t="shared" si="701"/>
        <v>0</v>
      </c>
      <c r="DQ761" s="3">
        <f t="shared" si="701"/>
        <v>0</v>
      </c>
      <c r="DR761" s="3">
        <f t="shared" si="701"/>
        <v>0</v>
      </c>
      <c r="DS761" s="3">
        <f t="shared" si="701"/>
        <v>0</v>
      </c>
      <c r="DT761" s="3">
        <f t="shared" si="701"/>
        <v>0</v>
      </c>
      <c r="DU761" s="3">
        <f t="shared" si="701"/>
        <v>0</v>
      </c>
      <c r="DV761" s="3">
        <f t="shared" si="701"/>
        <v>0</v>
      </c>
      <c r="DW761" s="3">
        <f t="shared" si="701"/>
        <v>0</v>
      </c>
      <c r="DX761" s="3">
        <f t="shared" si="701"/>
        <v>0</v>
      </c>
      <c r="DY761" s="3">
        <f t="shared" si="701"/>
        <v>0</v>
      </c>
      <c r="DZ761" s="3">
        <f t="shared" si="701"/>
        <v>0</v>
      </c>
      <c r="EA761" s="3">
        <f t="shared" si="701"/>
        <v>0</v>
      </c>
      <c r="EB761" s="3">
        <f t="shared" si="701"/>
        <v>0</v>
      </c>
      <c r="EC761" s="3">
        <f t="shared" si="701"/>
        <v>0</v>
      </c>
      <c r="ED761" s="3">
        <f t="shared" si="701"/>
        <v>0</v>
      </c>
      <c r="EE761" s="3">
        <f t="shared" si="701"/>
        <v>0</v>
      </c>
      <c r="EF761" s="3">
        <f t="shared" si="701"/>
        <v>0</v>
      </c>
      <c r="EG761" s="3">
        <f t="shared" si="701"/>
        <v>0</v>
      </c>
      <c r="EH761" s="3">
        <f t="shared" si="701"/>
        <v>0</v>
      </c>
      <c r="EI761" s="3">
        <f t="shared" si="701"/>
        <v>0</v>
      </c>
      <c r="EJ761" s="3">
        <f t="shared" si="701"/>
        <v>0</v>
      </c>
      <c r="EK761" s="3">
        <f t="shared" si="701"/>
        <v>0</v>
      </c>
      <c r="EL761" s="3">
        <f t="shared" si="701"/>
        <v>0</v>
      </c>
      <c r="EM761" s="3">
        <f t="shared" ref="EM761:FR761" si="702">EM768</f>
        <v>0</v>
      </c>
      <c r="EN761" s="3">
        <f t="shared" si="702"/>
        <v>0</v>
      </c>
      <c r="EO761" s="3">
        <f t="shared" si="702"/>
        <v>0</v>
      </c>
      <c r="EP761" s="3">
        <f t="shared" si="702"/>
        <v>0</v>
      </c>
      <c r="EQ761" s="3">
        <f t="shared" si="702"/>
        <v>0</v>
      </c>
      <c r="ER761" s="3">
        <f t="shared" si="702"/>
        <v>0</v>
      </c>
      <c r="ES761" s="3">
        <f t="shared" si="702"/>
        <v>0</v>
      </c>
      <c r="ET761" s="3">
        <f t="shared" si="702"/>
        <v>0</v>
      </c>
      <c r="EU761" s="3">
        <f t="shared" si="702"/>
        <v>0</v>
      </c>
      <c r="EV761" s="3">
        <f t="shared" si="702"/>
        <v>0</v>
      </c>
      <c r="EW761" s="3">
        <f t="shared" si="702"/>
        <v>0</v>
      </c>
      <c r="EX761" s="3">
        <f t="shared" si="702"/>
        <v>0</v>
      </c>
      <c r="EY761" s="3">
        <f t="shared" si="702"/>
        <v>0</v>
      </c>
      <c r="EZ761" s="3">
        <f t="shared" si="702"/>
        <v>0</v>
      </c>
      <c r="FA761" s="3">
        <f t="shared" si="702"/>
        <v>0</v>
      </c>
      <c r="FB761" s="3">
        <f t="shared" si="702"/>
        <v>0</v>
      </c>
      <c r="FC761" s="3">
        <f t="shared" si="702"/>
        <v>0</v>
      </c>
      <c r="FD761" s="3">
        <f t="shared" si="702"/>
        <v>0</v>
      </c>
      <c r="FE761" s="3">
        <f t="shared" si="702"/>
        <v>0</v>
      </c>
      <c r="FF761" s="3">
        <f t="shared" si="702"/>
        <v>0</v>
      </c>
      <c r="FG761" s="3">
        <f t="shared" si="702"/>
        <v>0</v>
      </c>
      <c r="FH761" s="3">
        <f t="shared" si="702"/>
        <v>0</v>
      </c>
      <c r="FI761" s="3">
        <f t="shared" si="702"/>
        <v>0</v>
      </c>
      <c r="FJ761" s="3">
        <f t="shared" si="702"/>
        <v>0</v>
      </c>
      <c r="FK761" s="3">
        <f t="shared" si="702"/>
        <v>0</v>
      </c>
      <c r="FL761" s="3">
        <f t="shared" si="702"/>
        <v>0</v>
      </c>
      <c r="FM761" s="3">
        <f t="shared" si="702"/>
        <v>0</v>
      </c>
      <c r="FN761" s="3">
        <f t="shared" si="702"/>
        <v>0</v>
      </c>
      <c r="FO761" s="3">
        <f t="shared" si="702"/>
        <v>0</v>
      </c>
      <c r="FP761" s="3">
        <f t="shared" si="702"/>
        <v>0</v>
      </c>
      <c r="FQ761" s="3">
        <f t="shared" si="702"/>
        <v>0</v>
      </c>
      <c r="FR761" s="3">
        <f t="shared" si="702"/>
        <v>0</v>
      </c>
      <c r="FS761" s="3">
        <f t="shared" ref="FS761:GX761" si="703">FS768</f>
        <v>0</v>
      </c>
      <c r="FT761" s="3">
        <f t="shared" si="703"/>
        <v>0</v>
      </c>
      <c r="FU761" s="3">
        <f t="shared" si="703"/>
        <v>0</v>
      </c>
      <c r="FV761" s="3">
        <f t="shared" si="703"/>
        <v>0</v>
      </c>
      <c r="FW761" s="3">
        <f t="shared" si="703"/>
        <v>0</v>
      </c>
      <c r="FX761" s="3">
        <f t="shared" si="703"/>
        <v>0</v>
      </c>
      <c r="FY761" s="3">
        <f t="shared" si="703"/>
        <v>0</v>
      </c>
      <c r="FZ761" s="3">
        <f t="shared" si="703"/>
        <v>0</v>
      </c>
      <c r="GA761" s="3">
        <f t="shared" si="703"/>
        <v>0</v>
      </c>
      <c r="GB761" s="3">
        <f t="shared" si="703"/>
        <v>0</v>
      </c>
      <c r="GC761" s="3">
        <f t="shared" si="703"/>
        <v>0</v>
      </c>
      <c r="GD761" s="3">
        <f t="shared" si="703"/>
        <v>0</v>
      </c>
      <c r="GE761" s="3">
        <f t="shared" si="703"/>
        <v>0</v>
      </c>
      <c r="GF761" s="3">
        <f t="shared" si="703"/>
        <v>0</v>
      </c>
      <c r="GG761" s="3">
        <f t="shared" si="703"/>
        <v>0</v>
      </c>
      <c r="GH761" s="3">
        <f t="shared" si="703"/>
        <v>0</v>
      </c>
      <c r="GI761" s="3">
        <f t="shared" si="703"/>
        <v>0</v>
      </c>
      <c r="GJ761" s="3">
        <f t="shared" si="703"/>
        <v>0</v>
      </c>
      <c r="GK761" s="3">
        <f t="shared" si="703"/>
        <v>0</v>
      </c>
      <c r="GL761" s="3">
        <f t="shared" si="703"/>
        <v>0</v>
      </c>
      <c r="GM761" s="3">
        <f t="shared" si="703"/>
        <v>0</v>
      </c>
      <c r="GN761" s="3">
        <f t="shared" si="703"/>
        <v>0</v>
      </c>
      <c r="GO761" s="3">
        <f t="shared" si="703"/>
        <v>0</v>
      </c>
      <c r="GP761" s="3">
        <f t="shared" si="703"/>
        <v>0</v>
      </c>
      <c r="GQ761" s="3">
        <f t="shared" si="703"/>
        <v>0</v>
      </c>
      <c r="GR761" s="3">
        <f t="shared" si="703"/>
        <v>0</v>
      </c>
      <c r="GS761" s="3">
        <f t="shared" si="703"/>
        <v>0</v>
      </c>
      <c r="GT761" s="3">
        <f t="shared" si="703"/>
        <v>0</v>
      </c>
      <c r="GU761" s="3">
        <f t="shared" si="703"/>
        <v>0</v>
      </c>
      <c r="GV761" s="3">
        <f t="shared" si="703"/>
        <v>0</v>
      </c>
      <c r="GW761" s="3">
        <f t="shared" si="703"/>
        <v>0</v>
      </c>
      <c r="GX761" s="3">
        <f t="shared" si="703"/>
        <v>0</v>
      </c>
    </row>
    <row r="763" spans="1:245" x14ac:dyDescent="0.2">
      <c r="A763">
        <v>19</v>
      </c>
      <c r="B763">
        <v>1</v>
      </c>
      <c r="F763" t="s">
        <v>3</v>
      </c>
      <c r="G763" t="s">
        <v>562</v>
      </c>
      <c r="H763" t="s">
        <v>3</v>
      </c>
      <c r="AA763">
        <v>1</v>
      </c>
      <c r="IK763">
        <v>0</v>
      </c>
    </row>
    <row r="764" spans="1:245" x14ac:dyDescent="0.2">
      <c r="A764">
        <v>17</v>
      </c>
      <c r="B764">
        <v>1</v>
      </c>
      <c r="D764">
        <f>ROW(EtalonRes!A601)</f>
        <v>601</v>
      </c>
      <c r="E764" t="s">
        <v>563</v>
      </c>
      <c r="F764" t="s">
        <v>564</v>
      </c>
      <c r="G764" t="s">
        <v>565</v>
      </c>
      <c r="H764" t="s">
        <v>20</v>
      </c>
      <c r="I764">
        <f>ROUND(((6+6+6+4)*3+200+220+200+220+200+220+200+220)*0.1/100,9)</f>
        <v>1.746</v>
      </c>
      <c r="J764">
        <v>0</v>
      </c>
      <c r="K764">
        <f>ROUND(((6+6+6+4)*3+200+220+200+220+200+220+200+220)*0.1/100,9)</f>
        <v>1.746</v>
      </c>
      <c r="O764">
        <f>ROUND(CP764,2)</f>
        <v>10414.030000000001</v>
      </c>
      <c r="P764">
        <f>ROUND(CQ764*I764,2)</f>
        <v>39.299999999999997</v>
      </c>
      <c r="Q764">
        <f>ROUND(CR764*I764,2)</f>
        <v>0</v>
      </c>
      <c r="R764">
        <f>ROUND(CS764*I764,2)</f>
        <v>0</v>
      </c>
      <c r="S764">
        <f>ROUND(CT764*I764,2)</f>
        <v>10374.73</v>
      </c>
      <c r="T764">
        <f>ROUND(CU764*I764,2)</f>
        <v>0</v>
      </c>
      <c r="U764">
        <f>CV764*I764</f>
        <v>19.380599999999998</v>
      </c>
      <c r="V764">
        <f>CW764*I764</f>
        <v>0</v>
      </c>
      <c r="W764">
        <f>ROUND(CX764*I764,2)</f>
        <v>0</v>
      </c>
      <c r="X764">
        <f t="shared" ref="X764:Y766" si="704">ROUND(CY764,2)</f>
        <v>7262.31</v>
      </c>
      <c r="Y764">
        <f t="shared" si="704"/>
        <v>1037.47</v>
      </c>
      <c r="AA764">
        <v>1472224561</v>
      </c>
      <c r="AB764">
        <f>ROUND((AC764+AD764+AF764),6)</f>
        <v>5964.51</v>
      </c>
      <c r="AC764">
        <f>ROUND((ES764),6)</f>
        <v>22.51</v>
      </c>
      <c r="AD764">
        <f>ROUND((((ET764)-(EU764))+AE764),6)</f>
        <v>0</v>
      </c>
      <c r="AE764">
        <f t="shared" ref="AE764:AF766" si="705">ROUND((EU764),6)</f>
        <v>0</v>
      </c>
      <c r="AF764">
        <f t="shared" si="705"/>
        <v>5942</v>
      </c>
      <c r="AG764">
        <f>ROUND((AP764),6)</f>
        <v>0</v>
      </c>
      <c r="AH764">
        <f t="shared" ref="AH764:AI766" si="706">(EW764)</f>
        <v>11.1</v>
      </c>
      <c r="AI764">
        <f t="shared" si="706"/>
        <v>0</v>
      </c>
      <c r="AJ764">
        <f>(AS764)</f>
        <v>0</v>
      </c>
      <c r="AK764">
        <v>5964.51</v>
      </c>
      <c r="AL764">
        <v>22.51</v>
      </c>
      <c r="AM764">
        <v>0</v>
      </c>
      <c r="AN764">
        <v>0</v>
      </c>
      <c r="AO764">
        <v>5942</v>
      </c>
      <c r="AP764">
        <v>0</v>
      </c>
      <c r="AQ764">
        <v>11.1</v>
      </c>
      <c r="AR764">
        <v>0</v>
      </c>
      <c r="AS764">
        <v>0</v>
      </c>
      <c r="AT764">
        <v>70</v>
      </c>
      <c r="AU764">
        <v>10</v>
      </c>
      <c r="AV764">
        <v>1</v>
      </c>
      <c r="AW764">
        <v>1</v>
      </c>
      <c r="AZ764">
        <v>1</v>
      </c>
      <c r="BA764">
        <v>1</v>
      </c>
      <c r="BB764">
        <v>1</v>
      </c>
      <c r="BC764">
        <v>1</v>
      </c>
      <c r="BD764" t="s">
        <v>3</v>
      </c>
      <c r="BE764" t="s">
        <v>3</v>
      </c>
      <c r="BF764" t="s">
        <v>3</v>
      </c>
      <c r="BG764" t="s">
        <v>3</v>
      </c>
      <c r="BH764">
        <v>0</v>
      </c>
      <c r="BI764">
        <v>4</v>
      </c>
      <c r="BJ764" t="s">
        <v>566</v>
      </c>
      <c r="BM764">
        <v>0</v>
      </c>
      <c r="BN764">
        <v>0</v>
      </c>
      <c r="BO764" t="s">
        <v>3</v>
      </c>
      <c r="BP764">
        <v>0</v>
      </c>
      <c r="BQ764">
        <v>1</v>
      </c>
      <c r="BR764">
        <v>0</v>
      </c>
      <c r="BS764">
        <v>1</v>
      </c>
      <c r="BT764">
        <v>1</v>
      </c>
      <c r="BU764">
        <v>1</v>
      </c>
      <c r="BV764">
        <v>1</v>
      </c>
      <c r="BW764">
        <v>1</v>
      </c>
      <c r="BX764">
        <v>1</v>
      </c>
      <c r="BY764" t="s">
        <v>3</v>
      </c>
      <c r="BZ764">
        <v>70</v>
      </c>
      <c r="CA764">
        <v>10</v>
      </c>
      <c r="CB764" t="s">
        <v>3</v>
      </c>
      <c r="CE764">
        <v>0</v>
      </c>
      <c r="CF764">
        <v>0</v>
      </c>
      <c r="CG764">
        <v>0</v>
      </c>
      <c r="CM764">
        <v>0</v>
      </c>
      <c r="CN764" t="s">
        <v>3</v>
      </c>
      <c r="CO764">
        <v>0</v>
      </c>
      <c r="CP764">
        <f>(P764+Q764+S764)</f>
        <v>10414.029999999999</v>
      </c>
      <c r="CQ764">
        <f>(AC764*BC764*AW764)</f>
        <v>22.51</v>
      </c>
      <c r="CR764">
        <f>((((ET764)*BB764-(EU764)*BS764)+AE764*BS764)*AV764)</f>
        <v>0</v>
      </c>
      <c r="CS764">
        <f>(AE764*BS764*AV764)</f>
        <v>0</v>
      </c>
      <c r="CT764">
        <f>(AF764*BA764*AV764)</f>
        <v>5942</v>
      </c>
      <c r="CU764">
        <f>AG764</f>
        <v>0</v>
      </c>
      <c r="CV764">
        <f>(AH764*AV764)</f>
        <v>11.1</v>
      </c>
      <c r="CW764">
        <f t="shared" ref="CW764:CX766" si="707">AI764</f>
        <v>0</v>
      </c>
      <c r="CX764">
        <f t="shared" si="707"/>
        <v>0</v>
      </c>
      <c r="CY764">
        <f>((S764*BZ764)/100)</f>
        <v>7262.3109999999997</v>
      </c>
      <c r="CZ764">
        <f>((S764*CA764)/100)</f>
        <v>1037.473</v>
      </c>
      <c r="DC764" t="s">
        <v>3</v>
      </c>
      <c r="DD764" t="s">
        <v>3</v>
      </c>
      <c r="DE764" t="s">
        <v>3</v>
      </c>
      <c r="DF764" t="s">
        <v>3</v>
      </c>
      <c r="DG764" t="s">
        <v>3</v>
      </c>
      <c r="DH764" t="s">
        <v>3</v>
      </c>
      <c r="DI764" t="s">
        <v>3</v>
      </c>
      <c r="DJ764" t="s">
        <v>3</v>
      </c>
      <c r="DK764" t="s">
        <v>3</v>
      </c>
      <c r="DL764" t="s">
        <v>3</v>
      </c>
      <c r="DM764" t="s">
        <v>3</v>
      </c>
      <c r="DN764">
        <v>0</v>
      </c>
      <c r="DO764">
        <v>0</v>
      </c>
      <c r="DP764">
        <v>1</v>
      </c>
      <c r="DQ764">
        <v>1</v>
      </c>
      <c r="DU764">
        <v>1003</v>
      </c>
      <c r="DV764" t="s">
        <v>20</v>
      </c>
      <c r="DW764" t="s">
        <v>20</v>
      </c>
      <c r="DX764">
        <v>100</v>
      </c>
      <c r="DZ764" t="s">
        <v>3</v>
      </c>
      <c r="EA764" t="s">
        <v>3</v>
      </c>
      <c r="EB764" t="s">
        <v>3</v>
      </c>
      <c r="EC764" t="s">
        <v>3</v>
      </c>
      <c r="EE764">
        <v>1441815344</v>
      </c>
      <c r="EF764">
        <v>1</v>
      </c>
      <c r="EG764" t="s">
        <v>23</v>
      </c>
      <c r="EH764">
        <v>0</v>
      </c>
      <c r="EI764" t="s">
        <v>3</v>
      </c>
      <c r="EJ764">
        <v>4</v>
      </c>
      <c r="EK764">
        <v>0</v>
      </c>
      <c r="EL764" t="s">
        <v>24</v>
      </c>
      <c r="EM764" t="s">
        <v>25</v>
      </c>
      <c r="EO764" t="s">
        <v>3</v>
      </c>
      <c r="EQ764">
        <v>1310720</v>
      </c>
      <c r="ER764">
        <v>5964.51</v>
      </c>
      <c r="ES764">
        <v>22.51</v>
      </c>
      <c r="ET764">
        <v>0</v>
      </c>
      <c r="EU764">
        <v>0</v>
      </c>
      <c r="EV764">
        <v>5942</v>
      </c>
      <c r="EW764">
        <v>11.1</v>
      </c>
      <c r="EX764">
        <v>0</v>
      </c>
      <c r="EY764">
        <v>0</v>
      </c>
      <c r="FQ764">
        <v>0</v>
      </c>
      <c r="FR764">
        <f>ROUND(IF(BI764=3,GM764,0),2)</f>
        <v>0</v>
      </c>
      <c r="FS764">
        <v>0</v>
      </c>
      <c r="FX764">
        <v>70</v>
      </c>
      <c r="FY764">
        <v>10</v>
      </c>
      <c r="GA764" t="s">
        <v>3</v>
      </c>
      <c r="GD764">
        <v>0</v>
      </c>
      <c r="GF764">
        <v>-821883879</v>
      </c>
      <c r="GG764">
        <v>2</v>
      </c>
      <c r="GH764">
        <v>1</v>
      </c>
      <c r="GI764">
        <v>-2</v>
      </c>
      <c r="GJ764">
        <v>0</v>
      </c>
      <c r="GK764">
        <f>ROUND(R764*(R12)/100,2)</f>
        <v>0</v>
      </c>
      <c r="GL764">
        <f>ROUND(IF(AND(BH764=3,BI764=3,FS764&lt;&gt;0),P764,0),2)</f>
        <v>0</v>
      </c>
      <c r="GM764">
        <f>ROUND(O764+X764+Y764+GK764,2)+GX764</f>
        <v>18713.810000000001</v>
      </c>
      <c r="GN764">
        <f>IF(OR(BI764=0,BI764=1),GM764-GX764,0)</f>
        <v>0</v>
      </c>
      <c r="GO764">
        <f>IF(BI764=2,GM764-GX764,0)</f>
        <v>0</v>
      </c>
      <c r="GP764">
        <f>IF(BI764=4,GM764-GX764,0)</f>
        <v>18713.810000000001</v>
      </c>
      <c r="GR764">
        <v>0</v>
      </c>
      <c r="GS764">
        <v>3</v>
      </c>
      <c r="GT764">
        <v>0</v>
      </c>
      <c r="GU764" t="s">
        <v>3</v>
      </c>
      <c r="GV764">
        <f>ROUND((GT764),6)</f>
        <v>0</v>
      </c>
      <c r="GW764">
        <v>1</v>
      </c>
      <c r="GX764">
        <f>ROUND(HC764*I764,2)</f>
        <v>0</v>
      </c>
      <c r="HA764">
        <v>0</v>
      </c>
      <c r="HB764">
        <v>0</v>
      </c>
      <c r="HC764">
        <f>GV764*GW764</f>
        <v>0</v>
      </c>
      <c r="HE764" t="s">
        <v>3</v>
      </c>
      <c r="HF764" t="s">
        <v>3</v>
      </c>
      <c r="HM764" t="s">
        <v>3</v>
      </c>
      <c r="HN764" t="s">
        <v>3</v>
      </c>
      <c r="HO764" t="s">
        <v>3</v>
      </c>
      <c r="HP764" t="s">
        <v>3</v>
      </c>
      <c r="HQ764" t="s">
        <v>3</v>
      </c>
      <c r="IK764">
        <v>0</v>
      </c>
    </row>
    <row r="765" spans="1:245" x14ac:dyDescent="0.2">
      <c r="A765">
        <v>17</v>
      </c>
      <c r="B765">
        <v>1</v>
      </c>
      <c r="D765">
        <f>ROW(EtalonRes!A602)</f>
        <v>602</v>
      </c>
      <c r="E765" t="s">
        <v>3</v>
      </c>
      <c r="F765" t="s">
        <v>567</v>
      </c>
      <c r="G765" t="s">
        <v>568</v>
      </c>
      <c r="H765" t="s">
        <v>20</v>
      </c>
      <c r="I765">
        <f>ROUND(((6+6+6+4)*3+200+220+200+220+200+220+200+220)*0.1/100,9)</f>
        <v>1.746</v>
      </c>
      <c r="J765">
        <v>0</v>
      </c>
      <c r="K765">
        <f>ROUND(((6+6+6+4)*3+200+220+200+220+200+220+200+220)*0.1/100,9)</f>
        <v>1.746</v>
      </c>
      <c r="O765">
        <f>ROUND(CP765,2)</f>
        <v>355.17</v>
      </c>
      <c r="P765">
        <f>ROUND(CQ765*I765,2)</f>
        <v>0</v>
      </c>
      <c r="Q765">
        <f>ROUND(CR765*I765,2)</f>
        <v>0</v>
      </c>
      <c r="R765">
        <f>ROUND(CS765*I765,2)</f>
        <v>0</v>
      </c>
      <c r="S765">
        <f>ROUND(CT765*I765,2)</f>
        <v>355.17</v>
      </c>
      <c r="T765">
        <f>ROUND(CU765*I765,2)</f>
        <v>0</v>
      </c>
      <c r="U765">
        <f>CV765*I765</f>
        <v>0.66347999999999996</v>
      </c>
      <c r="V765">
        <f>CW765*I765</f>
        <v>0</v>
      </c>
      <c r="W765">
        <f>ROUND(CX765*I765,2)</f>
        <v>0</v>
      </c>
      <c r="X765">
        <f t="shared" si="704"/>
        <v>248.62</v>
      </c>
      <c r="Y765">
        <f t="shared" si="704"/>
        <v>35.520000000000003</v>
      </c>
      <c r="AA765">
        <v>-1</v>
      </c>
      <c r="AB765">
        <f>ROUND((AC765+AD765+AF765),6)</f>
        <v>203.42</v>
      </c>
      <c r="AC765">
        <f>ROUND((ES765),6)</f>
        <v>0</v>
      </c>
      <c r="AD765">
        <f>ROUND((((ET765)-(EU765))+AE765),6)</f>
        <v>0</v>
      </c>
      <c r="AE765">
        <f t="shared" si="705"/>
        <v>0</v>
      </c>
      <c r="AF765">
        <f t="shared" si="705"/>
        <v>203.42</v>
      </c>
      <c r="AG765">
        <f>ROUND((AP765),6)</f>
        <v>0</v>
      </c>
      <c r="AH765">
        <f t="shared" si="706"/>
        <v>0.38</v>
      </c>
      <c r="AI765">
        <f t="shared" si="706"/>
        <v>0</v>
      </c>
      <c r="AJ765">
        <f>(AS765)</f>
        <v>0</v>
      </c>
      <c r="AK765">
        <v>203.42</v>
      </c>
      <c r="AL765">
        <v>0</v>
      </c>
      <c r="AM765">
        <v>0</v>
      </c>
      <c r="AN765">
        <v>0</v>
      </c>
      <c r="AO765">
        <v>203.42</v>
      </c>
      <c r="AP765">
        <v>0</v>
      </c>
      <c r="AQ765">
        <v>0.38</v>
      </c>
      <c r="AR765">
        <v>0</v>
      </c>
      <c r="AS765">
        <v>0</v>
      </c>
      <c r="AT765">
        <v>70</v>
      </c>
      <c r="AU765">
        <v>10</v>
      </c>
      <c r="AV765">
        <v>1</v>
      </c>
      <c r="AW765">
        <v>1</v>
      </c>
      <c r="AZ765">
        <v>1</v>
      </c>
      <c r="BA765">
        <v>1</v>
      </c>
      <c r="BB765">
        <v>1</v>
      </c>
      <c r="BC765">
        <v>1</v>
      </c>
      <c r="BD765" t="s">
        <v>3</v>
      </c>
      <c r="BE765" t="s">
        <v>3</v>
      </c>
      <c r="BF765" t="s">
        <v>3</v>
      </c>
      <c r="BG765" t="s">
        <v>3</v>
      </c>
      <c r="BH765">
        <v>0</v>
      </c>
      <c r="BI765">
        <v>4</v>
      </c>
      <c r="BJ765" t="s">
        <v>569</v>
      </c>
      <c r="BM765">
        <v>0</v>
      </c>
      <c r="BN765">
        <v>0</v>
      </c>
      <c r="BO765" t="s">
        <v>3</v>
      </c>
      <c r="BP765">
        <v>0</v>
      </c>
      <c r="BQ765">
        <v>1</v>
      </c>
      <c r="BR765">
        <v>0</v>
      </c>
      <c r="BS765">
        <v>1</v>
      </c>
      <c r="BT765">
        <v>1</v>
      </c>
      <c r="BU765">
        <v>1</v>
      </c>
      <c r="BV765">
        <v>1</v>
      </c>
      <c r="BW765">
        <v>1</v>
      </c>
      <c r="BX765">
        <v>1</v>
      </c>
      <c r="BY765" t="s">
        <v>3</v>
      </c>
      <c r="BZ765">
        <v>70</v>
      </c>
      <c r="CA765">
        <v>10</v>
      </c>
      <c r="CB765" t="s">
        <v>3</v>
      </c>
      <c r="CE765">
        <v>0</v>
      </c>
      <c r="CF765">
        <v>0</v>
      </c>
      <c r="CG765">
        <v>0</v>
      </c>
      <c r="CM765">
        <v>0</v>
      </c>
      <c r="CN765" t="s">
        <v>3</v>
      </c>
      <c r="CO765">
        <v>0</v>
      </c>
      <c r="CP765">
        <f>(P765+Q765+S765)</f>
        <v>355.17</v>
      </c>
      <c r="CQ765">
        <f>(AC765*BC765*AW765)</f>
        <v>0</v>
      </c>
      <c r="CR765">
        <f>((((ET765)*BB765-(EU765)*BS765)+AE765*BS765)*AV765)</f>
        <v>0</v>
      </c>
      <c r="CS765">
        <f>(AE765*BS765*AV765)</f>
        <v>0</v>
      </c>
      <c r="CT765">
        <f>(AF765*BA765*AV765)</f>
        <v>203.42</v>
      </c>
      <c r="CU765">
        <f>AG765</f>
        <v>0</v>
      </c>
      <c r="CV765">
        <f>(AH765*AV765)</f>
        <v>0.38</v>
      </c>
      <c r="CW765">
        <f t="shared" si="707"/>
        <v>0</v>
      </c>
      <c r="CX765">
        <f t="shared" si="707"/>
        <v>0</v>
      </c>
      <c r="CY765">
        <f>((S765*BZ765)/100)</f>
        <v>248.61900000000003</v>
      </c>
      <c r="CZ765">
        <f>((S765*CA765)/100)</f>
        <v>35.517000000000003</v>
      </c>
      <c r="DC765" t="s">
        <v>3</v>
      </c>
      <c r="DD765" t="s">
        <v>3</v>
      </c>
      <c r="DE765" t="s">
        <v>3</v>
      </c>
      <c r="DF765" t="s">
        <v>3</v>
      </c>
      <c r="DG765" t="s">
        <v>3</v>
      </c>
      <c r="DH765" t="s">
        <v>3</v>
      </c>
      <c r="DI765" t="s">
        <v>3</v>
      </c>
      <c r="DJ765" t="s">
        <v>3</v>
      </c>
      <c r="DK765" t="s">
        <v>3</v>
      </c>
      <c r="DL765" t="s">
        <v>3</v>
      </c>
      <c r="DM765" t="s">
        <v>3</v>
      </c>
      <c r="DN765">
        <v>0</v>
      </c>
      <c r="DO765">
        <v>0</v>
      </c>
      <c r="DP765">
        <v>1</v>
      </c>
      <c r="DQ765">
        <v>1</v>
      </c>
      <c r="DU765">
        <v>1003</v>
      </c>
      <c r="DV765" t="s">
        <v>20</v>
      </c>
      <c r="DW765" t="s">
        <v>20</v>
      </c>
      <c r="DX765">
        <v>100</v>
      </c>
      <c r="DZ765" t="s">
        <v>3</v>
      </c>
      <c r="EA765" t="s">
        <v>3</v>
      </c>
      <c r="EB765" t="s">
        <v>3</v>
      </c>
      <c r="EC765" t="s">
        <v>3</v>
      </c>
      <c r="EE765">
        <v>1441815344</v>
      </c>
      <c r="EF765">
        <v>1</v>
      </c>
      <c r="EG765" t="s">
        <v>23</v>
      </c>
      <c r="EH765">
        <v>0</v>
      </c>
      <c r="EI765" t="s">
        <v>3</v>
      </c>
      <c r="EJ765">
        <v>4</v>
      </c>
      <c r="EK765">
        <v>0</v>
      </c>
      <c r="EL765" t="s">
        <v>24</v>
      </c>
      <c r="EM765" t="s">
        <v>25</v>
      </c>
      <c r="EO765" t="s">
        <v>3</v>
      </c>
      <c r="EQ765">
        <v>1024</v>
      </c>
      <c r="ER765">
        <v>203.42</v>
      </c>
      <c r="ES765">
        <v>0</v>
      </c>
      <c r="ET765">
        <v>0</v>
      </c>
      <c r="EU765">
        <v>0</v>
      </c>
      <c r="EV765">
        <v>203.42</v>
      </c>
      <c r="EW765">
        <v>0.38</v>
      </c>
      <c r="EX765">
        <v>0</v>
      </c>
      <c r="EY765">
        <v>0</v>
      </c>
      <c r="FQ765">
        <v>0</v>
      </c>
      <c r="FR765">
        <f>ROUND(IF(BI765=3,GM765,0),2)</f>
        <v>0</v>
      </c>
      <c r="FS765">
        <v>0</v>
      </c>
      <c r="FX765">
        <v>70</v>
      </c>
      <c r="FY765">
        <v>10</v>
      </c>
      <c r="GA765" t="s">
        <v>3</v>
      </c>
      <c r="GD765">
        <v>0</v>
      </c>
      <c r="GF765">
        <v>-1699704026</v>
      </c>
      <c r="GG765">
        <v>2</v>
      </c>
      <c r="GH765">
        <v>1</v>
      </c>
      <c r="GI765">
        <v>-2</v>
      </c>
      <c r="GJ765">
        <v>0</v>
      </c>
      <c r="GK765">
        <f>ROUND(R765*(R12)/100,2)</f>
        <v>0</v>
      </c>
      <c r="GL765">
        <f>ROUND(IF(AND(BH765=3,BI765=3,FS765&lt;&gt;0),P765,0),2)</f>
        <v>0</v>
      </c>
      <c r="GM765">
        <f>ROUND(O765+X765+Y765+GK765,2)+GX765</f>
        <v>639.30999999999995</v>
      </c>
      <c r="GN765">
        <f>IF(OR(BI765=0,BI765=1),GM765-GX765,0)</f>
        <v>0</v>
      </c>
      <c r="GO765">
        <f>IF(BI765=2,GM765-GX765,0)</f>
        <v>0</v>
      </c>
      <c r="GP765">
        <f>IF(BI765=4,GM765-GX765,0)</f>
        <v>639.30999999999995</v>
      </c>
      <c r="GR765">
        <v>0</v>
      </c>
      <c r="GS765">
        <v>3</v>
      </c>
      <c r="GT765">
        <v>0</v>
      </c>
      <c r="GU765" t="s">
        <v>3</v>
      </c>
      <c r="GV765">
        <f>ROUND((GT765),6)</f>
        <v>0</v>
      </c>
      <c r="GW765">
        <v>1</v>
      </c>
      <c r="GX765">
        <f>ROUND(HC765*I765,2)</f>
        <v>0</v>
      </c>
      <c r="HA765">
        <v>0</v>
      </c>
      <c r="HB765">
        <v>0</v>
      </c>
      <c r="HC765">
        <f>GV765*GW765</f>
        <v>0</v>
      </c>
      <c r="HE765" t="s">
        <v>3</v>
      </c>
      <c r="HF765" t="s">
        <v>3</v>
      </c>
      <c r="HM765" t="s">
        <v>3</v>
      </c>
      <c r="HN765" t="s">
        <v>3</v>
      </c>
      <c r="HO765" t="s">
        <v>3</v>
      </c>
      <c r="HP765" t="s">
        <v>3</v>
      </c>
      <c r="HQ765" t="s">
        <v>3</v>
      </c>
      <c r="IK765">
        <v>0</v>
      </c>
    </row>
    <row r="766" spans="1:245" x14ac:dyDescent="0.2">
      <c r="A766">
        <v>17</v>
      </c>
      <c r="B766">
        <v>1</v>
      </c>
      <c r="D766">
        <f>ROW(EtalonRes!A606)</f>
        <v>606</v>
      </c>
      <c r="E766" t="s">
        <v>3</v>
      </c>
      <c r="F766" t="s">
        <v>570</v>
      </c>
      <c r="G766" t="s">
        <v>571</v>
      </c>
      <c r="H766" t="s">
        <v>32</v>
      </c>
      <c r="I766">
        <f>ROUND(6+6+6+6,9)</f>
        <v>24</v>
      </c>
      <c r="J766">
        <v>0</v>
      </c>
      <c r="K766">
        <f>ROUND(6+6+6+6,9)</f>
        <v>24</v>
      </c>
      <c r="O766">
        <f>ROUND(CP766,2)</f>
        <v>14371.44</v>
      </c>
      <c r="P766">
        <f>ROUND(CQ766*I766,2)</f>
        <v>144.47999999999999</v>
      </c>
      <c r="Q766">
        <f>ROUND(CR766*I766,2)</f>
        <v>0</v>
      </c>
      <c r="R766">
        <f>ROUND(CS766*I766,2)</f>
        <v>0</v>
      </c>
      <c r="S766">
        <f>ROUND(CT766*I766,2)</f>
        <v>14226.96</v>
      </c>
      <c r="T766">
        <f>ROUND(CU766*I766,2)</f>
        <v>0</v>
      </c>
      <c r="U766">
        <f>CV766*I766</f>
        <v>23.04</v>
      </c>
      <c r="V766">
        <f>CW766*I766</f>
        <v>0</v>
      </c>
      <c r="W766">
        <f>ROUND(CX766*I766,2)</f>
        <v>0</v>
      </c>
      <c r="X766">
        <f t="shared" si="704"/>
        <v>9958.8700000000008</v>
      </c>
      <c r="Y766">
        <f t="shared" si="704"/>
        <v>1422.7</v>
      </c>
      <c r="AA766">
        <v>-1</v>
      </c>
      <c r="AB766">
        <f>ROUND((AC766+AD766+AF766),6)</f>
        <v>598.80999999999995</v>
      </c>
      <c r="AC766">
        <f>ROUND((ES766),6)</f>
        <v>6.02</v>
      </c>
      <c r="AD766">
        <f>ROUND((((ET766)-(EU766))+AE766),6)</f>
        <v>0</v>
      </c>
      <c r="AE766">
        <f t="shared" si="705"/>
        <v>0</v>
      </c>
      <c r="AF766">
        <f t="shared" si="705"/>
        <v>592.79</v>
      </c>
      <c r="AG766">
        <f>ROUND((AP766),6)</f>
        <v>0</v>
      </c>
      <c r="AH766">
        <f t="shared" si="706"/>
        <v>0.96</v>
      </c>
      <c r="AI766">
        <f t="shared" si="706"/>
        <v>0</v>
      </c>
      <c r="AJ766">
        <f>(AS766)</f>
        <v>0</v>
      </c>
      <c r="AK766">
        <v>598.80999999999995</v>
      </c>
      <c r="AL766">
        <v>6.02</v>
      </c>
      <c r="AM766">
        <v>0</v>
      </c>
      <c r="AN766">
        <v>0</v>
      </c>
      <c r="AO766">
        <v>592.79</v>
      </c>
      <c r="AP766">
        <v>0</v>
      </c>
      <c r="AQ766">
        <v>0.96</v>
      </c>
      <c r="AR766">
        <v>0</v>
      </c>
      <c r="AS766">
        <v>0</v>
      </c>
      <c r="AT766">
        <v>70</v>
      </c>
      <c r="AU766">
        <v>10</v>
      </c>
      <c r="AV766">
        <v>1</v>
      </c>
      <c r="AW766">
        <v>1</v>
      </c>
      <c r="AZ766">
        <v>1</v>
      </c>
      <c r="BA766">
        <v>1</v>
      </c>
      <c r="BB766">
        <v>1</v>
      </c>
      <c r="BC766">
        <v>1</v>
      </c>
      <c r="BD766" t="s">
        <v>3</v>
      </c>
      <c r="BE766" t="s">
        <v>3</v>
      </c>
      <c r="BF766" t="s">
        <v>3</v>
      </c>
      <c r="BG766" t="s">
        <v>3</v>
      </c>
      <c r="BH766">
        <v>0</v>
      </c>
      <c r="BI766">
        <v>4</v>
      </c>
      <c r="BJ766" t="s">
        <v>572</v>
      </c>
      <c r="BM766">
        <v>0</v>
      </c>
      <c r="BN766">
        <v>0</v>
      </c>
      <c r="BO766" t="s">
        <v>3</v>
      </c>
      <c r="BP766">
        <v>0</v>
      </c>
      <c r="BQ766">
        <v>1</v>
      </c>
      <c r="BR766">
        <v>0</v>
      </c>
      <c r="BS766">
        <v>1</v>
      </c>
      <c r="BT766">
        <v>1</v>
      </c>
      <c r="BU766">
        <v>1</v>
      </c>
      <c r="BV766">
        <v>1</v>
      </c>
      <c r="BW766">
        <v>1</v>
      </c>
      <c r="BX766">
        <v>1</v>
      </c>
      <c r="BY766" t="s">
        <v>3</v>
      </c>
      <c r="BZ766">
        <v>70</v>
      </c>
      <c r="CA766">
        <v>10</v>
      </c>
      <c r="CB766" t="s">
        <v>3</v>
      </c>
      <c r="CE766">
        <v>0</v>
      </c>
      <c r="CF766">
        <v>0</v>
      </c>
      <c r="CG766">
        <v>0</v>
      </c>
      <c r="CM766">
        <v>0</v>
      </c>
      <c r="CN766" t="s">
        <v>3</v>
      </c>
      <c r="CO766">
        <v>0</v>
      </c>
      <c r="CP766">
        <f>(P766+Q766+S766)</f>
        <v>14371.439999999999</v>
      </c>
      <c r="CQ766">
        <f>(AC766*BC766*AW766)</f>
        <v>6.02</v>
      </c>
      <c r="CR766">
        <f>((((ET766)*BB766-(EU766)*BS766)+AE766*BS766)*AV766)</f>
        <v>0</v>
      </c>
      <c r="CS766">
        <f>(AE766*BS766*AV766)</f>
        <v>0</v>
      </c>
      <c r="CT766">
        <f>(AF766*BA766*AV766)</f>
        <v>592.79</v>
      </c>
      <c r="CU766">
        <f>AG766</f>
        <v>0</v>
      </c>
      <c r="CV766">
        <f>(AH766*AV766)</f>
        <v>0.96</v>
      </c>
      <c r="CW766">
        <f t="shared" si="707"/>
        <v>0</v>
      </c>
      <c r="CX766">
        <f t="shared" si="707"/>
        <v>0</v>
      </c>
      <c r="CY766">
        <f>((S766*BZ766)/100)</f>
        <v>9958.8719999999994</v>
      </c>
      <c r="CZ766">
        <f>((S766*CA766)/100)</f>
        <v>1422.6959999999997</v>
      </c>
      <c r="DC766" t="s">
        <v>3</v>
      </c>
      <c r="DD766" t="s">
        <v>3</v>
      </c>
      <c r="DE766" t="s">
        <v>3</v>
      </c>
      <c r="DF766" t="s">
        <v>3</v>
      </c>
      <c r="DG766" t="s">
        <v>3</v>
      </c>
      <c r="DH766" t="s">
        <v>3</v>
      </c>
      <c r="DI766" t="s">
        <v>3</v>
      </c>
      <c r="DJ766" t="s">
        <v>3</v>
      </c>
      <c r="DK766" t="s">
        <v>3</v>
      </c>
      <c r="DL766" t="s">
        <v>3</v>
      </c>
      <c r="DM766" t="s">
        <v>3</v>
      </c>
      <c r="DN766">
        <v>0</v>
      </c>
      <c r="DO766">
        <v>0</v>
      </c>
      <c r="DP766">
        <v>1</v>
      </c>
      <c r="DQ766">
        <v>1</v>
      </c>
      <c r="DU766">
        <v>16987630</v>
      </c>
      <c r="DV766" t="s">
        <v>32</v>
      </c>
      <c r="DW766" t="s">
        <v>32</v>
      </c>
      <c r="DX766">
        <v>1</v>
      </c>
      <c r="DZ766" t="s">
        <v>3</v>
      </c>
      <c r="EA766" t="s">
        <v>3</v>
      </c>
      <c r="EB766" t="s">
        <v>3</v>
      </c>
      <c r="EC766" t="s">
        <v>3</v>
      </c>
      <c r="EE766">
        <v>1441815344</v>
      </c>
      <c r="EF766">
        <v>1</v>
      </c>
      <c r="EG766" t="s">
        <v>23</v>
      </c>
      <c r="EH766">
        <v>0</v>
      </c>
      <c r="EI766" t="s">
        <v>3</v>
      </c>
      <c r="EJ766">
        <v>4</v>
      </c>
      <c r="EK766">
        <v>0</v>
      </c>
      <c r="EL766" t="s">
        <v>24</v>
      </c>
      <c r="EM766" t="s">
        <v>25</v>
      </c>
      <c r="EO766" t="s">
        <v>3</v>
      </c>
      <c r="EQ766">
        <v>1311744</v>
      </c>
      <c r="ER766">
        <v>598.80999999999995</v>
      </c>
      <c r="ES766">
        <v>6.02</v>
      </c>
      <c r="ET766">
        <v>0</v>
      </c>
      <c r="EU766">
        <v>0</v>
      </c>
      <c r="EV766">
        <v>592.79</v>
      </c>
      <c r="EW766">
        <v>0.96</v>
      </c>
      <c r="EX766">
        <v>0</v>
      </c>
      <c r="EY766">
        <v>0</v>
      </c>
      <c r="FQ766">
        <v>0</v>
      </c>
      <c r="FR766">
        <f>ROUND(IF(BI766=3,GM766,0),2)</f>
        <v>0</v>
      </c>
      <c r="FS766">
        <v>0</v>
      </c>
      <c r="FX766">
        <v>70</v>
      </c>
      <c r="FY766">
        <v>10</v>
      </c>
      <c r="GA766" t="s">
        <v>3</v>
      </c>
      <c r="GD766">
        <v>0</v>
      </c>
      <c r="GF766">
        <v>-182643255</v>
      </c>
      <c r="GG766">
        <v>2</v>
      </c>
      <c r="GH766">
        <v>1</v>
      </c>
      <c r="GI766">
        <v>-2</v>
      </c>
      <c r="GJ766">
        <v>0</v>
      </c>
      <c r="GK766">
        <f>ROUND(R766*(R12)/100,2)</f>
        <v>0</v>
      </c>
      <c r="GL766">
        <f>ROUND(IF(AND(BH766=3,BI766=3,FS766&lt;&gt;0),P766,0),2)</f>
        <v>0</v>
      </c>
      <c r="GM766">
        <f>ROUND(O766+X766+Y766+GK766,2)+GX766</f>
        <v>25753.01</v>
      </c>
      <c r="GN766">
        <f>IF(OR(BI766=0,BI766=1),GM766-GX766,0)</f>
        <v>0</v>
      </c>
      <c r="GO766">
        <f>IF(BI766=2,GM766-GX766,0)</f>
        <v>0</v>
      </c>
      <c r="GP766">
        <f>IF(BI766=4,GM766-GX766,0)</f>
        <v>25753.01</v>
      </c>
      <c r="GR766">
        <v>0</v>
      </c>
      <c r="GS766">
        <v>3</v>
      </c>
      <c r="GT766">
        <v>0</v>
      </c>
      <c r="GU766" t="s">
        <v>3</v>
      </c>
      <c r="GV766">
        <f>ROUND((GT766),6)</f>
        <v>0</v>
      </c>
      <c r="GW766">
        <v>1</v>
      </c>
      <c r="GX766">
        <f>ROUND(HC766*I766,2)</f>
        <v>0</v>
      </c>
      <c r="HA766">
        <v>0</v>
      </c>
      <c r="HB766">
        <v>0</v>
      </c>
      <c r="HC766">
        <f>GV766*GW766</f>
        <v>0</v>
      </c>
      <c r="HE766" t="s">
        <v>3</v>
      </c>
      <c r="HF766" t="s">
        <v>3</v>
      </c>
      <c r="HM766" t="s">
        <v>3</v>
      </c>
      <c r="HN766" t="s">
        <v>3</v>
      </c>
      <c r="HO766" t="s">
        <v>3</v>
      </c>
      <c r="HP766" t="s">
        <v>3</v>
      </c>
      <c r="HQ766" t="s">
        <v>3</v>
      </c>
      <c r="IK766">
        <v>0</v>
      </c>
    </row>
    <row r="768" spans="1:245" x14ac:dyDescent="0.2">
      <c r="A768" s="2">
        <v>51</v>
      </c>
      <c r="B768" s="2">
        <f>B759</f>
        <v>1</v>
      </c>
      <c r="C768" s="2">
        <f>A759</f>
        <v>5</v>
      </c>
      <c r="D768" s="2">
        <f>ROW(A759)</f>
        <v>759</v>
      </c>
      <c r="E768" s="2"/>
      <c r="F768" s="2" t="str">
        <f>IF(F759&lt;&gt;"",F759,"")</f>
        <v>Новый подраздел</v>
      </c>
      <c r="G768" s="2" t="str">
        <f>IF(G759&lt;&gt;"",G759,"")</f>
        <v>Молниезащита, заземление и уравнивание потенциалов</v>
      </c>
      <c r="H768" s="2">
        <v>0</v>
      </c>
      <c r="I768" s="2"/>
      <c r="J768" s="2"/>
      <c r="K768" s="2"/>
      <c r="L768" s="2"/>
      <c r="M768" s="2"/>
      <c r="N768" s="2"/>
      <c r="O768" s="2">
        <f t="shared" ref="O768:T768" si="708">ROUND(AB768,2)</f>
        <v>10414.030000000001</v>
      </c>
      <c r="P768" s="2">
        <f t="shared" si="708"/>
        <v>39.299999999999997</v>
      </c>
      <c r="Q768" s="2">
        <f t="shared" si="708"/>
        <v>0</v>
      </c>
      <c r="R768" s="2">
        <f t="shared" si="708"/>
        <v>0</v>
      </c>
      <c r="S768" s="2">
        <f t="shared" si="708"/>
        <v>10374.73</v>
      </c>
      <c r="T768" s="2">
        <f t="shared" si="708"/>
        <v>0</v>
      </c>
      <c r="U768" s="2">
        <f>AH768</f>
        <v>19.380599999999998</v>
      </c>
      <c r="V768" s="2">
        <f>AI768</f>
        <v>0</v>
      </c>
      <c r="W768" s="2">
        <f>ROUND(AJ768,2)</f>
        <v>0</v>
      </c>
      <c r="X768" s="2">
        <f>ROUND(AK768,2)</f>
        <v>7262.31</v>
      </c>
      <c r="Y768" s="2">
        <f>ROUND(AL768,2)</f>
        <v>1037.47</v>
      </c>
      <c r="Z768" s="2"/>
      <c r="AA768" s="2"/>
      <c r="AB768" s="2">
        <f>ROUND(SUMIF(AA763:AA766,"=1472224561",O763:O766),2)</f>
        <v>10414.030000000001</v>
      </c>
      <c r="AC768" s="2">
        <f>ROUND(SUMIF(AA763:AA766,"=1472224561",P763:P766),2)</f>
        <v>39.299999999999997</v>
      </c>
      <c r="AD768" s="2">
        <f>ROUND(SUMIF(AA763:AA766,"=1472224561",Q763:Q766),2)</f>
        <v>0</v>
      </c>
      <c r="AE768" s="2">
        <f>ROUND(SUMIF(AA763:AA766,"=1472224561",R763:R766),2)</f>
        <v>0</v>
      </c>
      <c r="AF768" s="2">
        <f>ROUND(SUMIF(AA763:AA766,"=1472224561",S763:S766),2)</f>
        <v>10374.73</v>
      </c>
      <c r="AG768" s="2">
        <f>ROUND(SUMIF(AA763:AA766,"=1472224561",T763:T766),2)</f>
        <v>0</v>
      </c>
      <c r="AH768" s="2">
        <f>SUMIF(AA763:AA766,"=1472224561",U763:U766)</f>
        <v>19.380599999999998</v>
      </c>
      <c r="AI768" s="2">
        <f>SUMIF(AA763:AA766,"=1472224561",V763:V766)</f>
        <v>0</v>
      </c>
      <c r="AJ768" s="2">
        <f>ROUND(SUMIF(AA763:AA766,"=1472224561",W763:W766),2)</f>
        <v>0</v>
      </c>
      <c r="AK768" s="2">
        <f>ROUND(SUMIF(AA763:AA766,"=1472224561",X763:X766),2)</f>
        <v>7262.31</v>
      </c>
      <c r="AL768" s="2">
        <f>ROUND(SUMIF(AA763:AA766,"=1472224561",Y763:Y766),2)</f>
        <v>1037.47</v>
      </c>
      <c r="AM768" s="2"/>
      <c r="AN768" s="2"/>
      <c r="AO768" s="2">
        <f t="shared" ref="AO768:BD768" si="709">ROUND(BX768,2)</f>
        <v>0</v>
      </c>
      <c r="AP768" s="2">
        <f t="shared" si="709"/>
        <v>0</v>
      </c>
      <c r="AQ768" s="2">
        <f t="shared" si="709"/>
        <v>0</v>
      </c>
      <c r="AR768" s="2">
        <f t="shared" si="709"/>
        <v>18713.810000000001</v>
      </c>
      <c r="AS768" s="2">
        <f t="shared" si="709"/>
        <v>0</v>
      </c>
      <c r="AT768" s="2">
        <f t="shared" si="709"/>
        <v>0</v>
      </c>
      <c r="AU768" s="2">
        <f t="shared" si="709"/>
        <v>18713.810000000001</v>
      </c>
      <c r="AV768" s="2">
        <f t="shared" si="709"/>
        <v>39.299999999999997</v>
      </c>
      <c r="AW768" s="2">
        <f t="shared" si="709"/>
        <v>39.299999999999997</v>
      </c>
      <c r="AX768" s="2">
        <f t="shared" si="709"/>
        <v>0</v>
      </c>
      <c r="AY768" s="2">
        <f t="shared" si="709"/>
        <v>39.299999999999997</v>
      </c>
      <c r="AZ768" s="2">
        <f t="shared" si="709"/>
        <v>0</v>
      </c>
      <c r="BA768" s="2">
        <f t="shared" si="709"/>
        <v>0</v>
      </c>
      <c r="BB768" s="2">
        <f t="shared" si="709"/>
        <v>0</v>
      </c>
      <c r="BC768" s="2">
        <f t="shared" si="709"/>
        <v>0</v>
      </c>
      <c r="BD768" s="2">
        <f t="shared" si="709"/>
        <v>0</v>
      </c>
      <c r="BE768" s="2"/>
      <c r="BF768" s="2"/>
      <c r="BG768" s="2"/>
      <c r="BH768" s="2"/>
      <c r="BI768" s="2"/>
      <c r="BJ768" s="2"/>
      <c r="BK768" s="2"/>
      <c r="BL768" s="2"/>
      <c r="BM768" s="2"/>
      <c r="BN768" s="2"/>
      <c r="BO768" s="2"/>
      <c r="BP768" s="2"/>
      <c r="BQ768" s="2"/>
      <c r="BR768" s="2"/>
      <c r="BS768" s="2"/>
      <c r="BT768" s="2"/>
      <c r="BU768" s="2"/>
      <c r="BV768" s="2"/>
      <c r="BW768" s="2"/>
      <c r="BX768" s="2">
        <f>ROUND(SUMIF(AA763:AA766,"=1472224561",FQ763:FQ766),2)</f>
        <v>0</v>
      </c>
      <c r="BY768" s="2">
        <f>ROUND(SUMIF(AA763:AA766,"=1472224561",FR763:FR766),2)</f>
        <v>0</v>
      </c>
      <c r="BZ768" s="2">
        <f>ROUND(SUMIF(AA763:AA766,"=1472224561",GL763:GL766),2)</f>
        <v>0</v>
      </c>
      <c r="CA768" s="2">
        <f>ROUND(SUMIF(AA763:AA766,"=1472224561",GM763:GM766),2)</f>
        <v>18713.810000000001</v>
      </c>
      <c r="CB768" s="2">
        <f>ROUND(SUMIF(AA763:AA766,"=1472224561",GN763:GN766),2)</f>
        <v>0</v>
      </c>
      <c r="CC768" s="2">
        <f>ROUND(SUMIF(AA763:AA766,"=1472224561",GO763:GO766),2)</f>
        <v>0</v>
      </c>
      <c r="CD768" s="2">
        <f>ROUND(SUMIF(AA763:AA766,"=1472224561",GP763:GP766),2)</f>
        <v>18713.810000000001</v>
      </c>
      <c r="CE768" s="2">
        <f>AC768-BX768</f>
        <v>39.299999999999997</v>
      </c>
      <c r="CF768" s="2">
        <f>AC768-BY768</f>
        <v>39.299999999999997</v>
      </c>
      <c r="CG768" s="2">
        <f>BX768-BZ768</f>
        <v>0</v>
      </c>
      <c r="CH768" s="2">
        <f>AC768-BX768-BY768+BZ768</f>
        <v>39.299999999999997</v>
      </c>
      <c r="CI768" s="2">
        <f>BY768-BZ768</f>
        <v>0</v>
      </c>
      <c r="CJ768" s="2">
        <f>ROUND(SUMIF(AA763:AA766,"=1472224561",GX763:GX766),2)</f>
        <v>0</v>
      </c>
      <c r="CK768" s="2">
        <f>ROUND(SUMIF(AA763:AA766,"=1472224561",GY763:GY766),2)</f>
        <v>0</v>
      </c>
      <c r="CL768" s="2">
        <f>ROUND(SUMIF(AA763:AA766,"=1472224561",GZ763:GZ766),2)</f>
        <v>0</v>
      </c>
      <c r="CM768" s="2">
        <f>ROUND(SUMIF(AA763:AA766,"=1472224561",HD763:HD766),2)</f>
        <v>0</v>
      </c>
      <c r="CN768" s="2"/>
      <c r="CO768" s="2"/>
      <c r="CP768" s="2"/>
      <c r="CQ768" s="2"/>
      <c r="CR768" s="2"/>
      <c r="CS768" s="2"/>
      <c r="CT768" s="2"/>
      <c r="CU768" s="2"/>
      <c r="CV768" s="2"/>
      <c r="CW768" s="2"/>
      <c r="CX768" s="2"/>
      <c r="CY768" s="2"/>
      <c r="CZ768" s="2"/>
      <c r="DA768" s="2"/>
      <c r="DB768" s="2"/>
      <c r="DC768" s="2"/>
      <c r="DD768" s="2"/>
      <c r="DE768" s="2"/>
      <c r="DF768" s="2"/>
      <c r="DG768" s="3"/>
      <c r="DH768" s="3"/>
      <c r="DI768" s="3"/>
      <c r="DJ768" s="3"/>
      <c r="DK768" s="3"/>
      <c r="DL768" s="3"/>
      <c r="DM768" s="3"/>
      <c r="DN768" s="3"/>
      <c r="DO768" s="3"/>
      <c r="DP768" s="3"/>
      <c r="DQ768" s="3"/>
      <c r="DR768" s="3"/>
      <c r="DS768" s="3"/>
      <c r="DT768" s="3"/>
      <c r="DU768" s="3"/>
      <c r="DV768" s="3"/>
      <c r="DW768" s="3"/>
      <c r="DX768" s="3"/>
      <c r="DY768" s="3"/>
      <c r="DZ768" s="3"/>
      <c r="EA768" s="3"/>
      <c r="EB768" s="3"/>
      <c r="EC768" s="3"/>
      <c r="ED768" s="3"/>
      <c r="EE768" s="3"/>
      <c r="EF768" s="3"/>
      <c r="EG768" s="3"/>
      <c r="EH768" s="3"/>
      <c r="EI768" s="3"/>
      <c r="EJ768" s="3"/>
      <c r="EK768" s="3"/>
      <c r="EL768" s="3"/>
      <c r="EM768" s="3"/>
      <c r="EN768" s="3"/>
      <c r="EO768" s="3"/>
      <c r="EP768" s="3"/>
      <c r="EQ768" s="3"/>
      <c r="ER768" s="3"/>
      <c r="ES768" s="3"/>
      <c r="ET768" s="3"/>
      <c r="EU768" s="3"/>
      <c r="EV768" s="3"/>
      <c r="EW768" s="3"/>
      <c r="EX768" s="3"/>
      <c r="EY768" s="3"/>
      <c r="EZ768" s="3"/>
      <c r="FA768" s="3"/>
      <c r="FB768" s="3"/>
      <c r="FC768" s="3"/>
      <c r="FD768" s="3"/>
      <c r="FE768" s="3"/>
      <c r="FF768" s="3"/>
      <c r="FG768" s="3"/>
      <c r="FH768" s="3"/>
      <c r="FI768" s="3"/>
      <c r="FJ768" s="3"/>
      <c r="FK768" s="3"/>
      <c r="FL768" s="3"/>
      <c r="FM768" s="3"/>
      <c r="FN768" s="3"/>
      <c r="FO768" s="3"/>
      <c r="FP768" s="3"/>
      <c r="FQ768" s="3"/>
      <c r="FR768" s="3"/>
      <c r="FS768" s="3"/>
      <c r="FT768" s="3"/>
      <c r="FU768" s="3"/>
      <c r="FV768" s="3"/>
      <c r="FW768" s="3"/>
      <c r="FX768" s="3"/>
      <c r="FY768" s="3"/>
      <c r="FZ768" s="3"/>
      <c r="GA768" s="3"/>
      <c r="GB768" s="3"/>
      <c r="GC768" s="3"/>
      <c r="GD768" s="3"/>
      <c r="GE768" s="3"/>
      <c r="GF768" s="3"/>
      <c r="GG768" s="3"/>
      <c r="GH768" s="3"/>
      <c r="GI768" s="3"/>
      <c r="GJ768" s="3"/>
      <c r="GK768" s="3"/>
      <c r="GL768" s="3"/>
      <c r="GM768" s="3"/>
      <c r="GN768" s="3"/>
      <c r="GO768" s="3"/>
      <c r="GP768" s="3"/>
      <c r="GQ768" s="3"/>
      <c r="GR768" s="3"/>
      <c r="GS768" s="3"/>
      <c r="GT768" s="3"/>
      <c r="GU768" s="3"/>
      <c r="GV768" s="3"/>
      <c r="GW768" s="3"/>
      <c r="GX768" s="3">
        <v>0</v>
      </c>
    </row>
    <row r="770" spans="1:28" x14ac:dyDescent="0.2">
      <c r="A770" s="4">
        <v>50</v>
      </c>
      <c r="B770" s="4">
        <v>0</v>
      </c>
      <c r="C770" s="4">
        <v>0</v>
      </c>
      <c r="D770" s="4">
        <v>1</v>
      </c>
      <c r="E770" s="4">
        <v>201</v>
      </c>
      <c r="F770" s="4">
        <f>ROUND(Source!O768,O770)</f>
        <v>10414.030000000001</v>
      </c>
      <c r="G770" s="4" t="s">
        <v>46</v>
      </c>
      <c r="H770" s="4" t="s">
        <v>47</v>
      </c>
      <c r="I770" s="4"/>
      <c r="J770" s="4"/>
      <c r="K770" s="4">
        <v>201</v>
      </c>
      <c r="L770" s="4">
        <v>1</v>
      </c>
      <c r="M770" s="4">
        <v>3</v>
      </c>
      <c r="N770" s="4" t="s">
        <v>3</v>
      </c>
      <c r="O770" s="4">
        <v>2</v>
      </c>
      <c r="P770" s="4"/>
      <c r="Q770" s="4"/>
      <c r="R770" s="4"/>
      <c r="S770" s="4"/>
      <c r="T770" s="4"/>
      <c r="U770" s="4"/>
      <c r="V770" s="4"/>
      <c r="W770" s="4">
        <v>10414.030000000001</v>
      </c>
      <c r="X770" s="4">
        <v>1</v>
      </c>
      <c r="Y770" s="4">
        <v>10414.030000000001</v>
      </c>
      <c r="Z770" s="4"/>
      <c r="AA770" s="4"/>
      <c r="AB770" s="4"/>
    </row>
    <row r="771" spans="1:28" x14ac:dyDescent="0.2">
      <c r="A771" s="4">
        <v>50</v>
      </c>
      <c r="B771" s="4">
        <v>0</v>
      </c>
      <c r="C771" s="4">
        <v>0</v>
      </c>
      <c r="D771" s="4">
        <v>1</v>
      </c>
      <c r="E771" s="4">
        <v>202</v>
      </c>
      <c r="F771" s="4">
        <f>ROUND(Source!P768,O771)</f>
        <v>39.299999999999997</v>
      </c>
      <c r="G771" s="4" t="s">
        <v>48</v>
      </c>
      <c r="H771" s="4" t="s">
        <v>49</v>
      </c>
      <c r="I771" s="4"/>
      <c r="J771" s="4"/>
      <c r="K771" s="4">
        <v>202</v>
      </c>
      <c r="L771" s="4">
        <v>2</v>
      </c>
      <c r="M771" s="4">
        <v>3</v>
      </c>
      <c r="N771" s="4" t="s">
        <v>3</v>
      </c>
      <c r="O771" s="4">
        <v>2</v>
      </c>
      <c r="P771" s="4"/>
      <c r="Q771" s="4"/>
      <c r="R771" s="4"/>
      <c r="S771" s="4"/>
      <c r="T771" s="4"/>
      <c r="U771" s="4"/>
      <c r="V771" s="4"/>
      <c r="W771" s="4">
        <v>39.299999999999997</v>
      </c>
      <c r="X771" s="4">
        <v>1</v>
      </c>
      <c r="Y771" s="4">
        <v>39.299999999999997</v>
      </c>
      <c r="Z771" s="4"/>
      <c r="AA771" s="4"/>
      <c r="AB771" s="4"/>
    </row>
    <row r="772" spans="1:28" x14ac:dyDescent="0.2">
      <c r="A772" s="4">
        <v>50</v>
      </c>
      <c r="B772" s="4">
        <v>0</v>
      </c>
      <c r="C772" s="4">
        <v>0</v>
      </c>
      <c r="D772" s="4">
        <v>1</v>
      </c>
      <c r="E772" s="4">
        <v>222</v>
      </c>
      <c r="F772" s="4">
        <f>ROUND(Source!AO768,O772)</f>
        <v>0</v>
      </c>
      <c r="G772" s="4" t="s">
        <v>50</v>
      </c>
      <c r="H772" s="4" t="s">
        <v>51</v>
      </c>
      <c r="I772" s="4"/>
      <c r="J772" s="4"/>
      <c r="K772" s="4">
        <v>222</v>
      </c>
      <c r="L772" s="4">
        <v>3</v>
      </c>
      <c r="M772" s="4">
        <v>3</v>
      </c>
      <c r="N772" s="4" t="s">
        <v>3</v>
      </c>
      <c r="O772" s="4">
        <v>2</v>
      </c>
      <c r="P772" s="4"/>
      <c r="Q772" s="4"/>
      <c r="R772" s="4"/>
      <c r="S772" s="4"/>
      <c r="T772" s="4"/>
      <c r="U772" s="4"/>
      <c r="V772" s="4"/>
      <c r="W772" s="4">
        <v>0</v>
      </c>
      <c r="X772" s="4">
        <v>1</v>
      </c>
      <c r="Y772" s="4">
        <v>0</v>
      </c>
      <c r="Z772" s="4"/>
      <c r="AA772" s="4"/>
      <c r="AB772" s="4"/>
    </row>
    <row r="773" spans="1:28" x14ac:dyDescent="0.2">
      <c r="A773" s="4">
        <v>50</v>
      </c>
      <c r="B773" s="4">
        <v>0</v>
      </c>
      <c r="C773" s="4">
        <v>0</v>
      </c>
      <c r="D773" s="4">
        <v>1</v>
      </c>
      <c r="E773" s="4">
        <v>225</v>
      </c>
      <c r="F773" s="4">
        <f>ROUND(Source!AV768,O773)</f>
        <v>39.299999999999997</v>
      </c>
      <c r="G773" s="4" t="s">
        <v>52</v>
      </c>
      <c r="H773" s="4" t="s">
        <v>53</v>
      </c>
      <c r="I773" s="4"/>
      <c r="J773" s="4"/>
      <c r="K773" s="4">
        <v>225</v>
      </c>
      <c r="L773" s="4">
        <v>4</v>
      </c>
      <c r="M773" s="4">
        <v>3</v>
      </c>
      <c r="N773" s="4" t="s">
        <v>3</v>
      </c>
      <c r="O773" s="4">
        <v>2</v>
      </c>
      <c r="P773" s="4"/>
      <c r="Q773" s="4"/>
      <c r="R773" s="4"/>
      <c r="S773" s="4"/>
      <c r="T773" s="4"/>
      <c r="U773" s="4"/>
      <c r="V773" s="4"/>
      <c r="W773" s="4">
        <v>39.299999999999997</v>
      </c>
      <c r="X773" s="4">
        <v>1</v>
      </c>
      <c r="Y773" s="4">
        <v>39.299999999999997</v>
      </c>
      <c r="Z773" s="4"/>
      <c r="AA773" s="4"/>
      <c r="AB773" s="4"/>
    </row>
    <row r="774" spans="1:28" x14ac:dyDescent="0.2">
      <c r="A774" s="4">
        <v>50</v>
      </c>
      <c r="B774" s="4">
        <v>0</v>
      </c>
      <c r="C774" s="4">
        <v>0</v>
      </c>
      <c r="D774" s="4">
        <v>1</v>
      </c>
      <c r="E774" s="4">
        <v>226</v>
      </c>
      <c r="F774" s="4">
        <f>ROUND(Source!AW768,O774)</f>
        <v>39.299999999999997</v>
      </c>
      <c r="G774" s="4" t="s">
        <v>54</v>
      </c>
      <c r="H774" s="4" t="s">
        <v>55</v>
      </c>
      <c r="I774" s="4"/>
      <c r="J774" s="4"/>
      <c r="K774" s="4">
        <v>226</v>
      </c>
      <c r="L774" s="4">
        <v>5</v>
      </c>
      <c r="M774" s="4">
        <v>3</v>
      </c>
      <c r="N774" s="4" t="s">
        <v>3</v>
      </c>
      <c r="O774" s="4">
        <v>2</v>
      </c>
      <c r="P774" s="4"/>
      <c r="Q774" s="4"/>
      <c r="R774" s="4"/>
      <c r="S774" s="4"/>
      <c r="T774" s="4"/>
      <c r="U774" s="4"/>
      <c r="V774" s="4"/>
      <c r="W774" s="4">
        <v>39.299999999999997</v>
      </c>
      <c r="X774" s="4">
        <v>1</v>
      </c>
      <c r="Y774" s="4">
        <v>39.299999999999997</v>
      </c>
      <c r="Z774" s="4"/>
      <c r="AA774" s="4"/>
      <c r="AB774" s="4"/>
    </row>
    <row r="775" spans="1:28" x14ac:dyDescent="0.2">
      <c r="A775" s="4">
        <v>50</v>
      </c>
      <c r="B775" s="4">
        <v>0</v>
      </c>
      <c r="C775" s="4">
        <v>0</v>
      </c>
      <c r="D775" s="4">
        <v>1</v>
      </c>
      <c r="E775" s="4">
        <v>227</v>
      </c>
      <c r="F775" s="4">
        <f>ROUND(Source!AX768,O775)</f>
        <v>0</v>
      </c>
      <c r="G775" s="4" t="s">
        <v>56</v>
      </c>
      <c r="H775" s="4" t="s">
        <v>57</v>
      </c>
      <c r="I775" s="4"/>
      <c r="J775" s="4"/>
      <c r="K775" s="4">
        <v>227</v>
      </c>
      <c r="L775" s="4">
        <v>6</v>
      </c>
      <c r="M775" s="4">
        <v>3</v>
      </c>
      <c r="N775" s="4" t="s">
        <v>3</v>
      </c>
      <c r="O775" s="4">
        <v>2</v>
      </c>
      <c r="P775" s="4"/>
      <c r="Q775" s="4"/>
      <c r="R775" s="4"/>
      <c r="S775" s="4"/>
      <c r="T775" s="4"/>
      <c r="U775" s="4"/>
      <c r="V775" s="4"/>
      <c r="W775" s="4">
        <v>0</v>
      </c>
      <c r="X775" s="4">
        <v>1</v>
      </c>
      <c r="Y775" s="4">
        <v>0</v>
      </c>
      <c r="Z775" s="4"/>
      <c r="AA775" s="4"/>
      <c r="AB775" s="4"/>
    </row>
    <row r="776" spans="1:28" x14ac:dyDescent="0.2">
      <c r="A776" s="4">
        <v>50</v>
      </c>
      <c r="B776" s="4">
        <v>0</v>
      </c>
      <c r="C776" s="4">
        <v>0</v>
      </c>
      <c r="D776" s="4">
        <v>1</v>
      </c>
      <c r="E776" s="4">
        <v>228</v>
      </c>
      <c r="F776" s="4">
        <f>ROUND(Source!AY768,O776)</f>
        <v>39.299999999999997</v>
      </c>
      <c r="G776" s="4" t="s">
        <v>58</v>
      </c>
      <c r="H776" s="4" t="s">
        <v>59</v>
      </c>
      <c r="I776" s="4"/>
      <c r="J776" s="4"/>
      <c r="K776" s="4">
        <v>228</v>
      </c>
      <c r="L776" s="4">
        <v>7</v>
      </c>
      <c r="M776" s="4">
        <v>3</v>
      </c>
      <c r="N776" s="4" t="s">
        <v>3</v>
      </c>
      <c r="O776" s="4">
        <v>2</v>
      </c>
      <c r="P776" s="4"/>
      <c r="Q776" s="4"/>
      <c r="R776" s="4"/>
      <c r="S776" s="4"/>
      <c r="T776" s="4"/>
      <c r="U776" s="4"/>
      <c r="V776" s="4"/>
      <c r="W776" s="4">
        <v>39.299999999999997</v>
      </c>
      <c r="X776" s="4">
        <v>1</v>
      </c>
      <c r="Y776" s="4">
        <v>39.299999999999997</v>
      </c>
      <c r="Z776" s="4"/>
      <c r="AA776" s="4"/>
      <c r="AB776" s="4"/>
    </row>
    <row r="777" spans="1:28" x14ac:dyDescent="0.2">
      <c r="A777" s="4">
        <v>50</v>
      </c>
      <c r="B777" s="4">
        <v>0</v>
      </c>
      <c r="C777" s="4">
        <v>0</v>
      </c>
      <c r="D777" s="4">
        <v>1</v>
      </c>
      <c r="E777" s="4">
        <v>216</v>
      </c>
      <c r="F777" s="4">
        <f>ROUND(Source!AP768,O777)</f>
        <v>0</v>
      </c>
      <c r="G777" s="4" t="s">
        <v>60</v>
      </c>
      <c r="H777" s="4" t="s">
        <v>61</v>
      </c>
      <c r="I777" s="4"/>
      <c r="J777" s="4"/>
      <c r="K777" s="4">
        <v>216</v>
      </c>
      <c r="L777" s="4">
        <v>8</v>
      </c>
      <c r="M777" s="4">
        <v>3</v>
      </c>
      <c r="N777" s="4" t="s">
        <v>3</v>
      </c>
      <c r="O777" s="4">
        <v>2</v>
      </c>
      <c r="P777" s="4"/>
      <c r="Q777" s="4"/>
      <c r="R777" s="4"/>
      <c r="S777" s="4"/>
      <c r="T777" s="4"/>
      <c r="U777" s="4"/>
      <c r="V777" s="4"/>
      <c r="W777" s="4">
        <v>0</v>
      </c>
      <c r="X777" s="4">
        <v>1</v>
      </c>
      <c r="Y777" s="4">
        <v>0</v>
      </c>
      <c r="Z777" s="4"/>
      <c r="AA777" s="4"/>
      <c r="AB777" s="4"/>
    </row>
    <row r="778" spans="1:28" x14ac:dyDescent="0.2">
      <c r="A778" s="4">
        <v>50</v>
      </c>
      <c r="B778" s="4">
        <v>0</v>
      </c>
      <c r="C778" s="4">
        <v>0</v>
      </c>
      <c r="D778" s="4">
        <v>1</v>
      </c>
      <c r="E778" s="4">
        <v>223</v>
      </c>
      <c r="F778" s="4">
        <f>ROUND(Source!AQ768,O778)</f>
        <v>0</v>
      </c>
      <c r="G778" s="4" t="s">
        <v>62</v>
      </c>
      <c r="H778" s="4" t="s">
        <v>63</v>
      </c>
      <c r="I778" s="4"/>
      <c r="J778" s="4"/>
      <c r="K778" s="4">
        <v>223</v>
      </c>
      <c r="L778" s="4">
        <v>9</v>
      </c>
      <c r="M778" s="4">
        <v>3</v>
      </c>
      <c r="N778" s="4" t="s">
        <v>3</v>
      </c>
      <c r="O778" s="4">
        <v>2</v>
      </c>
      <c r="P778" s="4"/>
      <c r="Q778" s="4"/>
      <c r="R778" s="4"/>
      <c r="S778" s="4"/>
      <c r="T778" s="4"/>
      <c r="U778" s="4"/>
      <c r="V778" s="4"/>
      <c r="W778" s="4">
        <v>0</v>
      </c>
      <c r="X778" s="4">
        <v>1</v>
      </c>
      <c r="Y778" s="4">
        <v>0</v>
      </c>
      <c r="Z778" s="4"/>
      <c r="AA778" s="4"/>
      <c r="AB778" s="4"/>
    </row>
    <row r="779" spans="1:28" x14ac:dyDescent="0.2">
      <c r="A779" s="4">
        <v>50</v>
      </c>
      <c r="B779" s="4">
        <v>0</v>
      </c>
      <c r="C779" s="4">
        <v>0</v>
      </c>
      <c r="D779" s="4">
        <v>1</v>
      </c>
      <c r="E779" s="4">
        <v>229</v>
      </c>
      <c r="F779" s="4">
        <f>ROUND(Source!AZ768,O779)</f>
        <v>0</v>
      </c>
      <c r="G779" s="4" t="s">
        <v>64</v>
      </c>
      <c r="H779" s="4" t="s">
        <v>65</v>
      </c>
      <c r="I779" s="4"/>
      <c r="J779" s="4"/>
      <c r="K779" s="4">
        <v>229</v>
      </c>
      <c r="L779" s="4">
        <v>10</v>
      </c>
      <c r="M779" s="4">
        <v>3</v>
      </c>
      <c r="N779" s="4" t="s">
        <v>3</v>
      </c>
      <c r="O779" s="4">
        <v>2</v>
      </c>
      <c r="P779" s="4"/>
      <c r="Q779" s="4"/>
      <c r="R779" s="4"/>
      <c r="S779" s="4"/>
      <c r="T779" s="4"/>
      <c r="U779" s="4"/>
      <c r="V779" s="4"/>
      <c r="W779" s="4">
        <v>0</v>
      </c>
      <c r="X779" s="4">
        <v>1</v>
      </c>
      <c r="Y779" s="4">
        <v>0</v>
      </c>
      <c r="Z779" s="4"/>
      <c r="AA779" s="4"/>
      <c r="AB779" s="4"/>
    </row>
    <row r="780" spans="1:28" x14ac:dyDescent="0.2">
      <c r="A780" s="4">
        <v>50</v>
      </c>
      <c r="B780" s="4">
        <v>0</v>
      </c>
      <c r="C780" s="4">
        <v>0</v>
      </c>
      <c r="D780" s="4">
        <v>1</v>
      </c>
      <c r="E780" s="4">
        <v>203</v>
      </c>
      <c r="F780" s="4">
        <f>ROUND(Source!Q768,O780)</f>
        <v>0</v>
      </c>
      <c r="G780" s="4" t="s">
        <v>66</v>
      </c>
      <c r="H780" s="4" t="s">
        <v>67</v>
      </c>
      <c r="I780" s="4"/>
      <c r="J780" s="4"/>
      <c r="K780" s="4">
        <v>203</v>
      </c>
      <c r="L780" s="4">
        <v>11</v>
      </c>
      <c r="M780" s="4">
        <v>3</v>
      </c>
      <c r="N780" s="4" t="s">
        <v>3</v>
      </c>
      <c r="O780" s="4">
        <v>2</v>
      </c>
      <c r="P780" s="4"/>
      <c r="Q780" s="4"/>
      <c r="R780" s="4"/>
      <c r="S780" s="4"/>
      <c r="T780" s="4"/>
      <c r="U780" s="4"/>
      <c r="V780" s="4"/>
      <c r="W780" s="4">
        <v>0</v>
      </c>
      <c r="X780" s="4">
        <v>1</v>
      </c>
      <c r="Y780" s="4">
        <v>0</v>
      </c>
      <c r="Z780" s="4"/>
      <c r="AA780" s="4"/>
      <c r="AB780" s="4"/>
    </row>
    <row r="781" spans="1:28" x14ac:dyDescent="0.2">
      <c r="A781" s="4">
        <v>50</v>
      </c>
      <c r="B781" s="4">
        <v>0</v>
      </c>
      <c r="C781" s="4">
        <v>0</v>
      </c>
      <c r="D781" s="4">
        <v>1</v>
      </c>
      <c r="E781" s="4">
        <v>231</v>
      </c>
      <c r="F781" s="4">
        <f>ROUND(Source!BB768,O781)</f>
        <v>0</v>
      </c>
      <c r="G781" s="4" t="s">
        <v>68</v>
      </c>
      <c r="H781" s="4" t="s">
        <v>69</v>
      </c>
      <c r="I781" s="4"/>
      <c r="J781" s="4"/>
      <c r="K781" s="4">
        <v>231</v>
      </c>
      <c r="L781" s="4">
        <v>12</v>
      </c>
      <c r="M781" s="4">
        <v>3</v>
      </c>
      <c r="N781" s="4" t="s">
        <v>3</v>
      </c>
      <c r="O781" s="4">
        <v>2</v>
      </c>
      <c r="P781" s="4"/>
      <c r="Q781" s="4"/>
      <c r="R781" s="4"/>
      <c r="S781" s="4"/>
      <c r="T781" s="4"/>
      <c r="U781" s="4"/>
      <c r="V781" s="4"/>
      <c r="W781" s="4">
        <v>0</v>
      </c>
      <c r="X781" s="4">
        <v>1</v>
      </c>
      <c r="Y781" s="4">
        <v>0</v>
      </c>
      <c r="Z781" s="4"/>
      <c r="AA781" s="4"/>
      <c r="AB781" s="4"/>
    </row>
    <row r="782" spans="1:28" x14ac:dyDescent="0.2">
      <c r="A782" s="4">
        <v>50</v>
      </c>
      <c r="B782" s="4">
        <v>0</v>
      </c>
      <c r="C782" s="4">
        <v>0</v>
      </c>
      <c r="D782" s="4">
        <v>1</v>
      </c>
      <c r="E782" s="4">
        <v>204</v>
      </c>
      <c r="F782" s="4">
        <f>ROUND(Source!R768,O782)</f>
        <v>0</v>
      </c>
      <c r="G782" s="4" t="s">
        <v>70</v>
      </c>
      <c r="H782" s="4" t="s">
        <v>71</v>
      </c>
      <c r="I782" s="4"/>
      <c r="J782" s="4"/>
      <c r="K782" s="4">
        <v>204</v>
      </c>
      <c r="L782" s="4">
        <v>13</v>
      </c>
      <c r="M782" s="4">
        <v>3</v>
      </c>
      <c r="N782" s="4" t="s">
        <v>3</v>
      </c>
      <c r="O782" s="4">
        <v>2</v>
      </c>
      <c r="P782" s="4"/>
      <c r="Q782" s="4"/>
      <c r="R782" s="4"/>
      <c r="S782" s="4"/>
      <c r="T782" s="4"/>
      <c r="U782" s="4"/>
      <c r="V782" s="4"/>
      <c r="W782" s="4">
        <v>0</v>
      </c>
      <c r="X782" s="4">
        <v>1</v>
      </c>
      <c r="Y782" s="4">
        <v>0</v>
      </c>
      <c r="Z782" s="4"/>
      <c r="AA782" s="4"/>
      <c r="AB782" s="4"/>
    </row>
    <row r="783" spans="1:28" x14ac:dyDescent="0.2">
      <c r="A783" s="4">
        <v>50</v>
      </c>
      <c r="B783" s="4">
        <v>0</v>
      </c>
      <c r="C783" s="4">
        <v>0</v>
      </c>
      <c r="D783" s="4">
        <v>1</v>
      </c>
      <c r="E783" s="4">
        <v>205</v>
      </c>
      <c r="F783" s="4">
        <f>ROUND(Source!S768,O783)</f>
        <v>10374.73</v>
      </c>
      <c r="G783" s="4" t="s">
        <v>72</v>
      </c>
      <c r="H783" s="4" t="s">
        <v>73</v>
      </c>
      <c r="I783" s="4"/>
      <c r="J783" s="4"/>
      <c r="K783" s="4">
        <v>205</v>
      </c>
      <c r="L783" s="4">
        <v>14</v>
      </c>
      <c r="M783" s="4">
        <v>3</v>
      </c>
      <c r="N783" s="4" t="s">
        <v>3</v>
      </c>
      <c r="O783" s="4">
        <v>2</v>
      </c>
      <c r="P783" s="4"/>
      <c r="Q783" s="4"/>
      <c r="R783" s="4"/>
      <c r="S783" s="4"/>
      <c r="T783" s="4"/>
      <c r="U783" s="4"/>
      <c r="V783" s="4"/>
      <c r="W783" s="4">
        <v>10374.73</v>
      </c>
      <c r="X783" s="4">
        <v>1</v>
      </c>
      <c r="Y783" s="4">
        <v>10374.73</v>
      </c>
      <c r="Z783" s="4"/>
      <c r="AA783" s="4"/>
      <c r="AB783" s="4"/>
    </row>
    <row r="784" spans="1:28" x14ac:dyDescent="0.2">
      <c r="A784" s="4">
        <v>50</v>
      </c>
      <c r="B784" s="4">
        <v>0</v>
      </c>
      <c r="C784" s="4">
        <v>0</v>
      </c>
      <c r="D784" s="4">
        <v>1</v>
      </c>
      <c r="E784" s="4">
        <v>232</v>
      </c>
      <c r="F784" s="4">
        <f>ROUND(Source!BC768,O784)</f>
        <v>0</v>
      </c>
      <c r="G784" s="4" t="s">
        <v>74</v>
      </c>
      <c r="H784" s="4" t="s">
        <v>75</v>
      </c>
      <c r="I784" s="4"/>
      <c r="J784" s="4"/>
      <c r="K784" s="4">
        <v>232</v>
      </c>
      <c r="L784" s="4">
        <v>15</v>
      </c>
      <c r="M784" s="4">
        <v>3</v>
      </c>
      <c r="N784" s="4" t="s">
        <v>3</v>
      </c>
      <c r="O784" s="4">
        <v>2</v>
      </c>
      <c r="P784" s="4"/>
      <c r="Q784" s="4"/>
      <c r="R784" s="4"/>
      <c r="S784" s="4"/>
      <c r="T784" s="4"/>
      <c r="U784" s="4"/>
      <c r="V784" s="4"/>
      <c r="W784" s="4">
        <v>0</v>
      </c>
      <c r="X784" s="4">
        <v>1</v>
      </c>
      <c r="Y784" s="4">
        <v>0</v>
      </c>
      <c r="Z784" s="4"/>
      <c r="AA784" s="4"/>
      <c r="AB784" s="4"/>
    </row>
    <row r="785" spans="1:206" x14ac:dyDescent="0.2">
      <c r="A785" s="4">
        <v>50</v>
      </c>
      <c r="B785" s="4">
        <v>0</v>
      </c>
      <c r="C785" s="4">
        <v>0</v>
      </c>
      <c r="D785" s="4">
        <v>1</v>
      </c>
      <c r="E785" s="4">
        <v>214</v>
      </c>
      <c r="F785" s="4">
        <f>ROUND(Source!AS768,O785)</f>
        <v>0</v>
      </c>
      <c r="G785" s="4" t="s">
        <v>76</v>
      </c>
      <c r="H785" s="4" t="s">
        <v>77</v>
      </c>
      <c r="I785" s="4"/>
      <c r="J785" s="4"/>
      <c r="K785" s="4">
        <v>214</v>
      </c>
      <c r="L785" s="4">
        <v>16</v>
      </c>
      <c r="M785" s="4">
        <v>3</v>
      </c>
      <c r="N785" s="4" t="s">
        <v>3</v>
      </c>
      <c r="O785" s="4">
        <v>2</v>
      </c>
      <c r="P785" s="4"/>
      <c r="Q785" s="4"/>
      <c r="R785" s="4"/>
      <c r="S785" s="4"/>
      <c r="T785" s="4"/>
      <c r="U785" s="4"/>
      <c r="V785" s="4"/>
      <c r="W785" s="4">
        <v>0</v>
      </c>
      <c r="X785" s="4">
        <v>1</v>
      </c>
      <c r="Y785" s="4">
        <v>0</v>
      </c>
      <c r="Z785" s="4"/>
      <c r="AA785" s="4"/>
      <c r="AB785" s="4"/>
    </row>
    <row r="786" spans="1:206" x14ac:dyDescent="0.2">
      <c r="A786" s="4">
        <v>50</v>
      </c>
      <c r="B786" s="4">
        <v>0</v>
      </c>
      <c r="C786" s="4">
        <v>0</v>
      </c>
      <c r="D786" s="4">
        <v>1</v>
      </c>
      <c r="E786" s="4">
        <v>215</v>
      </c>
      <c r="F786" s="4">
        <f>ROUND(Source!AT768,O786)</f>
        <v>0</v>
      </c>
      <c r="G786" s="4" t="s">
        <v>78</v>
      </c>
      <c r="H786" s="4" t="s">
        <v>79</v>
      </c>
      <c r="I786" s="4"/>
      <c r="J786" s="4"/>
      <c r="K786" s="4">
        <v>215</v>
      </c>
      <c r="L786" s="4">
        <v>17</v>
      </c>
      <c r="M786" s="4">
        <v>3</v>
      </c>
      <c r="N786" s="4" t="s">
        <v>3</v>
      </c>
      <c r="O786" s="4">
        <v>2</v>
      </c>
      <c r="P786" s="4"/>
      <c r="Q786" s="4"/>
      <c r="R786" s="4"/>
      <c r="S786" s="4"/>
      <c r="T786" s="4"/>
      <c r="U786" s="4"/>
      <c r="V786" s="4"/>
      <c r="W786" s="4">
        <v>0</v>
      </c>
      <c r="X786" s="4">
        <v>1</v>
      </c>
      <c r="Y786" s="4">
        <v>0</v>
      </c>
      <c r="Z786" s="4"/>
      <c r="AA786" s="4"/>
      <c r="AB786" s="4"/>
    </row>
    <row r="787" spans="1:206" x14ac:dyDescent="0.2">
      <c r="A787" s="4">
        <v>50</v>
      </c>
      <c r="B787" s="4">
        <v>0</v>
      </c>
      <c r="C787" s="4">
        <v>0</v>
      </c>
      <c r="D787" s="4">
        <v>1</v>
      </c>
      <c r="E787" s="4">
        <v>217</v>
      </c>
      <c r="F787" s="4">
        <f>ROUND(Source!AU768,O787)</f>
        <v>18713.810000000001</v>
      </c>
      <c r="G787" s="4" t="s">
        <v>80</v>
      </c>
      <c r="H787" s="4" t="s">
        <v>81</v>
      </c>
      <c r="I787" s="4"/>
      <c r="J787" s="4"/>
      <c r="K787" s="4">
        <v>217</v>
      </c>
      <c r="L787" s="4">
        <v>18</v>
      </c>
      <c r="M787" s="4">
        <v>3</v>
      </c>
      <c r="N787" s="4" t="s">
        <v>3</v>
      </c>
      <c r="O787" s="4">
        <v>2</v>
      </c>
      <c r="P787" s="4"/>
      <c r="Q787" s="4"/>
      <c r="R787" s="4"/>
      <c r="S787" s="4"/>
      <c r="T787" s="4"/>
      <c r="U787" s="4"/>
      <c r="V787" s="4"/>
      <c r="W787" s="4">
        <v>18713.810000000001</v>
      </c>
      <c r="X787" s="4">
        <v>1</v>
      </c>
      <c r="Y787" s="4">
        <v>18713.810000000001</v>
      </c>
      <c r="Z787" s="4"/>
      <c r="AA787" s="4"/>
      <c r="AB787" s="4"/>
    </row>
    <row r="788" spans="1:206" x14ac:dyDescent="0.2">
      <c r="A788" s="4">
        <v>50</v>
      </c>
      <c r="B788" s="4">
        <v>0</v>
      </c>
      <c r="C788" s="4">
        <v>0</v>
      </c>
      <c r="D788" s="4">
        <v>1</v>
      </c>
      <c r="E788" s="4">
        <v>230</v>
      </c>
      <c r="F788" s="4">
        <f>ROUND(Source!BA768,O788)</f>
        <v>0</v>
      </c>
      <c r="G788" s="4" t="s">
        <v>82</v>
      </c>
      <c r="H788" s="4" t="s">
        <v>83</v>
      </c>
      <c r="I788" s="4"/>
      <c r="J788" s="4"/>
      <c r="K788" s="4">
        <v>230</v>
      </c>
      <c r="L788" s="4">
        <v>19</v>
      </c>
      <c r="M788" s="4">
        <v>3</v>
      </c>
      <c r="N788" s="4" t="s">
        <v>3</v>
      </c>
      <c r="O788" s="4">
        <v>2</v>
      </c>
      <c r="P788" s="4"/>
      <c r="Q788" s="4"/>
      <c r="R788" s="4"/>
      <c r="S788" s="4"/>
      <c r="T788" s="4"/>
      <c r="U788" s="4"/>
      <c r="V788" s="4"/>
      <c r="W788" s="4">
        <v>0</v>
      </c>
      <c r="X788" s="4">
        <v>1</v>
      </c>
      <c r="Y788" s="4">
        <v>0</v>
      </c>
      <c r="Z788" s="4"/>
      <c r="AA788" s="4"/>
      <c r="AB788" s="4"/>
    </row>
    <row r="789" spans="1:206" x14ac:dyDescent="0.2">
      <c r="A789" s="4">
        <v>50</v>
      </c>
      <c r="B789" s="4">
        <v>0</v>
      </c>
      <c r="C789" s="4">
        <v>0</v>
      </c>
      <c r="D789" s="4">
        <v>1</v>
      </c>
      <c r="E789" s="4">
        <v>206</v>
      </c>
      <c r="F789" s="4">
        <f>ROUND(Source!T768,O789)</f>
        <v>0</v>
      </c>
      <c r="G789" s="4" t="s">
        <v>84</v>
      </c>
      <c r="H789" s="4" t="s">
        <v>85</v>
      </c>
      <c r="I789" s="4"/>
      <c r="J789" s="4"/>
      <c r="K789" s="4">
        <v>206</v>
      </c>
      <c r="L789" s="4">
        <v>20</v>
      </c>
      <c r="M789" s="4">
        <v>3</v>
      </c>
      <c r="N789" s="4" t="s">
        <v>3</v>
      </c>
      <c r="O789" s="4">
        <v>2</v>
      </c>
      <c r="P789" s="4"/>
      <c r="Q789" s="4"/>
      <c r="R789" s="4"/>
      <c r="S789" s="4"/>
      <c r="T789" s="4"/>
      <c r="U789" s="4"/>
      <c r="V789" s="4"/>
      <c r="W789" s="4">
        <v>0</v>
      </c>
      <c r="X789" s="4">
        <v>1</v>
      </c>
      <c r="Y789" s="4">
        <v>0</v>
      </c>
      <c r="Z789" s="4"/>
      <c r="AA789" s="4"/>
      <c r="AB789" s="4"/>
    </row>
    <row r="790" spans="1:206" x14ac:dyDescent="0.2">
      <c r="A790" s="4">
        <v>50</v>
      </c>
      <c r="B790" s="4">
        <v>0</v>
      </c>
      <c r="C790" s="4">
        <v>0</v>
      </c>
      <c r="D790" s="4">
        <v>1</v>
      </c>
      <c r="E790" s="4">
        <v>207</v>
      </c>
      <c r="F790" s="4">
        <f>Source!U768</f>
        <v>19.380599999999998</v>
      </c>
      <c r="G790" s="4" t="s">
        <v>86</v>
      </c>
      <c r="H790" s="4" t="s">
        <v>87</v>
      </c>
      <c r="I790" s="4"/>
      <c r="J790" s="4"/>
      <c r="K790" s="4">
        <v>207</v>
      </c>
      <c r="L790" s="4">
        <v>21</v>
      </c>
      <c r="M790" s="4">
        <v>3</v>
      </c>
      <c r="N790" s="4" t="s">
        <v>3</v>
      </c>
      <c r="O790" s="4">
        <v>-1</v>
      </c>
      <c r="P790" s="4"/>
      <c r="Q790" s="4"/>
      <c r="R790" s="4"/>
      <c r="S790" s="4"/>
      <c r="T790" s="4"/>
      <c r="U790" s="4"/>
      <c r="V790" s="4"/>
      <c r="W790" s="4">
        <v>19.380600000000001</v>
      </c>
      <c r="X790" s="4">
        <v>1</v>
      </c>
      <c r="Y790" s="4">
        <v>19.380600000000001</v>
      </c>
      <c r="Z790" s="4"/>
      <c r="AA790" s="4"/>
      <c r="AB790" s="4"/>
    </row>
    <row r="791" spans="1:206" x14ac:dyDescent="0.2">
      <c r="A791" s="4">
        <v>50</v>
      </c>
      <c r="B791" s="4">
        <v>0</v>
      </c>
      <c r="C791" s="4">
        <v>0</v>
      </c>
      <c r="D791" s="4">
        <v>1</v>
      </c>
      <c r="E791" s="4">
        <v>208</v>
      </c>
      <c r="F791" s="4">
        <f>Source!V768</f>
        <v>0</v>
      </c>
      <c r="G791" s="4" t="s">
        <v>88</v>
      </c>
      <c r="H791" s="4" t="s">
        <v>89</v>
      </c>
      <c r="I791" s="4"/>
      <c r="J791" s="4"/>
      <c r="K791" s="4">
        <v>208</v>
      </c>
      <c r="L791" s="4">
        <v>22</v>
      </c>
      <c r="M791" s="4">
        <v>3</v>
      </c>
      <c r="N791" s="4" t="s">
        <v>3</v>
      </c>
      <c r="O791" s="4">
        <v>-1</v>
      </c>
      <c r="P791" s="4"/>
      <c r="Q791" s="4"/>
      <c r="R791" s="4"/>
      <c r="S791" s="4"/>
      <c r="T791" s="4"/>
      <c r="U791" s="4"/>
      <c r="V791" s="4"/>
      <c r="W791" s="4">
        <v>0</v>
      </c>
      <c r="X791" s="4">
        <v>1</v>
      </c>
      <c r="Y791" s="4">
        <v>0</v>
      </c>
      <c r="Z791" s="4"/>
      <c r="AA791" s="4"/>
      <c r="AB791" s="4"/>
    </row>
    <row r="792" spans="1:206" x14ac:dyDescent="0.2">
      <c r="A792" s="4">
        <v>50</v>
      </c>
      <c r="B792" s="4">
        <v>0</v>
      </c>
      <c r="C792" s="4">
        <v>0</v>
      </c>
      <c r="D792" s="4">
        <v>1</v>
      </c>
      <c r="E792" s="4">
        <v>209</v>
      </c>
      <c r="F792" s="4">
        <f>ROUND(Source!W768,O792)</f>
        <v>0</v>
      </c>
      <c r="G792" s="4" t="s">
        <v>90</v>
      </c>
      <c r="H792" s="4" t="s">
        <v>91</v>
      </c>
      <c r="I792" s="4"/>
      <c r="J792" s="4"/>
      <c r="K792" s="4">
        <v>209</v>
      </c>
      <c r="L792" s="4">
        <v>23</v>
      </c>
      <c r="M792" s="4">
        <v>3</v>
      </c>
      <c r="N792" s="4" t="s">
        <v>3</v>
      </c>
      <c r="O792" s="4">
        <v>2</v>
      </c>
      <c r="P792" s="4"/>
      <c r="Q792" s="4"/>
      <c r="R792" s="4"/>
      <c r="S792" s="4"/>
      <c r="T792" s="4"/>
      <c r="U792" s="4"/>
      <c r="V792" s="4"/>
      <c r="W792" s="4">
        <v>0</v>
      </c>
      <c r="X792" s="4">
        <v>1</v>
      </c>
      <c r="Y792" s="4">
        <v>0</v>
      </c>
      <c r="Z792" s="4"/>
      <c r="AA792" s="4"/>
      <c r="AB792" s="4"/>
    </row>
    <row r="793" spans="1:206" x14ac:dyDescent="0.2">
      <c r="A793" s="4">
        <v>50</v>
      </c>
      <c r="B793" s="4">
        <v>0</v>
      </c>
      <c r="C793" s="4">
        <v>0</v>
      </c>
      <c r="D793" s="4">
        <v>1</v>
      </c>
      <c r="E793" s="4">
        <v>233</v>
      </c>
      <c r="F793" s="4">
        <f>ROUND(Source!BD768,O793)</f>
        <v>0</v>
      </c>
      <c r="G793" s="4" t="s">
        <v>92</v>
      </c>
      <c r="H793" s="4" t="s">
        <v>93</v>
      </c>
      <c r="I793" s="4"/>
      <c r="J793" s="4"/>
      <c r="K793" s="4">
        <v>233</v>
      </c>
      <c r="L793" s="4">
        <v>24</v>
      </c>
      <c r="M793" s="4">
        <v>3</v>
      </c>
      <c r="N793" s="4" t="s">
        <v>3</v>
      </c>
      <c r="O793" s="4">
        <v>2</v>
      </c>
      <c r="P793" s="4"/>
      <c r="Q793" s="4"/>
      <c r="R793" s="4"/>
      <c r="S793" s="4"/>
      <c r="T793" s="4"/>
      <c r="U793" s="4"/>
      <c r="V793" s="4"/>
      <c r="W793" s="4">
        <v>0</v>
      </c>
      <c r="X793" s="4">
        <v>1</v>
      </c>
      <c r="Y793" s="4">
        <v>0</v>
      </c>
      <c r="Z793" s="4"/>
      <c r="AA793" s="4"/>
      <c r="AB793" s="4"/>
    </row>
    <row r="794" spans="1:206" x14ac:dyDescent="0.2">
      <c r="A794" s="4">
        <v>50</v>
      </c>
      <c r="B794" s="4">
        <v>0</v>
      </c>
      <c r="C794" s="4">
        <v>0</v>
      </c>
      <c r="D794" s="4">
        <v>1</v>
      </c>
      <c r="E794" s="4">
        <v>210</v>
      </c>
      <c r="F794" s="4">
        <f>ROUND(Source!X768,O794)</f>
        <v>7262.31</v>
      </c>
      <c r="G794" s="4" t="s">
        <v>94</v>
      </c>
      <c r="H794" s="4" t="s">
        <v>95</v>
      </c>
      <c r="I794" s="4"/>
      <c r="J794" s="4"/>
      <c r="K794" s="4">
        <v>210</v>
      </c>
      <c r="L794" s="4">
        <v>25</v>
      </c>
      <c r="M794" s="4">
        <v>3</v>
      </c>
      <c r="N794" s="4" t="s">
        <v>3</v>
      </c>
      <c r="O794" s="4">
        <v>2</v>
      </c>
      <c r="P794" s="4"/>
      <c r="Q794" s="4"/>
      <c r="R794" s="4"/>
      <c r="S794" s="4"/>
      <c r="T794" s="4"/>
      <c r="U794" s="4"/>
      <c r="V794" s="4"/>
      <c r="W794" s="4">
        <v>7262.31</v>
      </c>
      <c r="X794" s="4">
        <v>1</v>
      </c>
      <c r="Y794" s="4">
        <v>7262.31</v>
      </c>
      <c r="Z794" s="4"/>
      <c r="AA794" s="4"/>
      <c r="AB794" s="4"/>
    </row>
    <row r="795" spans="1:206" x14ac:dyDescent="0.2">
      <c r="A795" s="4">
        <v>50</v>
      </c>
      <c r="B795" s="4">
        <v>0</v>
      </c>
      <c r="C795" s="4">
        <v>0</v>
      </c>
      <c r="D795" s="4">
        <v>1</v>
      </c>
      <c r="E795" s="4">
        <v>211</v>
      </c>
      <c r="F795" s="4">
        <f>ROUND(Source!Y768,O795)</f>
        <v>1037.47</v>
      </c>
      <c r="G795" s="4" t="s">
        <v>96</v>
      </c>
      <c r="H795" s="4" t="s">
        <v>97</v>
      </c>
      <c r="I795" s="4"/>
      <c r="J795" s="4"/>
      <c r="K795" s="4">
        <v>211</v>
      </c>
      <c r="L795" s="4">
        <v>26</v>
      </c>
      <c r="M795" s="4">
        <v>3</v>
      </c>
      <c r="N795" s="4" t="s">
        <v>3</v>
      </c>
      <c r="O795" s="4">
        <v>2</v>
      </c>
      <c r="P795" s="4"/>
      <c r="Q795" s="4"/>
      <c r="R795" s="4"/>
      <c r="S795" s="4"/>
      <c r="T795" s="4"/>
      <c r="U795" s="4"/>
      <c r="V795" s="4"/>
      <c r="W795" s="4">
        <v>1037.47</v>
      </c>
      <c r="X795" s="4">
        <v>1</v>
      </c>
      <c r="Y795" s="4">
        <v>1037.47</v>
      </c>
      <c r="Z795" s="4"/>
      <c r="AA795" s="4"/>
      <c r="AB795" s="4"/>
    </row>
    <row r="796" spans="1:206" x14ac:dyDescent="0.2">
      <c r="A796" s="4">
        <v>50</v>
      </c>
      <c r="B796" s="4">
        <v>0</v>
      </c>
      <c r="C796" s="4">
        <v>0</v>
      </c>
      <c r="D796" s="4">
        <v>1</v>
      </c>
      <c r="E796" s="4">
        <v>224</v>
      </c>
      <c r="F796" s="4">
        <f>ROUND(Source!AR768,O796)</f>
        <v>18713.810000000001</v>
      </c>
      <c r="G796" s="4" t="s">
        <v>98</v>
      </c>
      <c r="H796" s="4" t="s">
        <v>99</v>
      </c>
      <c r="I796" s="4"/>
      <c r="J796" s="4"/>
      <c r="K796" s="4">
        <v>224</v>
      </c>
      <c r="L796" s="4">
        <v>27</v>
      </c>
      <c r="M796" s="4">
        <v>3</v>
      </c>
      <c r="N796" s="4" t="s">
        <v>3</v>
      </c>
      <c r="O796" s="4">
        <v>2</v>
      </c>
      <c r="P796" s="4"/>
      <c r="Q796" s="4"/>
      <c r="R796" s="4"/>
      <c r="S796" s="4"/>
      <c r="T796" s="4"/>
      <c r="U796" s="4"/>
      <c r="V796" s="4"/>
      <c r="W796" s="4">
        <v>18713.810000000001</v>
      </c>
      <c r="X796" s="4">
        <v>1</v>
      </c>
      <c r="Y796" s="4">
        <v>18713.810000000001</v>
      </c>
      <c r="Z796" s="4"/>
      <c r="AA796" s="4"/>
      <c r="AB796" s="4"/>
    </row>
    <row r="798" spans="1:206" x14ac:dyDescent="0.2">
      <c r="A798" s="1">
        <v>5</v>
      </c>
      <c r="B798" s="1">
        <v>1</v>
      </c>
      <c r="C798" s="1"/>
      <c r="D798" s="1">
        <f>ROW(A816)</f>
        <v>816</v>
      </c>
      <c r="E798" s="1"/>
      <c r="F798" s="1" t="s">
        <v>15</v>
      </c>
      <c r="G798" s="1" t="s">
        <v>573</v>
      </c>
      <c r="H798" s="1" t="s">
        <v>3</v>
      </c>
      <c r="I798" s="1">
        <v>0</v>
      </c>
      <c r="J798" s="1"/>
      <c r="K798" s="1">
        <v>0</v>
      </c>
      <c r="L798" s="1"/>
      <c r="M798" s="1" t="s">
        <v>3</v>
      </c>
      <c r="N798" s="1"/>
      <c r="O798" s="1"/>
      <c r="P798" s="1"/>
      <c r="Q798" s="1"/>
      <c r="R798" s="1"/>
      <c r="S798" s="1">
        <v>0</v>
      </c>
      <c r="T798" s="1"/>
      <c r="U798" s="1" t="s">
        <v>3</v>
      </c>
      <c r="V798" s="1">
        <v>0</v>
      </c>
      <c r="W798" s="1"/>
      <c r="X798" s="1"/>
      <c r="Y798" s="1"/>
      <c r="Z798" s="1"/>
      <c r="AA798" s="1"/>
      <c r="AB798" s="1" t="s">
        <v>3</v>
      </c>
      <c r="AC798" s="1" t="s">
        <v>3</v>
      </c>
      <c r="AD798" s="1" t="s">
        <v>3</v>
      </c>
      <c r="AE798" s="1" t="s">
        <v>3</v>
      </c>
      <c r="AF798" s="1" t="s">
        <v>3</v>
      </c>
      <c r="AG798" s="1" t="s">
        <v>3</v>
      </c>
      <c r="AH798" s="1"/>
      <c r="AI798" s="1"/>
      <c r="AJ798" s="1"/>
      <c r="AK798" s="1"/>
      <c r="AL798" s="1"/>
      <c r="AM798" s="1"/>
      <c r="AN798" s="1"/>
      <c r="AO798" s="1"/>
      <c r="AP798" s="1" t="s">
        <v>3</v>
      </c>
      <c r="AQ798" s="1" t="s">
        <v>3</v>
      </c>
      <c r="AR798" s="1" t="s">
        <v>3</v>
      </c>
      <c r="AS798" s="1"/>
      <c r="AT798" s="1"/>
      <c r="AU798" s="1"/>
      <c r="AV798" s="1"/>
      <c r="AW798" s="1"/>
      <c r="AX798" s="1"/>
      <c r="AY798" s="1"/>
      <c r="AZ798" s="1" t="s">
        <v>3</v>
      </c>
      <c r="BA798" s="1"/>
      <c r="BB798" s="1" t="s">
        <v>3</v>
      </c>
      <c r="BC798" s="1" t="s">
        <v>3</v>
      </c>
      <c r="BD798" s="1" t="s">
        <v>3</v>
      </c>
      <c r="BE798" s="1" t="s">
        <v>3</v>
      </c>
      <c r="BF798" s="1" t="s">
        <v>3</v>
      </c>
      <c r="BG798" s="1" t="s">
        <v>3</v>
      </c>
      <c r="BH798" s="1" t="s">
        <v>3</v>
      </c>
      <c r="BI798" s="1" t="s">
        <v>3</v>
      </c>
      <c r="BJ798" s="1" t="s">
        <v>3</v>
      </c>
      <c r="BK798" s="1" t="s">
        <v>3</v>
      </c>
      <c r="BL798" s="1" t="s">
        <v>3</v>
      </c>
      <c r="BM798" s="1" t="s">
        <v>3</v>
      </c>
      <c r="BN798" s="1" t="s">
        <v>3</v>
      </c>
      <c r="BO798" s="1" t="s">
        <v>3</v>
      </c>
      <c r="BP798" s="1" t="s">
        <v>3</v>
      </c>
      <c r="BQ798" s="1"/>
      <c r="BR798" s="1"/>
      <c r="BS798" s="1"/>
      <c r="BT798" s="1"/>
      <c r="BU798" s="1"/>
      <c r="BV798" s="1"/>
      <c r="BW798" s="1"/>
      <c r="BX798" s="1">
        <v>0</v>
      </c>
      <c r="BY798" s="1"/>
      <c r="BZ798" s="1"/>
      <c r="CA798" s="1"/>
      <c r="CB798" s="1"/>
      <c r="CC798" s="1"/>
      <c r="CD798" s="1"/>
      <c r="CE798" s="1"/>
      <c r="CF798" s="1"/>
      <c r="CG798" s="1"/>
      <c r="CH798" s="1"/>
      <c r="CI798" s="1"/>
      <c r="CJ798" s="1">
        <v>0</v>
      </c>
    </row>
    <row r="800" spans="1:206" x14ac:dyDescent="0.2">
      <c r="A800" s="2">
        <v>52</v>
      </c>
      <c r="B800" s="2">
        <f t="shared" ref="B800:G800" si="710">B816</f>
        <v>1</v>
      </c>
      <c r="C800" s="2">
        <f t="shared" si="710"/>
        <v>5</v>
      </c>
      <c r="D800" s="2">
        <f t="shared" si="710"/>
        <v>798</v>
      </c>
      <c r="E800" s="2">
        <f t="shared" si="710"/>
        <v>0</v>
      </c>
      <c r="F800" s="2" t="str">
        <f t="shared" si="710"/>
        <v>Новый подраздел</v>
      </c>
      <c r="G800" s="2" t="str">
        <f t="shared" si="710"/>
        <v>Архитектурное освещение фасада</v>
      </c>
      <c r="H800" s="2"/>
      <c r="I800" s="2"/>
      <c r="J800" s="2"/>
      <c r="K800" s="2"/>
      <c r="L800" s="2"/>
      <c r="M800" s="2"/>
      <c r="N800" s="2"/>
      <c r="O800" s="2">
        <f t="shared" ref="O800:AT800" si="711">O816</f>
        <v>62838.400000000001</v>
      </c>
      <c r="P800" s="2">
        <f t="shared" si="711"/>
        <v>504.16</v>
      </c>
      <c r="Q800" s="2">
        <f t="shared" si="711"/>
        <v>0</v>
      </c>
      <c r="R800" s="2">
        <f t="shared" si="711"/>
        <v>0</v>
      </c>
      <c r="S800" s="2">
        <f t="shared" si="711"/>
        <v>62334.239999999998</v>
      </c>
      <c r="T800" s="2">
        <f t="shared" si="711"/>
        <v>0</v>
      </c>
      <c r="U800" s="2">
        <f t="shared" si="711"/>
        <v>107.16</v>
      </c>
      <c r="V800" s="2">
        <f t="shared" si="711"/>
        <v>0</v>
      </c>
      <c r="W800" s="2">
        <f t="shared" si="711"/>
        <v>0</v>
      </c>
      <c r="X800" s="2">
        <f t="shared" si="711"/>
        <v>43633.96</v>
      </c>
      <c r="Y800" s="2">
        <f t="shared" si="711"/>
        <v>6233.43</v>
      </c>
      <c r="Z800" s="2">
        <f t="shared" si="711"/>
        <v>0</v>
      </c>
      <c r="AA800" s="2">
        <f t="shared" si="711"/>
        <v>0</v>
      </c>
      <c r="AB800" s="2">
        <f t="shared" si="711"/>
        <v>62838.400000000001</v>
      </c>
      <c r="AC800" s="2">
        <f t="shared" si="711"/>
        <v>504.16</v>
      </c>
      <c r="AD800" s="2">
        <f t="shared" si="711"/>
        <v>0</v>
      </c>
      <c r="AE800" s="2">
        <f t="shared" si="711"/>
        <v>0</v>
      </c>
      <c r="AF800" s="2">
        <f t="shared" si="711"/>
        <v>62334.239999999998</v>
      </c>
      <c r="AG800" s="2">
        <f t="shared" si="711"/>
        <v>0</v>
      </c>
      <c r="AH800" s="2">
        <f t="shared" si="711"/>
        <v>107.16</v>
      </c>
      <c r="AI800" s="2">
        <f t="shared" si="711"/>
        <v>0</v>
      </c>
      <c r="AJ800" s="2">
        <f t="shared" si="711"/>
        <v>0</v>
      </c>
      <c r="AK800" s="2">
        <f t="shared" si="711"/>
        <v>43633.96</v>
      </c>
      <c r="AL800" s="2">
        <f t="shared" si="711"/>
        <v>6233.43</v>
      </c>
      <c r="AM800" s="2">
        <f t="shared" si="711"/>
        <v>0</v>
      </c>
      <c r="AN800" s="2">
        <f t="shared" si="711"/>
        <v>0</v>
      </c>
      <c r="AO800" s="2">
        <f t="shared" si="711"/>
        <v>0</v>
      </c>
      <c r="AP800" s="2">
        <f t="shared" si="711"/>
        <v>0</v>
      </c>
      <c r="AQ800" s="2">
        <f t="shared" si="711"/>
        <v>0</v>
      </c>
      <c r="AR800" s="2">
        <f t="shared" si="711"/>
        <v>112705.79</v>
      </c>
      <c r="AS800" s="2">
        <f t="shared" si="711"/>
        <v>0</v>
      </c>
      <c r="AT800" s="2">
        <f t="shared" si="711"/>
        <v>0</v>
      </c>
      <c r="AU800" s="2">
        <f t="shared" ref="AU800:BZ800" si="712">AU816</f>
        <v>112705.79</v>
      </c>
      <c r="AV800" s="2">
        <f t="shared" si="712"/>
        <v>504.16</v>
      </c>
      <c r="AW800" s="2">
        <f t="shared" si="712"/>
        <v>504.16</v>
      </c>
      <c r="AX800" s="2">
        <f t="shared" si="712"/>
        <v>0</v>
      </c>
      <c r="AY800" s="2">
        <f t="shared" si="712"/>
        <v>504.16</v>
      </c>
      <c r="AZ800" s="2">
        <f t="shared" si="712"/>
        <v>0</v>
      </c>
      <c r="BA800" s="2">
        <f t="shared" si="712"/>
        <v>0</v>
      </c>
      <c r="BB800" s="2">
        <f t="shared" si="712"/>
        <v>0</v>
      </c>
      <c r="BC800" s="2">
        <f t="shared" si="712"/>
        <v>0</v>
      </c>
      <c r="BD800" s="2">
        <f t="shared" si="712"/>
        <v>0</v>
      </c>
      <c r="BE800" s="2">
        <f t="shared" si="712"/>
        <v>0</v>
      </c>
      <c r="BF800" s="2">
        <f t="shared" si="712"/>
        <v>0</v>
      </c>
      <c r="BG800" s="2">
        <f t="shared" si="712"/>
        <v>0</v>
      </c>
      <c r="BH800" s="2">
        <f t="shared" si="712"/>
        <v>0</v>
      </c>
      <c r="BI800" s="2">
        <f t="shared" si="712"/>
        <v>0</v>
      </c>
      <c r="BJ800" s="2">
        <f t="shared" si="712"/>
        <v>0</v>
      </c>
      <c r="BK800" s="2">
        <f t="shared" si="712"/>
        <v>0</v>
      </c>
      <c r="BL800" s="2">
        <f t="shared" si="712"/>
        <v>0</v>
      </c>
      <c r="BM800" s="2">
        <f t="shared" si="712"/>
        <v>0</v>
      </c>
      <c r="BN800" s="2">
        <f t="shared" si="712"/>
        <v>0</v>
      </c>
      <c r="BO800" s="2">
        <f t="shared" si="712"/>
        <v>0</v>
      </c>
      <c r="BP800" s="2">
        <f t="shared" si="712"/>
        <v>0</v>
      </c>
      <c r="BQ800" s="2">
        <f t="shared" si="712"/>
        <v>0</v>
      </c>
      <c r="BR800" s="2">
        <f t="shared" si="712"/>
        <v>0</v>
      </c>
      <c r="BS800" s="2">
        <f t="shared" si="712"/>
        <v>0</v>
      </c>
      <c r="BT800" s="2">
        <f t="shared" si="712"/>
        <v>0</v>
      </c>
      <c r="BU800" s="2">
        <f t="shared" si="712"/>
        <v>0</v>
      </c>
      <c r="BV800" s="2">
        <f t="shared" si="712"/>
        <v>0</v>
      </c>
      <c r="BW800" s="2">
        <f t="shared" si="712"/>
        <v>0</v>
      </c>
      <c r="BX800" s="2">
        <f t="shared" si="712"/>
        <v>0</v>
      </c>
      <c r="BY800" s="2">
        <f t="shared" si="712"/>
        <v>0</v>
      </c>
      <c r="BZ800" s="2">
        <f t="shared" si="712"/>
        <v>0</v>
      </c>
      <c r="CA800" s="2">
        <f t="shared" ref="CA800:DF800" si="713">CA816</f>
        <v>112705.79</v>
      </c>
      <c r="CB800" s="2">
        <f t="shared" si="713"/>
        <v>0</v>
      </c>
      <c r="CC800" s="2">
        <f t="shared" si="713"/>
        <v>0</v>
      </c>
      <c r="CD800" s="2">
        <f t="shared" si="713"/>
        <v>112705.79</v>
      </c>
      <c r="CE800" s="2">
        <f t="shared" si="713"/>
        <v>504.16</v>
      </c>
      <c r="CF800" s="2">
        <f t="shared" si="713"/>
        <v>504.16</v>
      </c>
      <c r="CG800" s="2">
        <f t="shared" si="713"/>
        <v>0</v>
      </c>
      <c r="CH800" s="2">
        <f t="shared" si="713"/>
        <v>504.16</v>
      </c>
      <c r="CI800" s="2">
        <f t="shared" si="713"/>
        <v>0</v>
      </c>
      <c r="CJ800" s="2">
        <f t="shared" si="713"/>
        <v>0</v>
      </c>
      <c r="CK800" s="2">
        <f t="shared" si="713"/>
        <v>0</v>
      </c>
      <c r="CL800" s="2">
        <f t="shared" si="713"/>
        <v>0</v>
      </c>
      <c r="CM800" s="2">
        <f t="shared" si="713"/>
        <v>0</v>
      </c>
      <c r="CN800" s="2">
        <f t="shared" si="713"/>
        <v>0</v>
      </c>
      <c r="CO800" s="2">
        <f t="shared" si="713"/>
        <v>0</v>
      </c>
      <c r="CP800" s="2">
        <f t="shared" si="713"/>
        <v>0</v>
      </c>
      <c r="CQ800" s="2">
        <f t="shared" si="713"/>
        <v>0</v>
      </c>
      <c r="CR800" s="2">
        <f t="shared" si="713"/>
        <v>0</v>
      </c>
      <c r="CS800" s="2">
        <f t="shared" si="713"/>
        <v>0</v>
      </c>
      <c r="CT800" s="2">
        <f t="shared" si="713"/>
        <v>0</v>
      </c>
      <c r="CU800" s="2">
        <f t="shared" si="713"/>
        <v>0</v>
      </c>
      <c r="CV800" s="2">
        <f t="shared" si="713"/>
        <v>0</v>
      </c>
      <c r="CW800" s="2">
        <f t="shared" si="713"/>
        <v>0</v>
      </c>
      <c r="CX800" s="2">
        <f t="shared" si="713"/>
        <v>0</v>
      </c>
      <c r="CY800" s="2">
        <f t="shared" si="713"/>
        <v>0</v>
      </c>
      <c r="CZ800" s="2">
        <f t="shared" si="713"/>
        <v>0</v>
      </c>
      <c r="DA800" s="2">
        <f t="shared" si="713"/>
        <v>0</v>
      </c>
      <c r="DB800" s="2">
        <f t="shared" si="713"/>
        <v>0</v>
      </c>
      <c r="DC800" s="2">
        <f t="shared" si="713"/>
        <v>0</v>
      </c>
      <c r="DD800" s="2">
        <f t="shared" si="713"/>
        <v>0</v>
      </c>
      <c r="DE800" s="2">
        <f t="shared" si="713"/>
        <v>0</v>
      </c>
      <c r="DF800" s="2">
        <f t="shared" si="713"/>
        <v>0</v>
      </c>
      <c r="DG800" s="3">
        <f t="shared" ref="DG800:EL800" si="714">DG816</f>
        <v>0</v>
      </c>
      <c r="DH800" s="3">
        <f t="shared" si="714"/>
        <v>0</v>
      </c>
      <c r="DI800" s="3">
        <f t="shared" si="714"/>
        <v>0</v>
      </c>
      <c r="DJ800" s="3">
        <f t="shared" si="714"/>
        <v>0</v>
      </c>
      <c r="DK800" s="3">
        <f t="shared" si="714"/>
        <v>0</v>
      </c>
      <c r="DL800" s="3">
        <f t="shared" si="714"/>
        <v>0</v>
      </c>
      <c r="DM800" s="3">
        <f t="shared" si="714"/>
        <v>0</v>
      </c>
      <c r="DN800" s="3">
        <f t="shared" si="714"/>
        <v>0</v>
      </c>
      <c r="DO800" s="3">
        <f t="shared" si="714"/>
        <v>0</v>
      </c>
      <c r="DP800" s="3">
        <f t="shared" si="714"/>
        <v>0</v>
      </c>
      <c r="DQ800" s="3">
        <f t="shared" si="714"/>
        <v>0</v>
      </c>
      <c r="DR800" s="3">
        <f t="shared" si="714"/>
        <v>0</v>
      </c>
      <c r="DS800" s="3">
        <f t="shared" si="714"/>
        <v>0</v>
      </c>
      <c r="DT800" s="3">
        <f t="shared" si="714"/>
        <v>0</v>
      </c>
      <c r="DU800" s="3">
        <f t="shared" si="714"/>
        <v>0</v>
      </c>
      <c r="DV800" s="3">
        <f t="shared" si="714"/>
        <v>0</v>
      </c>
      <c r="DW800" s="3">
        <f t="shared" si="714"/>
        <v>0</v>
      </c>
      <c r="DX800" s="3">
        <f t="shared" si="714"/>
        <v>0</v>
      </c>
      <c r="DY800" s="3">
        <f t="shared" si="714"/>
        <v>0</v>
      </c>
      <c r="DZ800" s="3">
        <f t="shared" si="714"/>
        <v>0</v>
      </c>
      <c r="EA800" s="3">
        <f t="shared" si="714"/>
        <v>0</v>
      </c>
      <c r="EB800" s="3">
        <f t="shared" si="714"/>
        <v>0</v>
      </c>
      <c r="EC800" s="3">
        <f t="shared" si="714"/>
        <v>0</v>
      </c>
      <c r="ED800" s="3">
        <f t="shared" si="714"/>
        <v>0</v>
      </c>
      <c r="EE800" s="3">
        <f t="shared" si="714"/>
        <v>0</v>
      </c>
      <c r="EF800" s="3">
        <f t="shared" si="714"/>
        <v>0</v>
      </c>
      <c r="EG800" s="3">
        <f t="shared" si="714"/>
        <v>0</v>
      </c>
      <c r="EH800" s="3">
        <f t="shared" si="714"/>
        <v>0</v>
      </c>
      <c r="EI800" s="3">
        <f t="shared" si="714"/>
        <v>0</v>
      </c>
      <c r="EJ800" s="3">
        <f t="shared" si="714"/>
        <v>0</v>
      </c>
      <c r="EK800" s="3">
        <f t="shared" si="714"/>
        <v>0</v>
      </c>
      <c r="EL800" s="3">
        <f t="shared" si="714"/>
        <v>0</v>
      </c>
      <c r="EM800" s="3">
        <f t="shared" ref="EM800:FR800" si="715">EM816</f>
        <v>0</v>
      </c>
      <c r="EN800" s="3">
        <f t="shared" si="715"/>
        <v>0</v>
      </c>
      <c r="EO800" s="3">
        <f t="shared" si="715"/>
        <v>0</v>
      </c>
      <c r="EP800" s="3">
        <f t="shared" si="715"/>
        <v>0</v>
      </c>
      <c r="EQ800" s="3">
        <f t="shared" si="715"/>
        <v>0</v>
      </c>
      <c r="ER800" s="3">
        <f t="shared" si="715"/>
        <v>0</v>
      </c>
      <c r="ES800" s="3">
        <f t="shared" si="715"/>
        <v>0</v>
      </c>
      <c r="ET800" s="3">
        <f t="shared" si="715"/>
        <v>0</v>
      </c>
      <c r="EU800" s="3">
        <f t="shared" si="715"/>
        <v>0</v>
      </c>
      <c r="EV800" s="3">
        <f t="shared" si="715"/>
        <v>0</v>
      </c>
      <c r="EW800" s="3">
        <f t="shared" si="715"/>
        <v>0</v>
      </c>
      <c r="EX800" s="3">
        <f t="shared" si="715"/>
        <v>0</v>
      </c>
      <c r="EY800" s="3">
        <f t="shared" si="715"/>
        <v>0</v>
      </c>
      <c r="EZ800" s="3">
        <f t="shared" si="715"/>
        <v>0</v>
      </c>
      <c r="FA800" s="3">
        <f t="shared" si="715"/>
        <v>0</v>
      </c>
      <c r="FB800" s="3">
        <f t="shared" si="715"/>
        <v>0</v>
      </c>
      <c r="FC800" s="3">
        <f t="shared" si="715"/>
        <v>0</v>
      </c>
      <c r="FD800" s="3">
        <f t="shared" si="715"/>
        <v>0</v>
      </c>
      <c r="FE800" s="3">
        <f t="shared" si="715"/>
        <v>0</v>
      </c>
      <c r="FF800" s="3">
        <f t="shared" si="715"/>
        <v>0</v>
      </c>
      <c r="FG800" s="3">
        <f t="shared" si="715"/>
        <v>0</v>
      </c>
      <c r="FH800" s="3">
        <f t="shared" si="715"/>
        <v>0</v>
      </c>
      <c r="FI800" s="3">
        <f t="shared" si="715"/>
        <v>0</v>
      </c>
      <c r="FJ800" s="3">
        <f t="shared" si="715"/>
        <v>0</v>
      </c>
      <c r="FK800" s="3">
        <f t="shared" si="715"/>
        <v>0</v>
      </c>
      <c r="FL800" s="3">
        <f t="shared" si="715"/>
        <v>0</v>
      </c>
      <c r="FM800" s="3">
        <f t="shared" si="715"/>
        <v>0</v>
      </c>
      <c r="FN800" s="3">
        <f t="shared" si="715"/>
        <v>0</v>
      </c>
      <c r="FO800" s="3">
        <f t="shared" si="715"/>
        <v>0</v>
      </c>
      <c r="FP800" s="3">
        <f t="shared" si="715"/>
        <v>0</v>
      </c>
      <c r="FQ800" s="3">
        <f t="shared" si="715"/>
        <v>0</v>
      </c>
      <c r="FR800" s="3">
        <f t="shared" si="715"/>
        <v>0</v>
      </c>
      <c r="FS800" s="3">
        <f t="shared" ref="FS800:GX800" si="716">FS816</f>
        <v>0</v>
      </c>
      <c r="FT800" s="3">
        <f t="shared" si="716"/>
        <v>0</v>
      </c>
      <c r="FU800" s="3">
        <f t="shared" si="716"/>
        <v>0</v>
      </c>
      <c r="FV800" s="3">
        <f t="shared" si="716"/>
        <v>0</v>
      </c>
      <c r="FW800" s="3">
        <f t="shared" si="716"/>
        <v>0</v>
      </c>
      <c r="FX800" s="3">
        <f t="shared" si="716"/>
        <v>0</v>
      </c>
      <c r="FY800" s="3">
        <f t="shared" si="716"/>
        <v>0</v>
      </c>
      <c r="FZ800" s="3">
        <f t="shared" si="716"/>
        <v>0</v>
      </c>
      <c r="GA800" s="3">
        <f t="shared" si="716"/>
        <v>0</v>
      </c>
      <c r="GB800" s="3">
        <f t="shared" si="716"/>
        <v>0</v>
      </c>
      <c r="GC800" s="3">
        <f t="shared" si="716"/>
        <v>0</v>
      </c>
      <c r="GD800" s="3">
        <f t="shared" si="716"/>
        <v>0</v>
      </c>
      <c r="GE800" s="3">
        <f t="shared" si="716"/>
        <v>0</v>
      </c>
      <c r="GF800" s="3">
        <f t="shared" si="716"/>
        <v>0</v>
      </c>
      <c r="GG800" s="3">
        <f t="shared" si="716"/>
        <v>0</v>
      </c>
      <c r="GH800" s="3">
        <f t="shared" si="716"/>
        <v>0</v>
      </c>
      <c r="GI800" s="3">
        <f t="shared" si="716"/>
        <v>0</v>
      </c>
      <c r="GJ800" s="3">
        <f t="shared" si="716"/>
        <v>0</v>
      </c>
      <c r="GK800" s="3">
        <f t="shared" si="716"/>
        <v>0</v>
      </c>
      <c r="GL800" s="3">
        <f t="shared" si="716"/>
        <v>0</v>
      </c>
      <c r="GM800" s="3">
        <f t="shared" si="716"/>
        <v>0</v>
      </c>
      <c r="GN800" s="3">
        <f t="shared" si="716"/>
        <v>0</v>
      </c>
      <c r="GO800" s="3">
        <f t="shared" si="716"/>
        <v>0</v>
      </c>
      <c r="GP800" s="3">
        <f t="shared" si="716"/>
        <v>0</v>
      </c>
      <c r="GQ800" s="3">
        <f t="shared" si="716"/>
        <v>0</v>
      </c>
      <c r="GR800" s="3">
        <f t="shared" si="716"/>
        <v>0</v>
      </c>
      <c r="GS800" s="3">
        <f t="shared" si="716"/>
        <v>0</v>
      </c>
      <c r="GT800" s="3">
        <f t="shared" si="716"/>
        <v>0</v>
      </c>
      <c r="GU800" s="3">
        <f t="shared" si="716"/>
        <v>0</v>
      </c>
      <c r="GV800" s="3">
        <f t="shared" si="716"/>
        <v>0</v>
      </c>
      <c r="GW800" s="3">
        <f t="shared" si="716"/>
        <v>0</v>
      </c>
      <c r="GX800" s="3">
        <f t="shared" si="716"/>
        <v>0</v>
      </c>
    </row>
    <row r="802" spans="1:245" x14ac:dyDescent="0.2">
      <c r="A802">
        <v>19</v>
      </c>
      <c r="B802">
        <v>1</v>
      </c>
      <c r="F802" t="s">
        <v>3</v>
      </c>
      <c r="G802" t="s">
        <v>574</v>
      </c>
      <c r="H802" t="s">
        <v>3</v>
      </c>
      <c r="AA802">
        <v>1</v>
      </c>
      <c r="IK802">
        <v>0</v>
      </c>
    </row>
    <row r="803" spans="1:245" x14ac:dyDescent="0.2">
      <c r="A803">
        <v>17</v>
      </c>
      <c r="B803">
        <v>1</v>
      </c>
      <c r="D803">
        <f>ROW(EtalonRes!A611)</f>
        <v>611</v>
      </c>
      <c r="E803" t="s">
        <v>575</v>
      </c>
      <c r="F803" t="s">
        <v>576</v>
      </c>
      <c r="G803" t="s">
        <v>577</v>
      </c>
      <c r="H803" t="s">
        <v>32</v>
      </c>
      <c r="I803">
        <f>ROUND(1+1+1+1,9)</f>
        <v>4</v>
      </c>
      <c r="J803">
        <v>0</v>
      </c>
      <c r="K803">
        <f>ROUND(1+1+1+1,9)</f>
        <v>4</v>
      </c>
      <c r="O803">
        <f t="shared" ref="O803:O814" si="717">ROUND(CP803,2)</f>
        <v>15040.04</v>
      </c>
      <c r="P803">
        <f t="shared" ref="P803:P814" si="718">ROUND(CQ803*I803,2)</f>
        <v>220.28</v>
      </c>
      <c r="Q803">
        <f t="shared" ref="Q803:Q814" si="719">ROUND(CR803*I803,2)</f>
        <v>0</v>
      </c>
      <c r="R803">
        <f t="shared" ref="R803:R814" si="720">ROUND(CS803*I803,2)</f>
        <v>0</v>
      </c>
      <c r="S803">
        <f t="shared" ref="S803:S814" si="721">ROUND(CT803*I803,2)</f>
        <v>14819.76</v>
      </c>
      <c r="T803">
        <f t="shared" ref="T803:T814" si="722">ROUND(CU803*I803,2)</f>
        <v>0</v>
      </c>
      <c r="U803">
        <f t="shared" ref="U803:U814" si="723">CV803*I803</f>
        <v>24</v>
      </c>
      <c r="V803">
        <f t="shared" ref="V803:V814" si="724">CW803*I803</f>
        <v>0</v>
      </c>
      <c r="W803">
        <f t="shared" ref="W803:W814" si="725">ROUND(CX803*I803,2)</f>
        <v>0</v>
      </c>
      <c r="X803">
        <f t="shared" ref="X803:X814" si="726">ROUND(CY803,2)</f>
        <v>10373.83</v>
      </c>
      <c r="Y803">
        <f t="shared" ref="Y803:Y814" si="727">ROUND(CZ803,2)</f>
        <v>1481.98</v>
      </c>
      <c r="AA803">
        <v>1472224561</v>
      </c>
      <c r="AB803">
        <f t="shared" ref="AB803:AB814" si="728">ROUND((AC803+AD803+AF803),6)</f>
        <v>3760.01</v>
      </c>
      <c r="AC803">
        <f>ROUND((ES803),6)</f>
        <v>55.07</v>
      </c>
      <c r="AD803">
        <f>ROUND((((ET803)-(EU803))+AE803),6)</f>
        <v>0</v>
      </c>
      <c r="AE803">
        <f>ROUND((EU803),6)</f>
        <v>0</v>
      </c>
      <c r="AF803">
        <f>ROUND((EV803),6)</f>
        <v>3704.94</v>
      </c>
      <c r="AG803">
        <f t="shared" ref="AG803:AG814" si="729">ROUND((AP803),6)</f>
        <v>0</v>
      </c>
      <c r="AH803">
        <f>(EW803)</f>
        <v>6</v>
      </c>
      <c r="AI803">
        <f>(EX803)</f>
        <v>0</v>
      </c>
      <c r="AJ803">
        <f t="shared" ref="AJ803:AJ814" si="730">(AS803)</f>
        <v>0</v>
      </c>
      <c r="AK803">
        <v>3760.01</v>
      </c>
      <c r="AL803">
        <v>55.07</v>
      </c>
      <c r="AM803">
        <v>0</v>
      </c>
      <c r="AN803">
        <v>0</v>
      </c>
      <c r="AO803">
        <v>3704.94</v>
      </c>
      <c r="AP803">
        <v>0</v>
      </c>
      <c r="AQ803">
        <v>6</v>
      </c>
      <c r="AR803">
        <v>0</v>
      </c>
      <c r="AS803">
        <v>0</v>
      </c>
      <c r="AT803">
        <v>70</v>
      </c>
      <c r="AU803">
        <v>10</v>
      </c>
      <c r="AV803">
        <v>1</v>
      </c>
      <c r="AW803">
        <v>1</v>
      </c>
      <c r="AZ803">
        <v>1</v>
      </c>
      <c r="BA803">
        <v>1</v>
      </c>
      <c r="BB803">
        <v>1</v>
      </c>
      <c r="BC803">
        <v>1</v>
      </c>
      <c r="BD803" t="s">
        <v>3</v>
      </c>
      <c r="BE803" t="s">
        <v>3</v>
      </c>
      <c r="BF803" t="s">
        <v>3</v>
      </c>
      <c r="BG803" t="s">
        <v>3</v>
      </c>
      <c r="BH803">
        <v>0</v>
      </c>
      <c r="BI803">
        <v>4</v>
      </c>
      <c r="BJ803" t="s">
        <v>578</v>
      </c>
      <c r="BM803">
        <v>0</v>
      </c>
      <c r="BN803">
        <v>0</v>
      </c>
      <c r="BO803" t="s">
        <v>3</v>
      </c>
      <c r="BP803">
        <v>0</v>
      </c>
      <c r="BQ803">
        <v>1</v>
      </c>
      <c r="BR803">
        <v>0</v>
      </c>
      <c r="BS803">
        <v>1</v>
      </c>
      <c r="BT803">
        <v>1</v>
      </c>
      <c r="BU803">
        <v>1</v>
      </c>
      <c r="BV803">
        <v>1</v>
      </c>
      <c r="BW803">
        <v>1</v>
      </c>
      <c r="BX803">
        <v>1</v>
      </c>
      <c r="BY803" t="s">
        <v>3</v>
      </c>
      <c r="BZ803">
        <v>70</v>
      </c>
      <c r="CA803">
        <v>10</v>
      </c>
      <c r="CB803" t="s">
        <v>3</v>
      </c>
      <c r="CE803">
        <v>0</v>
      </c>
      <c r="CF803">
        <v>0</v>
      </c>
      <c r="CG803">
        <v>0</v>
      </c>
      <c r="CM803">
        <v>0</v>
      </c>
      <c r="CN803" t="s">
        <v>3</v>
      </c>
      <c r="CO803">
        <v>0</v>
      </c>
      <c r="CP803">
        <f t="shared" ref="CP803:CP814" si="731">(P803+Q803+S803)</f>
        <v>15040.04</v>
      </c>
      <c r="CQ803">
        <f t="shared" ref="CQ803:CQ814" si="732">(AC803*BC803*AW803)</f>
        <v>55.07</v>
      </c>
      <c r="CR803">
        <f>((((ET803)*BB803-(EU803)*BS803)+AE803*BS803)*AV803)</f>
        <v>0</v>
      </c>
      <c r="CS803">
        <f t="shared" ref="CS803:CS814" si="733">(AE803*BS803*AV803)</f>
        <v>0</v>
      </c>
      <c r="CT803">
        <f t="shared" ref="CT803:CT814" si="734">(AF803*BA803*AV803)</f>
        <v>3704.94</v>
      </c>
      <c r="CU803">
        <f t="shared" ref="CU803:CU814" si="735">AG803</f>
        <v>0</v>
      </c>
      <c r="CV803">
        <f t="shared" ref="CV803:CV814" si="736">(AH803*AV803)</f>
        <v>6</v>
      </c>
      <c r="CW803">
        <f t="shared" ref="CW803:CW814" si="737">AI803</f>
        <v>0</v>
      </c>
      <c r="CX803">
        <f t="shared" ref="CX803:CX814" si="738">AJ803</f>
        <v>0</v>
      </c>
      <c r="CY803">
        <f t="shared" ref="CY803:CY814" si="739">((S803*BZ803)/100)</f>
        <v>10373.832</v>
      </c>
      <c r="CZ803">
        <f t="shared" ref="CZ803:CZ814" si="740">((S803*CA803)/100)</f>
        <v>1481.9760000000001</v>
      </c>
      <c r="DC803" t="s">
        <v>3</v>
      </c>
      <c r="DD803" t="s">
        <v>3</v>
      </c>
      <c r="DE803" t="s">
        <v>3</v>
      </c>
      <c r="DF803" t="s">
        <v>3</v>
      </c>
      <c r="DG803" t="s">
        <v>3</v>
      </c>
      <c r="DH803" t="s">
        <v>3</v>
      </c>
      <c r="DI803" t="s">
        <v>3</v>
      </c>
      <c r="DJ803" t="s">
        <v>3</v>
      </c>
      <c r="DK803" t="s">
        <v>3</v>
      </c>
      <c r="DL803" t="s">
        <v>3</v>
      </c>
      <c r="DM803" t="s">
        <v>3</v>
      </c>
      <c r="DN803">
        <v>0</v>
      </c>
      <c r="DO803">
        <v>0</v>
      </c>
      <c r="DP803">
        <v>1</v>
      </c>
      <c r="DQ803">
        <v>1</v>
      </c>
      <c r="DU803">
        <v>16987630</v>
      </c>
      <c r="DV803" t="s">
        <v>32</v>
      </c>
      <c r="DW803" t="s">
        <v>32</v>
      </c>
      <c r="DX803">
        <v>1</v>
      </c>
      <c r="DZ803" t="s">
        <v>3</v>
      </c>
      <c r="EA803" t="s">
        <v>3</v>
      </c>
      <c r="EB803" t="s">
        <v>3</v>
      </c>
      <c r="EC803" t="s">
        <v>3</v>
      </c>
      <c r="EE803">
        <v>1441815344</v>
      </c>
      <c r="EF803">
        <v>1</v>
      </c>
      <c r="EG803" t="s">
        <v>23</v>
      </c>
      <c r="EH803">
        <v>0</v>
      </c>
      <c r="EI803" t="s">
        <v>3</v>
      </c>
      <c r="EJ803">
        <v>4</v>
      </c>
      <c r="EK803">
        <v>0</v>
      </c>
      <c r="EL803" t="s">
        <v>24</v>
      </c>
      <c r="EM803" t="s">
        <v>25</v>
      </c>
      <c r="EO803" t="s">
        <v>3</v>
      </c>
      <c r="EQ803">
        <v>0</v>
      </c>
      <c r="ER803">
        <v>3760.01</v>
      </c>
      <c r="ES803">
        <v>55.07</v>
      </c>
      <c r="ET803">
        <v>0</v>
      </c>
      <c r="EU803">
        <v>0</v>
      </c>
      <c r="EV803">
        <v>3704.94</v>
      </c>
      <c r="EW803">
        <v>6</v>
      </c>
      <c r="EX803">
        <v>0</v>
      </c>
      <c r="EY803">
        <v>0</v>
      </c>
      <c r="FQ803">
        <v>0</v>
      </c>
      <c r="FR803">
        <f t="shared" ref="FR803:FR814" si="741">ROUND(IF(BI803=3,GM803,0),2)</f>
        <v>0</v>
      </c>
      <c r="FS803">
        <v>0</v>
      </c>
      <c r="FX803">
        <v>70</v>
      </c>
      <c r="FY803">
        <v>10</v>
      </c>
      <c r="GA803" t="s">
        <v>3</v>
      </c>
      <c r="GD803">
        <v>0</v>
      </c>
      <c r="GF803">
        <v>1516514397</v>
      </c>
      <c r="GG803">
        <v>2</v>
      </c>
      <c r="GH803">
        <v>1</v>
      </c>
      <c r="GI803">
        <v>-2</v>
      </c>
      <c r="GJ803">
        <v>0</v>
      </c>
      <c r="GK803">
        <f>ROUND(R803*(R12)/100,2)</f>
        <v>0</v>
      </c>
      <c r="GL803">
        <f t="shared" ref="GL803:GL814" si="742">ROUND(IF(AND(BH803=3,BI803=3,FS803&lt;&gt;0),P803,0),2)</f>
        <v>0</v>
      </c>
      <c r="GM803">
        <f t="shared" ref="GM803:GM814" si="743">ROUND(O803+X803+Y803+GK803,2)+GX803</f>
        <v>26895.85</v>
      </c>
      <c r="GN803">
        <f t="shared" ref="GN803:GN814" si="744">IF(OR(BI803=0,BI803=1),GM803-GX803,0)</f>
        <v>0</v>
      </c>
      <c r="GO803">
        <f t="shared" ref="GO803:GO814" si="745">IF(BI803=2,GM803-GX803,0)</f>
        <v>0</v>
      </c>
      <c r="GP803">
        <f t="shared" ref="GP803:GP814" si="746">IF(BI803=4,GM803-GX803,0)</f>
        <v>26895.85</v>
      </c>
      <c r="GR803">
        <v>0</v>
      </c>
      <c r="GS803">
        <v>3</v>
      </c>
      <c r="GT803">
        <v>0</v>
      </c>
      <c r="GU803" t="s">
        <v>3</v>
      </c>
      <c r="GV803">
        <f t="shared" ref="GV803:GV814" si="747">ROUND((GT803),6)</f>
        <v>0</v>
      </c>
      <c r="GW803">
        <v>1</v>
      </c>
      <c r="GX803">
        <f t="shared" ref="GX803:GX814" si="748">ROUND(HC803*I803,2)</f>
        <v>0</v>
      </c>
      <c r="HA803">
        <v>0</v>
      </c>
      <c r="HB803">
        <v>0</v>
      </c>
      <c r="HC803">
        <f t="shared" ref="HC803:HC814" si="749">GV803*GW803</f>
        <v>0</v>
      </c>
      <c r="HE803" t="s">
        <v>3</v>
      </c>
      <c r="HF803" t="s">
        <v>3</v>
      </c>
      <c r="HM803" t="s">
        <v>3</v>
      </c>
      <c r="HN803" t="s">
        <v>3</v>
      </c>
      <c r="HO803" t="s">
        <v>3</v>
      </c>
      <c r="HP803" t="s">
        <v>3</v>
      </c>
      <c r="HQ803" t="s">
        <v>3</v>
      </c>
      <c r="IK803">
        <v>0</v>
      </c>
    </row>
    <row r="804" spans="1:245" x14ac:dyDescent="0.2">
      <c r="A804">
        <v>17</v>
      </c>
      <c r="B804">
        <v>1</v>
      </c>
      <c r="D804">
        <f>ROW(EtalonRes!A614)</f>
        <v>614</v>
      </c>
      <c r="E804" t="s">
        <v>3</v>
      </c>
      <c r="F804" t="s">
        <v>579</v>
      </c>
      <c r="G804" t="s">
        <v>580</v>
      </c>
      <c r="H804" t="s">
        <v>32</v>
      </c>
      <c r="I804">
        <f>ROUND(1+1+1+1,9)</f>
        <v>4</v>
      </c>
      <c r="J804">
        <v>0</v>
      </c>
      <c r="K804">
        <f>ROUND(1+1+1+1,9)</f>
        <v>4</v>
      </c>
      <c r="O804">
        <f t="shared" si="717"/>
        <v>1494.6</v>
      </c>
      <c r="P804">
        <f t="shared" si="718"/>
        <v>12.6</v>
      </c>
      <c r="Q804">
        <f t="shared" si="719"/>
        <v>0</v>
      </c>
      <c r="R804">
        <f t="shared" si="720"/>
        <v>0</v>
      </c>
      <c r="S804">
        <f t="shared" si="721"/>
        <v>1482</v>
      </c>
      <c r="T804">
        <f t="shared" si="722"/>
        <v>0</v>
      </c>
      <c r="U804">
        <f t="shared" si="723"/>
        <v>2.4000000000000004</v>
      </c>
      <c r="V804">
        <f t="shared" si="724"/>
        <v>0</v>
      </c>
      <c r="W804">
        <f t="shared" si="725"/>
        <v>0</v>
      </c>
      <c r="X804">
        <f t="shared" si="726"/>
        <v>1037.4000000000001</v>
      </c>
      <c r="Y804">
        <f t="shared" si="727"/>
        <v>148.19999999999999</v>
      </c>
      <c r="AA804">
        <v>-1</v>
      </c>
      <c r="AB804">
        <f t="shared" si="728"/>
        <v>373.65</v>
      </c>
      <c r="AC804">
        <f>ROUND(((ES804*3)),6)</f>
        <v>3.15</v>
      </c>
      <c r="AD804">
        <f>ROUND(((((ET804*3))-((EU804*3)))+AE804),6)</f>
        <v>0</v>
      </c>
      <c r="AE804">
        <f>ROUND(((EU804*3)),6)</f>
        <v>0</v>
      </c>
      <c r="AF804">
        <f>ROUND(((EV804*3)),6)</f>
        <v>370.5</v>
      </c>
      <c r="AG804">
        <f t="shared" si="729"/>
        <v>0</v>
      </c>
      <c r="AH804">
        <f>((EW804*3))</f>
        <v>0.60000000000000009</v>
      </c>
      <c r="AI804">
        <f>((EX804*3))</f>
        <v>0</v>
      </c>
      <c r="AJ804">
        <f t="shared" si="730"/>
        <v>0</v>
      </c>
      <c r="AK804">
        <v>124.55</v>
      </c>
      <c r="AL804">
        <v>1.05</v>
      </c>
      <c r="AM804">
        <v>0</v>
      </c>
      <c r="AN804">
        <v>0</v>
      </c>
      <c r="AO804">
        <v>123.5</v>
      </c>
      <c r="AP804">
        <v>0</v>
      </c>
      <c r="AQ804">
        <v>0.2</v>
      </c>
      <c r="AR804">
        <v>0</v>
      </c>
      <c r="AS804">
        <v>0</v>
      </c>
      <c r="AT804">
        <v>70</v>
      </c>
      <c r="AU804">
        <v>10</v>
      </c>
      <c r="AV804">
        <v>1</v>
      </c>
      <c r="AW804">
        <v>1</v>
      </c>
      <c r="AZ804">
        <v>1</v>
      </c>
      <c r="BA804">
        <v>1</v>
      </c>
      <c r="BB804">
        <v>1</v>
      </c>
      <c r="BC804">
        <v>1</v>
      </c>
      <c r="BD804" t="s">
        <v>3</v>
      </c>
      <c r="BE804" t="s">
        <v>3</v>
      </c>
      <c r="BF804" t="s">
        <v>3</v>
      </c>
      <c r="BG804" t="s">
        <v>3</v>
      </c>
      <c r="BH804">
        <v>0</v>
      </c>
      <c r="BI804">
        <v>4</v>
      </c>
      <c r="BJ804" t="s">
        <v>581</v>
      </c>
      <c r="BM804">
        <v>0</v>
      </c>
      <c r="BN804">
        <v>0</v>
      </c>
      <c r="BO804" t="s">
        <v>3</v>
      </c>
      <c r="BP804">
        <v>0</v>
      </c>
      <c r="BQ804">
        <v>1</v>
      </c>
      <c r="BR804">
        <v>0</v>
      </c>
      <c r="BS804">
        <v>1</v>
      </c>
      <c r="BT804">
        <v>1</v>
      </c>
      <c r="BU804">
        <v>1</v>
      </c>
      <c r="BV804">
        <v>1</v>
      </c>
      <c r="BW804">
        <v>1</v>
      </c>
      <c r="BX804">
        <v>1</v>
      </c>
      <c r="BY804" t="s">
        <v>3</v>
      </c>
      <c r="BZ804">
        <v>70</v>
      </c>
      <c r="CA804">
        <v>10</v>
      </c>
      <c r="CB804" t="s">
        <v>3</v>
      </c>
      <c r="CE804">
        <v>0</v>
      </c>
      <c r="CF804">
        <v>0</v>
      </c>
      <c r="CG804">
        <v>0</v>
      </c>
      <c r="CM804">
        <v>0</v>
      </c>
      <c r="CN804" t="s">
        <v>3</v>
      </c>
      <c r="CO804">
        <v>0</v>
      </c>
      <c r="CP804">
        <f t="shared" si="731"/>
        <v>1494.6</v>
      </c>
      <c r="CQ804">
        <f t="shared" si="732"/>
        <v>3.15</v>
      </c>
      <c r="CR804">
        <f>(((((ET804*3))*BB804-((EU804*3))*BS804)+AE804*BS804)*AV804)</f>
        <v>0</v>
      </c>
      <c r="CS804">
        <f t="shared" si="733"/>
        <v>0</v>
      </c>
      <c r="CT804">
        <f t="shared" si="734"/>
        <v>370.5</v>
      </c>
      <c r="CU804">
        <f t="shared" si="735"/>
        <v>0</v>
      </c>
      <c r="CV804">
        <f t="shared" si="736"/>
        <v>0.60000000000000009</v>
      </c>
      <c r="CW804">
        <f t="shared" si="737"/>
        <v>0</v>
      </c>
      <c r="CX804">
        <f t="shared" si="738"/>
        <v>0</v>
      </c>
      <c r="CY804">
        <f t="shared" si="739"/>
        <v>1037.4000000000001</v>
      </c>
      <c r="CZ804">
        <f t="shared" si="740"/>
        <v>148.19999999999999</v>
      </c>
      <c r="DC804" t="s">
        <v>3</v>
      </c>
      <c r="DD804" t="s">
        <v>290</v>
      </c>
      <c r="DE804" t="s">
        <v>290</v>
      </c>
      <c r="DF804" t="s">
        <v>290</v>
      </c>
      <c r="DG804" t="s">
        <v>290</v>
      </c>
      <c r="DH804" t="s">
        <v>3</v>
      </c>
      <c r="DI804" t="s">
        <v>290</v>
      </c>
      <c r="DJ804" t="s">
        <v>290</v>
      </c>
      <c r="DK804" t="s">
        <v>3</v>
      </c>
      <c r="DL804" t="s">
        <v>3</v>
      </c>
      <c r="DM804" t="s">
        <v>3</v>
      </c>
      <c r="DN804">
        <v>0</v>
      </c>
      <c r="DO804">
        <v>0</v>
      </c>
      <c r="DP804">
        <v>1</v>
      </c>
      <c r="DQ804">
        <v>1</v>
      </c>
      <c r="DU804">
        <v>16987630</v>
      </c>
      <c r="DV804" t="s">
        <v>32</v>
      </c>
      <c r="DW804" t="s">
        <v>32</v>
      </c>
      <c r="DX804">
        <v>1</v>
      </c>
      <c r="DZ804" t="s">
        <v>3</v>
      </c>
      <c r="EA804" t="s">
        <v>3</v>
      </c>
      <c r="EB804" t="s">
        <v>3</v>
      </c>
      <c r="EC804" t="s">
        <v>3</v>
      </c>
      <c r="EE804">
        <v>1441815344</v>
      </c>
      <c r="EF804">
        <v>1</v>
      </c>
      <c r="EG804" t="s">
        <v>23</v>
      </c>
      <c r="EH804">
        <v>0</v>
      </c>
      <c r="EI804" t="s">
        <v>3</v>
      </c>
      <c r="EJ804">
        <v>4</v>
      </c>
      <c r="EK804">
        <v>0</v>
      </c>
      <c r="EL804" t="s">
        <v>24</v>
      </c>
      <c r="EM804" t="s">
        <v>25</v>
      </c>
      <c r="EO804" t="s">
        <v>3</v>
      </c>
      <c r="EQ804">
        <v>1024</v>
      </c>
      <c r="ER804">
        <v>124.55</v>
      </c>
      <c r="ES804">
        <v>1.05</v>
      </c>
      <c r="ET804">
        <v>0</v>
      </c>
      <c r="EU804">
        <v>0</v>
      </c>
      <c r="EV804">
        <v>123.5</v>
      </c>
      <c r="EW804">
        <v>0.2</v>
      </c>
      <c r="EX804">
        <v>0</v>
      </c>
      <c r="EY804">
        <v>0</v>
      </c>
      <c r="FQ804">
        <v>0</v>
      </c>
      <c r="FR804">
        <f t="shared" si="741"/>
        <v>0</v>
      </c>
      <c r="FS804">
        <v>0</v>
      </c>
      <c r="FX804">
        <v>70</v>
      </c>
      <c r="FY804">
        <v>10</v>
      </c>
      <c r="GA804" t="s">
        <v>3</v>
      </c>
      <c r="GD804">
        <v>0</v>
      </c>
      <c r="GF804">
        <v>905480896</v>
      </c>
      <c r="GG804">
        <v>2</v>
      </c>
      <c r="GH804">
        <v>1</v>
      </c>
      <c r="GI804">
        <v>-2</v>
      </c>
      <c r="GJ804">
        <v>0</v>
      </c>
      <c r="GK804">
        <f>ROUND(R804*(R12)/100,2)</f>
        <v>0</v>
      </c>
      <c r="GL804">
        <f t="shared" si="742"/>
        <v>0</v>
      </c>
      <c r="GM804">
        <f t="shared" si="743"/>
        <v>2680.2</v>
      </c>
      <c r="GN804">
        <f t="shared" si="744"/>
        <v>0</v>
      </c>
      <c r="GO804">
        <f t="shared" si="745"/>
        <v>0</v>
      </c>
      <c r="GP804">
        <f t="shared" si="746"/>
        <v>2680.2</v>
      </c>
      <c r="GR804">
        <v>0</v>
      </c>
      <c r="GS804">
        <v>3</v>
      </c>
      <c r="GT804">
        <v>0</v>
      </c>
      <c r="GU804" t="s">
        <v>3</v>
      </c>
      <c r="GV804">
        <f t="shared" si="747"/>
        <v>0</v>
      </c>
      <c r="GW804">
        <v>1</v>
      </c>
      <c r="GX804">
        <f t="shared" si="748"/>
        <v>0</v>
      </c>
      <c r="HA804">
        <v>0</v>
      </c>
      <c r="HB804">
        <v>0</v>
      </c>
      <c r="HC804">
        <f t="shared" si="749"/>
        <v>0</v>
      </c>
      <c r="HE804" t="s">
        <v>3</v>
      </c>
      <c r="HF804" t="s">
        <v>3</v>
      </c>
      <c r="HM804" t="s">
        <v>3</v>
      </c>
      <c r="HN804" t="s">
        <v>3</v>
      </c>
      <c r="HO804" t="s">
        <v>3</v>
      </c>
      <c r="HP804" t="s">
        <v>3</v>
      </c>
      <c r="HQ804" t="s">
        <v>3</v>
      </c>
      <c r="IK804">
        <v>0</v>
      </c>
    </row>
    <row r="805" spans="1:245" x14ac:dyDescent="0.2">
      <c r="A805">
        <v>17</v>
      </c>
      <c r="B805">
        <v>1</v>
      </c>
      <c r="D805">
        <f>ROW(EtalonRes!A617)</f>
        <v>617</v>
      </c>
      <c r="E805" t="s">
        <v>582</v>
      </c>
      <c r="F805" t="s">
        <v>583</v>
      </c>
      <c r="G805" t="s">
        <v>584</v>
      </c>
      <c r="H805" t="s">
        <v>32</v>
      </c>
      <c r="I805">
        <f>ROUND(1+1+1+1,9)</f>
        <v>4</v>
      </c>
      <c r="J805">
        <v>0</v>
      </c>
      <c r="K805">
        <f>ROUND(1+1+1+1,9)</f>
        <v>4</v>
      </c>
      <c r="O805">
        <f t="shared" si="717"/>
        <v>5942.24</v>
      </c>
      <c r="P805">
        <f t="shared" si="718"/>
        <v>14.32</v>
      </c>
      <c r="Q805">
        <f t="shared" si="719"/>
        <v>0</v>
      </c>
      <c r="R805">
        <f t="shared" si="720"/>
        <v>0</v>
      </c>
      <c r="S805">
        <f t="shared" si="721"/>
        <v>5927.92</v>
      </c>
      <c r="T805">
        <f t="shared" si="722"/>
        <v>0</v>
      </c>
      <c r="U805">
        <f t="shared" si="723"/>
        <v>9.6</v>
      </c>
      <c r="V805">
        <f t="shared" si="724"/>
        <v>0</v>
      </c>
      <c r="W805">
        <f t="shared" si="725"/>
        <v>0</v>
      </c>
      <c r="X805">
        <f t="shared" si="726"/>
        <v>4149.54</v>
      </c>
      <c r="Y805">
        <f t="shared" si="727"/>
        <v>592.79</v>
      </c>
      <c r="AA805">
        <v>1472224561</v>
      </c>
      <c r="AB805">
        <f t="shared" si="728"/>
        <v>1485.56</v>
      </c>
      <c r="AC805">
        <f>ROUND(((ES805*2)),6)</f>
        <v>3.58</v>
      </c>
      <c r="AD805">
        <f>ROUND(((((ET805*2))-((EU805*2)))+AE805),6)</f>
        <v>0</v>
      </c>
      <c r="AE805">
        <f>ROUND(((EU805*2)),6)</f>
        <v>0</v>
      </c>
      <c r="AF805">
        <f>ROUND(((EV805*2)),6)</f>
        <v>1481.98</v>
      </c>
      <c r="AG805">
        <f t="shared" si="729"/>
        <v>0</v>
      </c>
      <c r="AH805">
        <f>((EW805*2))</f>
        <v>2.4</v>
      </c>
      <c r="AI805">
        <f>((EX805*2))</f>
        <v>0</v>
      </c>
      <c r="AJ805">
        <f t="shared" si="730"/>
        <v>0</v>
      </c>
      <c r="AK805">
        <v>742.78</v>
      </c>
      <c r="AL805">
        <v>1.79</v>
      </c>
      <c r="AM805">
        <v>0</v>
      </c>
      <c r="AN805">
        <v>0</v>
      </c>
      <c r="AO805">
        <v>740.99</v>
      </c>
      <c r="AP805">
        <v>0</v>
      </c>
      <c r="AQ805">
        <v>1.2</v>
      </c>
      <c r="AR805">
        <v>0</v>
      </c>
      <c r="AS805">
        <v>0</v>
      </c>
      <c r="AT805">
        <v>70</v>
      </c>
      <c r="AU805">
        <v>10</v>
      </c>
      <c r="AV805">
        <v>1</v>
      </c>
      <c r="AW805">
        <v>1</v>
      </c>
      <c r="AZ805">
        <v>1</v>
      </c>
      <c r="BA805">
        <v>1</v>
      </c>
      <c r="BB805">
        <v>1</v>
      </c>
      <c r="BC805">
        <v>1</v>
      </c>
      <c r="BD805" t="s">
        <v>3</v>
      </c>
      <c r="BE805" t="s">
        <v>3</v>
      </c>
      <c r="BF805" t="s">
        <v>3</v>
      </c>
      <c r="BG805" t="s">
        <v>3</v>
      </c>
      <c r="BH805">
        <v>0</v>
      </c>
      <c r="BI805">
        <v>4</v>
      </c>
      <c r="BJ805" t="s">
        <v>585</v>
      </c>
      <c r="BM805">
        <v>0</v>
      </c>
      <c r="BN805">
        <v>0</v>
      </c>
      <c r="BO805" t="s">
        <v>3</v>
      </c>
      <c r="BP805">
        <v>0</v>
      </c>
      <c r="BQ805">
        <v>1</v>
      </c>
      <c r="BR805">
        <v>0</v>
      </c>
      <c r="BS805">
        <v>1</v>
      </c>
      <c r="BT805">
        <v>1</v>
      </c>
      <c r="BU805">
        <v>1</v>
      </c>
      <c r="BV805">
        <v>1</v>
      </c>
      <c r="BW805">
        <v>1</v>
      </c>
      <c r="BX805">
        <v>1</v>
      </c>
      <c r="BY805" t="s">
        <v>3</v>
      </c>
      <c r="BZ805">
        <v>70</v>
      </c>
      <c r="CA805">
        <v>10</v>
      </c>
      <c r="CB805" t="s">
        <v>3</v>
      </c>
      <c r="CE805">
        <v>0</v>
      </c>
      <c r="CF805">
        <v>0</v>
      </c>
      <c r="CG805">
        <v>0</v>
      </c>
      <c r="CM805">
        <v>0</v>
      </c>
      <c r="CN805" t="s">
        <v>3</v>
      </c>
      <c r="CO805">
        <v>0</v>
      </c>
      <c r="CP805">
        <f t="shared" si="731"/>
        <v>5942.24</v>
      </c>
      <c r="CQ805">
        <f t="shared" si="732"/>
        <v>3.58</v>
      </c>
      <c r="CR805">
        <f>(((((ET805*2))*BB805-((EU805*2))*BS805)+AE805*BS805)*AV805)</f>
        <v>0</v>
      </c>
      <c r="CS805">
        <f t="shared" si="733"/>
        <v>0</v>
      </c>
      <c r="CT805">
        <f t="shared" si="734"/>
        <v>1481.98</v>
      </c>
      <c r="CU805">
        <f t="shared" si="735"/>
        <v>0</v>
      </c>
      <c r="CV805">
        <f t="shared" si="736"/>
        <v>2.4</v>
      </c>
      <c r="CW805">
        <f t="shared" si="737"/>
        <v>0</v>
      </c>
      <c r="CX805">
        <f t="shared" si="738"/>
        <v>0</v>
      </c>
      <c r="CY805">
        <f t="shared" si="739"/>
        <v>4149.5439999999999</v>
      </c>
      <c r="CZ805">
        <f t="shared" si="740"/>
        <v>592.79199999999992</v>
      </c>
      <c r="DC805" t="s">
        <v>3</v>
      </c>
      <c r="DD805" t="s">
        <v>164</v>
      </c>
      <c r="DE805" t="s">
        <v>164</v>
      </c>
      <c r="DF805" t="s">
        <v>164</v>
      </c>
      <c r="DG805" t="s">
        <v>164</v>
      </c>
      <c r="DH805" t="s">
        <v>3</v>
      </c>
      <c r="DI805" t="s">
        <v>164</v>
      </c>
      <c r="DJ805" t="s">
        <v>164</v>
      </c>
      <c r="DK805" t="s">
        <v>3</v>
      </c>
      <c r="DL805" t="s">
        <v>3</v>
      </c>
      <c r="DM805" t="s">
        <v>3</v>
      </c>
      <c r="DN805">
        <v>0</v>
      </c>
      <c r="DO805">
        <v>0</v>
      </c>
      <c r="DP805">
        <v>1</v>
      </c>
      <c r="DQ805">
        <v>1</v>
      </c>
      <c r="DU805">
        <v>16987630</v>
      </c>
      <c r="DV805" t="s">
        <v>32</v>
      </c>
      <c r="DW805" t="s">
        <v>32</v>
      </c>
      <c r="DX805">
        <v>1</v>
      </c>
      <c r="DZ805" t="s">
        <v>3</v>
      </c>
      <c r="EA805" t="s">
        <v>3</v>
      </c>
      <c r="EB805" t="s">
        <v>3</v>
      </c>
      <c r="EC805" t="s">
        <v>3</v>
      </c>
      <c r="EE805">
        <v>1441815344</v>
      </c>
      <c r="EF805">
        <v>1</v>
      </c>
      <c r="EG805" t="s">
        <v>23</v>
      </c>
      <c r="EH805">
        <v>0</v>
      </c>
      <c r="EI805" t="s">
        <v>3</v>
      </c>
      <c r="EJ805">
        <v>4</v>
      </c>
      <c r="EK805">
        <v>0</v>
      </c>
      <c r="EL805" t="s">
        <v>24</v>
      </c>
      <c r="EM805" t="s">
        <v>25</v>
      </c>
      <c r="EO805" t="s">
        <v>3</v>
      </c>
      <c r="EQ805">
        <v>0</v>
      </c>
      <c r="ER805">
        <v>742.78</v>
      </c>
      <c r="ES805">
        <v>1.79</v>
      </c>
      <c r="ET805">
        <v>0</v>
      </c>
      <c r="EU805">
        <v>0</v>
      </c>
      <c r="EV805">
        <v>740.99</v>
      </c>
      <c r="EW805">
        <v>1.2</v>
      </c>
      <c r="EX805">
        <v>0</v>
      </c>
      <c r="EY805">
        <v>0</v>
      </c>
      <c r="FQ805">
        <v>0</v>
      </c>
      <c r="FR805">
        <f t="shared" si="741"/>
        <v>0</v>
      </c>
      <c r="FS805">
        <v>0</v>
      </c>
      <c r="FX805">
        <v>70</v>
      </c>
      <c r="FY805">
        <v>10</v>
      </c>
      <c r="GA805" t="s">
        <v>3</v>
      </c>
      <c r="GD805">
        <v>0</v>
      </c>
      <c r="GF805">
        <v>-324716219</v>
      </c>
      <c r="GG805">
        <v>2</v>
      </c>
      <c r="GH805">
        <v>1</v>
      </c>
      <c r="GI805">
        <v>-2</v>
      </c>
      <c r="GJ805">
        <v>0</v>
      </c>
      <c r="GK805">
        <f>ROUND(R805*(R12)/100,2)</f>
        <v>0</v>
      </c>
      <c r="GL805">
        <f t="shared" si="742"/>
        <v>0</v>
      </c>
      <c r="GM805">
        <f t="shared" si="743"/>
        <v>10684.57</v>
      </c>
      <c r="GN805">
        <f t="shared" si="744"/>
        <v>0</v>
      </c>
      <c r="GO805">
        <f t="shared" si="745"/>
        <v>0</v>
      </c>
      <c r="GP805">
        <f t="shared" si="746"/>
        <v>10684.57</v>
      </c>
      <c r="GR805">
        <v>0</v>
      </c>
      <c r="GS805">
        <v>3</v>
      </c>
      <c r="GT805">
        <v>0</v>
      </c>
      <c r="GU805" t="s">
        <v>3</v>
      </c>
      <c r="GV805">
        <f t="shared" si="747"/>
        <v>0</v>
      </c>
      <c r="GW805">
        <v>1</v>
      </c>
      <c r="GX805">
        <f t="shared" si="748"/>
        <v>0</v>
      </c>
      <c r="HA805">
        <v>0</v>
      </c>
      <c r="HB805">
        <v>0</v>
      </c>
      <c r="HC805">
        <f t="shared" si="749"/>
        <v>0</v>
      </c>
      <c r="HE805" t="s">
        <v>3</v>
      </c>
      <c r="HF805" t="s">
        <v>3</v>
      </c>
      <c r="HM805" t="s">
        <v>3</v>
      </c>
      <c r="HN805" t="s">
        <v>3</v>
      </c>
      <c r="HO805" t="s">
        <v>3</v>
      </c>
      <c r="HP805" t="s">
        <v>3</v>
      </c>
      <c r="HQ805" t="s">
        <v>3</v>
      </c>
      <c r="IK805">
        <v>0</v>
      </c>
    </row>
    <row r="806" spans="1:245" x14ac:dyDescent="0.2">
      <c r="A806">
        <v>17</v>
      </c>
      <c r="B806">
        <v>1</v>
      </c>
      <c r="D806">
        <f>ROW(EtalonRes!A619)</f>
        <v>619</v>
      </c>
      <c r="E806" t="s">
        <v>3</v>
      </c>
      <c r="F806" t="s">
        <v>586</v>
      </c>
      <c r="G806" t="s">
        <v>587</v>
      </c>
      <c r="H806" t="s">
        <v>32</v>
      </c>
      <c r="I806">
        <f>ROUND(1+1+1+1,9)</f>
        <v>4</v>
      </c>
      <c r="J806">
        <v>0</v>
      </c>
      <c r="K806">
        <f>ROUND(1+1+1+1,9)</f>
        <v>4</v>
      </c>
      <c r="O806">
        <f t="shared" si="717"/>
        <v>197.68</v>
      </c>
      <c r="P806">
        <f t="shared" si="718"/>
        <v>0.08</v>
      </c>
      <c r="Q806">
        <f t="shared" si="719"/>
        <v>0</v>
      </c>
      <c r="R806">
        <f t="shared" si="720"/>
        <v>0</v>
      </c>
      <c r="S806">
        <f t="shared" si="721"/>
        <v>197.6</v>
      </c>
      <c r="T806">
        <f t="shared" si="722"/>
        <v>0</v>
      </c>
      <c r="U806">
        <f t="shared" si="723"/>
        <v>0.32</v>
      </c>
      <c r="V806">
        <f t="shared" si="724"/>
        <v>0</v>
      </c>
      <c r="W806">
        <f t="shared" si="725"/>
        <v>0</v>
      </c>
      <c r="X806">
        <f t="shared" si="726"/>
        <v>138.32</v>
      </c>
      <c r="Y806">
        <f t="shared" si="727"/>
        <v>19.760000000000002</v>
      </c>
      <c r="AA806">
        <v>-1</v>
      </c>
      <c r="AB806">
        <f t="shared" si="728"/>
        <v>49.42</v>
      </c>
      <c r="AC806">
        <f>ROUND(((ES806*2)),6)</f>
        <v>0.02</v>
      </c>
      <c r="AD806">
        <f>ROUND(((((ET806*2))-((EU806*2)))+AE806),6)</f>
        <v>0</v>
      </c>
      <c r="AE806">
        <f>ROUND(((EU806*2)),6)</f>
        <v>0</v>
      </c>
      <c r="AF806">
        <f>ROUND(((EV806*2)),6)</f>
        <v>49.4</v>
      </c>
      <c r="AG806">
        <f t="shared" si="729"/>
        <v>0</v>
      </c>
      <c r="AH806">
        <f>((EW806*2))</f>
        <v>0.08</v>
      </c>
      <c r="AI806">
        <f>((EX806*2))</f>
        <v>0</v>
      </c>
      <c r="AJ806">
        <f t="shared" si="730"/>
        <v>0</v>
      </c>
      <c r="AK806">
        <v>24.71</v>
      </c>
      <c r="AL806">
        <v>0.01</v>
      </c>
      <c r="AM806">
        <v>0</v>
      </c>
      <c r="AN806">
        <v>0</v>
      </c>
      <c r="AO806">
        <v>24.7</v>
      </c>
      <c r="AP806">
        <v>0</v>
      </c>
      <c r="AQ806">
        <v>0.04</v>
      </c>
      <c r="AR806">
        <v>0</v>
      </c>
      <c r="AS806">
        <v>0</v>
      </c>
      <c r="AT806">
        <v>70</v>
      </c>
      <c r="AU806">
        <v>10</v>
      </c>
      <c r="AV806">
        <v>1</v>
      </c>
      <c r="AW806">
        <v>1</v>
      </c>
      <c r="AZ806">
        <v>1</v>
      </c>
      <c r="BA806">
        <v>1</v>
      </c>
      <c r="BB806">
        <v>1</v>
      </c>
      <c r="BC806">
        <v>1</v>
      </c>
      <c r="BD806" t="s">
        <v>3</v>
      </c>
      <c r="BE806" t="s">
        <v>3</v>
      </c>
      <c r="BF806" t="s">
        <v>3</v>
      </c>
      <c r="BG806" t="s">
        <v>3</v>
      </c>
      <c r="BH806">
        <v>0</v>
      </c>
      <c r="BI806">
        <v>4</v>
      </c>
      <c r="BJ806" t="s">
        <v>588</v>
      </c>
      <c r="BM806">
        <v>0</v>
      </c>
      <c r="BN806">
        <v>0</v>
      </c>
      <c r="BO806" t="s">
        <v>3</v>
      </c>
      <c r="BP806">
        <v>0</v>
      </c>
      <c r="BQ806">
        <v>1</v>
      </c>
      <c r="BR806">
        <v>0</v>
      </c>
      <c r="BS806">
        <v>1</v>
      </c>
      <c r="BT806">
        <v>1</v>
      </c>
      <c r="BU806">
        <v>1</v>
      </c>
      <c r="BV806">
        <v>1</v>
      </c>
      <c r="BW806">
        <v>1</v>
      </c>
      <c r="BX806">
        <v>1</v>
      </c>
      <c r="BY806" t="s">
        <v>3</v>
      </c>
      <c r="BZ806">
        <v>70</v>
      </c>
      <c r="CA806">
        <v>10</v>
      </c>
      <c r="CB806" t="s">
        <v>3</v>
      </c>
      <c r="CE806">
        <v>0</v>
      </c>
      <c r="CF806">
        <v>0</v>
      </c>
      <c r="CG806">
        <v>0</v>
      </c>
      <c r="CM806">
        <v>0</v>
      </c>
      <c r="CN806" t="s">
        <v>3</v>
      </c>
      <c r="CO806">
        <v>0</v>
      </c>
      <c r="CP806">
        <f t="shared" si="731"/>
        <v>197.68</v>
      </c>
      <c r="CQ806">
        <f t="shared" si="732"/>
        <v>0.02</v>
      </c>
      <c r="CR806">
        <f>(((((ET806*2))*BB806-((EU806*2))*BS806)+AE806*BS806)*AV806)</f>
        <v>0</v>
      </c>
      <c r="CS806">
        <f t="shared" si="733"/>
        <v>0</v>
      </c>
      <c r="CT806">
        <f t="shared" si="734"/>
        <v>49.4</v>
      </c>
      <c r="CU806">
        <f t="shared" si="735"/>
        <v>0</v>
      </c>
      <c r="CV806">
        <f t="shared" si="736"/>
        <v>0.08</v>
      </c>
      <c r="CW806">
        <f t="shared" si="737"/>
        <v>0</v>
      </c>
      <c r="CX806">
        <f t="shared" si="738"/>
        <v>0</v>
      </c>
      <c r="CY806">
        <f t="shared" si="739"/>
        <v>138.32</v>
      </c>
      <c r="CZ806">
        <f t="shared" si="740"/>
        <v>19.760000000000002</v>
      </c>
      <c r="DC806" t="s">
        <v>3</v>
      </c>
      <c r="DD806" t="s">
        <v>164</v>
      </c>
      <c r="DE806" t="s">
        <v>164</v>
      </c>
      <c r="DF806" t="s">
        <v>164</v>
      </c>
      <c r="DG806" t="s">
        <v>164</v>
      </c>
      <c r="DH806" t="s">
        <v>3</v>
      </c>
      <c r="DI806" t="s">
        <v>164</v>
      </c>
      <c r="DJ806" t="s">
        <v>164</v>
      </c>
      <c r="DK806" t="s">
        <v>3</v>
      </c>
      <c r="DL806" t="s">
        <v>3</v>
      </c>
      <c r="DM806" t="s">
        <v>3</v>
      </c>
      <c r="DN806">
        <v>0</v>
      </c>
      <c r="DO806">
        <v>0</v>
      </c>
      <c r="DP806">
        <v>1</v>
      </c>
      <c r="DQ806">
        <v>1</v>
      </c>
      <c r="DU806">
        <v>16987630</v>
      </c>
      <c r="DV806" t="s">
        <v>32</v>
      </c>
      <c r="DW806" t="s">
        <v>32</v>
      </c>
      <c r="DX806">
        <v>1</v>
      </c>
      <c r="DZ806" t="s">
        <v>3</v>
      </c>
      <c r="EA806" t="s">
        <v>3</v>
      </c>
      <c r="EB806" t="s">
        <v>3</v>
      </c>
      <c r="EC806" t="s">
        <v>3</v>
      </c>
      <c r="EE806">
        <v>1441815344</v>
      </c>
      <c r="EF806">
        <v>1</v>
      </c>
      <c r="EG806" t="s">
        <v>23</v>
      </c>
      <c r="EH806">
        <v>0</v>
      </c>
      <c r="EI806" t="s">
        <v>3</v>
      </c>
      <c r="EJ806">
        <v>4</v>
      </c>
      <c r="EK806">
        <v>0</v>
      </c>
      <c r="EL806" t="s">
        <v>24</v>
      </c>
      <c r="EM806" t="s">
        <v>25</v>
      </c>
      <c r="EO806" t="s">
        <v>3</v>
      </c>
      <c r="EQ806">
        <v>1024</v>
      </c>
      <c r="ER806">
        <v>24.71</v>
      </c>
      <c r="ES806">
        <v>0.01</v>
      </c>
      <c r="ET806">
        <v>0</v>
      </c>
      <c r="EU806">
        <v>0</v>
      </c>
      <c r="EV806">
        <v>24.7</v>
      </c>
      <c r="EW806">
        <v>0.04</v>
      </c>
      <c r="EX806">
        <v>0</v>
      </c>
      <c r="EY806">
        <v>0</v>
      </c>
      <c r="FQ806">
        <v>0</v>
      </c>
      <c r="FR806">
        <f t="shared" si="741"/>
        <v>0</v>
      </c>
      <c r="FS806">
        <v>0</v>
      </c>
      <c r="FX806">
        <v>70</v>
      </c>
      <c r="FY806">
        <v>10</v>
      </c>
      <c r="GA806" t="s">
        <v>3</v>
      </c>
      <c r="GD806">
        <v>0</v>
      </c>
      <c r="GF806">
        <v>1887253481</v>
      </c>
      <c r="GG806">
        <v>2</v>
      </c>
      <c r="GH806">
        <v>1</v>
      </c>
      <c r="GI806">
        <v>-2</v>
      </c>
      <c r="GJ806">
        <v>0</v>
      </c>
      <c r="GK806">
        <f>ROUND(R806*(R12)/100,2)</f>
        <v>0</v>
      </c>
      <c r="GL806">
        <f t="shared" si="742"/>
        <v>0</v>
      </c>
      <c r="GM806">
        <f t="shared" si="743"/>
        <v>355.76</v>
      </c>
      <c r="GN806">
        <f t="shared" si="744"/>
        <v>0</v>
      </c>
      <c r="GO806">
        <f t="shared" si="745"/>
        <v>0</v>
      </c>
      <c r="GP806">
        <f t="shared" si="746"/>
        <v>355.76</v>
      </c>
      <c r="GR806">
        <v>0</v>
      </c>
      <c r="GS806">
        <v>3</v>
      </c>
      <c r="GT806">
        <v>0</v>
      </c>
      <c r="GU806" t="s">
        <v>3</v>
      </c>
      <c r="GV806">
        <f t="shared" si="747"/>
        <v>0</v>
      </c>
      <c r="GW806">
        <v>1</v>
      </c>
      <c r="GX806">
        <f t="shared" si="748"/>
        <v>0</v>
      </c>
      <c r="HA806">
        <v>0</v>
      </c>
      <c r="HB806">
        <v>0</v>
      </c>
      <c r="HC806">
        <f t="shared" si="749"/>
        <v>0</v>
      </c>
      <c r="HE806" t="s">
        <v>3</v>
      </c>
      <c r="HF806" t="s">
        <v>3</v>
      </c>
      <c r="HM806" t="s">
        <v>3</v>
      </c>
      <c r="HN806" t="s">
        <v>3</v>
      </c>
      <c r="HO806" t="s">
        <v>3</v>
      </c>
      <c r="HP806" t="s">
        <v>3</v>
      </c>
      <c r="HQ806" t="s">
        <v>3</v>
      </c>
      <c r="IK806">
        <v>0</v>
      </c>
    </row>
    <row r="807" spans="1:245" x14ac:dyDescent="0.2">
      <c r="A807">
        <v>17</v>
      </c>
      <c r="B807">
        <v>1</v>
      </c>
      <c r="D807">
        <f>ROW(EtalonRes!A620)</f>
        <v>620</v>
      </c>
      <c r="E807" t="s">
        <v>589</v>
      </c>
      <c r="F807" t="s">
        <v>590</v>
      </c>
      <c r="G807" t="s">
        <v>591</v>
      </c>
      <c r="H807" t="s">
        <v>32</v>
      </c>
      <c r="I807">
        <f>ROUND(1+1+1+1,9)</f>
        <v>4</v>
      </c>
      <c r="J807">
        <v>0</v>
      </c>
      <c r="K807">
        <f>ROUND(1+1+1+1,9)</f>
        <v>4</v>
      </c>
      <c r="O807">
        <f t="shared" si="717"/>
        <v>741</v>
      </c>
      <c r="P807">
        <f t="shared" si="718"/>
        <v>0</v>
      </c>
      <c r="Q807">
        <f t="shared" si="719"/>
        <v>0</v>
      </c>
      <c r="R807">
        <f t="shared" si="720"/>
        <v>0</v>
      </c>
      <c r="S807">
        <f t="shared" si="721"/>
        <v>741</v>
      </c>
      <c r="T807">
        <f t="shared" si="722"/>
        <v>0</v>
      </c>
      <c r="U807">
        <f t="shared" si="723"/>
        <v>1.2</v>
      </c>
      <c r="V807">
        <f t="shared" si="724"/>
        <v>0</v>
      </c>
      <c r="W807">
        <f t="shared" si="725"/>
        <v>0</v>
      </c>
      <c r="X807">
        <f t="shared" si="726"/>
        <v>518.70000000000005</v>
      </c>
      <c r="Y807">
        <f t="shared" si="727"/>
        <v>74.099999999999994</v>
      </c>
      <c r="AA807">
        <v>1472224561</v>
      </c>
      <c r="AB807">
        <f t="shared" si="728"/>
        <v>185.25</v>
      </c>
      <c r="AC807">
        <f t="shared" ref="AC807:AC814" si="750">ROUND((ES807),6)</f>
        <v>0</v>
      </c>
      <c r="AD807">
        <f t="shared" ref="AD807:AD814" si="751">ROUND((((ET807)-(EU807))+AE807),6)</f>
        <v>0</v>
      </c>
      <c r="AE807">
        <f t="shared" ref="AE807:AF814" si="752">ROUND((EU807),6)</f>
        <v>0</v>
      </c>
      <c r="AF807">
        <f t="shared" si="752"/>
        <v>185.25</v>
      </c>
      <c r="AG807">
        <f t="shared" si="729"/>
        <v>0</v>
      </c>
      <c r="AH807">
        <f t="shared" ref="AH807:AI814" si="753">(EW807)</f>
        <v>0.3</v>
      </c>
      <c r="AI807">
        <f t="shared" si="753"/>
        <v>0</v>
      </c>
      <c r="AJ807">
        <f t="shared" si="730"/>
        <v>0</v>
      </c>
      <c r="AK807">
        <v>185.25</v>
      </c>
      <c r="AL807">
        <v>0</v>
      </c>
      <c r="AM807">
        <v>0</v>
      </c>
      <c r="AN807">
        <v>0</v>
      </c>
      <c r="AO807">
        <v>185.25</v>
      </c>
      <c r="AP807">
        <v>0</v>
      </c>
      <c r="AQ807">
        <v>0.3</v>
      </c>
      <c r="AR807">
        <v>0</v>
      </c>
      <c r="AS807">
        <v>0</v>
      </c>
      <c r="AT807">
        <v>70</v>
      </c>
      <c r="AU807">
        <v>10</v>
      </c>
      <c r="AV807">
        <v>1</v>
      </c>
      <c r="AW807">
        <v>1</v>
      </c>
      <c r="AZ807">
        <v>1</v>
      </c>
      <c r="BA807">
        <v>1</v>
      </c>
      <c r="BB807">
        <v>1</v>
      </c>
      <c r="BC807">
        <v>1</v>
      </c>
      <c r="BD807" t="s">
        <v>3</v>
      </c>
      <c r="BE807" t="s">
        <v>3</v>
      </c>
      <c r="BF807" t="s">
        <v>3</v>
      </c>
      <c r="BG807" t="s">
        <v>3</v>
      </c>
      <c r="BH807">
        <v>0</v>
      </c>
      <c r="BI807">
        <v>4</v>
      </c>
      <c r="BJ807" t="s">
        <v>592</v>
      </c>
      <c r="BM807">
        <v>0</v>
      </c>
      <c r="BN807">
        <v>0</v>
      </c>
      <c r="BO807" t="s">
        <v>3</v>
      </c>
      <c r="BP807">
        <v>0</v>
      </c>
      <c r="BQ807">
        <v>1</v>
      </c>
      <c r="BR807">
        <v>0</v>
      </c>
      <c r="BS807">
        <v>1</v>
      </c>
      <c r="BT807">
        <v>1</v>
      </c>
      <c r="BU807">
        <v>1</v>
      </c>
      <c r="BV807">
        <v>1</v>
      </c>
      <c r="BW807">
        <v>1</v>
      </c>
      <c r="BX807">
        <v>1</v>
      </c>
      <c r="BY807" t="s">
        <v>3</v>
      </c>
      <c r="BZ807">
        <v>70</v>
      </c>
      <c r="CA807">
        <v>10</v>
      </c>
      <c r="CB807" t="s">
        <v>3</v>
      </c>
      <c r="CE807">
        <v>0</v>
      </c>
      <c r="CF807">
        <v>0</v>
      </c>
      <c r="CG807">
        <v>0</v>
      </c>
      <c r="CM807">
        <v>0</v>
      </c>
      <c r="CN807" t="s">
        <v>3</v>
      </c>
      <c r="CO807">
        <v>0</v>
      </c>
      <c r="CP807">
        <f t="shared" si="731"/>
        <v>741</v>
      </c>
      <c r="CQ807">
        <f t="shared" si="732"/>
        <v>0</v>
      </c>
      <c r="CR807">
        <f t="shared" ref="CR807:CR814" si="754">((((ET807)*BB807-(EU807)*BS807)+AE807*BS807)*AV807)</f>
        <v>0</v>
      </c>
      <c r="CS807">
        <f t="shared" si="733"/>
        <v>0</v>
      </c>
      <c r="CT807">
        <f t="shared" si="734"/>
        <v>185.25</v>
      </c>
      <c r="CU807">
        <f t="shared" si="735"/>
        <v>0</v>
      </c>
      <c r="CV807">
        <f t="shared" si="736"/>
        <v>0.3</v>
      </c>
      <c r="CW807">
        <f t="shared" si="737"/>
        <v>0</v>
      </c>
      <c r="CX807">
        <f t="shared" si="738"/>
        <v>0</v>
      </c>
      <c r="CY807">
        <f t="shared" si="739"/>
        <v>518.70000000000005</v>
      </c>
      <c r="CZ807">
        <f t="shared" si="740"/>
        <v>74.099999999999994</v>
      </c>
      <c r="DC807" t="s">
        <v>3</v>
      </c>
      <c r="DD807" t="s">
        <v>3</v>
      </c>
      <c r="DE807" t="s">
        <v>3</v>
      </c>
      <c r="DF807" t="s">
        <v>3</v>
      </c>
      <c r="DG807" t="s">
        <v>3</v>
      </c>
      <c r="DH807" t="s">
        <v>3</v>
      </c>
      <c r="DI807" t="s">
        <v>3</v>
      </c>
      <c r="DJ807" t="s">
        <v>3</v>
      </c>
      <c r="DK807" t="s">
        <v>3</v>
      </c>
      <c r="DL807" t="s">
        <v>3</v>
      </c>
      <c r="DM807" t="s">
        <v>3</v>
      </c>
      <c r="DN807">
        <v>0</v>
      </c>
      <c r="DO807">
        <v>0</v>
      </c>
      <c r="DP807">
        <v>1</v>
      </c>
      <c r="DQ807">
        <v>1</v>
      </c>
      <c r="DU807">
        <v>16987630</v>
      </c>
      <c r="DV807" t="s">
        <v>32</v>
      </c>
      <c r="DW807" t="s">
        <v>32</v>
      </c>
      <c r="DX807">
        <v>1</v>
      </c>
      <c r="DZ807" t="s">
        <v>3</v>
      </c>
      <c r="EA807" t="s">
        <v>3</v>
      </c>
      <c r="EB807" t="s">
        <v>3</v>
      </c>
      <c r="EC807" t="s">
        <v>3</v>
      </c>
      <c r="EE807">
        <v>1441815344</v>
      </c>
      <c r="EF807">
        <v>1</v>
      </c>
      <c r="EG807" t="s">
        <v>23</v>
      </c>
      <c r="EH807">
        <v>0</v>
      </c>
      <c r="EI807" t="s">
        <v>3</v>
      </c>
      <c r="EJ807">
        <v>4</v>
      </c>
      <c r="EK807">
        <v>0</v>
      </c>
      <c r="EL807" t="s">
        <v>24</v>
      </c>
      <c r="EM807" t="s">
        <v>25</v>
      </c>
      <c r="EO807" t="s">
        <v>3</v>
      </c>
      <c r="EQ807">
        <v>0</v>
      </c>
      <c r="ER807">
        <v>185.25</v>
      </c>
      <c r="ES807">
        <v>0</v>
      </c>
      <c r="ET807">
        <v>0</v>
      </c>
      <c r="EU807">
        <v>0</v>
      </c>
      <c r="EV807">
        <v>185.25</v>
      </c>
      <c r="EW807">
        <v>0.3</v>
      </c>
      <c r="EX807">
        <v>0</v>
      </c>
      <c r="EY807">
        <v>0</v>
      </c>
      <c r="FQ807">
        <v>0</v>
      </c>
      <c r="FR807">
        <f t="shared" si="741"/>
        <v>0</v>
      </c>
      <c r="FS807">
        <v>0</v>
      </c>
      <c r="FX807">
        <v>70</v>
      </c>
      <c r="FY807">
        <v>10</v>
      </c>
      <c r="GA807" t="s">
        <v>3</v>
      </c>
      <c r="GD807">
        <v>0</v>
      </c>
      <c r="GF807">
        <v>-877688410</v>
      </c>
      <c r="GG807">
        <v>2</v>
      </c>
      <c r="GH807">
        <v>1</v>
      </c>
      <c r="GI807">
        <v>-2</v>
      </c>
      <c r="GJ807">
        <v>0</v>
      </c>
      <c r="GK807">
        <f>ROUND(R807*(R12)/100,2)</f>
        <v>0</v>
      </c>
      <c r="GL807">
        <f t="shared" si="742"/>
        <v>0</v>
      </c>
      <c r="GM807">
        <f t="shared" si="743"/>
        <v>1333.8</v>
      </c>
      <c r="GN807">
        <f t="shared" si="744"/>
        <v>0</v>
      </c>
      <c r="GO807">
        <f t="shared" si="745"/>
        <v>0</v>
      </c>
      <c r="GP807">
        <f t="shared" si="746"/>
        <v>1333.8</v>
      </c>
      <c r="GR807">
        <v>0</v>
      </c>
      <c r="GS807">
        <v>3</v>
      </c>
      <c r="GT807">
        <v>0</v>
      </c>
      <c r="GU807" t="s">
        <v>3</v>
      </c>
      <c r="GV807">
        <f t="shared" si="747"/>
        <v>0</v>
      </c>
      <c r="GW807">
        <v>1</v>
      </c>
      <c r="GX807">
        <f t="shared" si="748"/>
        <v>0</v>
      </c>
      <c r="HA807">
        <v>0</v>
      </c>
      <c r="HB807">
        <v>0</v>
      </c>
      <c r="HC807">
        <f t="shared" si="749"/>
        <v>0</v>
      </c>
      <c r="HE807" t="s">
        <v>3</v>
      </c>
      <c r="HF807" t="s">
        <v>3</v>
      </c>
      <c r="HM807" t="s">
        <v>3</v>
      </c>
      <c r="HN807" t="s">
        <v>3</v>
      </c>
      <c r="HO807" t="s">
        <v>3</v>
      </c>
      <c r="HP807" t="s">
        <v>3</v>
      </c>
      <c r="HQ807" t="s">
        <v>3</v>
      </c>
      <c r="IK807">
        <v>0</v>
      </c>
    </row>
    <row r="808" spans="1:245" x14ac:dyDescent="0.2">
      <c r="A808">
        <v>17</v>
      </c>
      <c r="B808">
        <v>1</v>
      </c>
      <c r="D808">
        <f>ROW(EtalonRes!A623)</f>
        <v>623</v>
      </c>
      <c r="E808" t="s">
        <v>593</v>
      </c>
      <c r="F808" t="s">
        <v>594</v>
      </c>
      <c r="G808" t="s">
        <v>595</v>
      </c>
      <c r="H808" t="s">
        <v>37</v>
      </c>
      <c r="I808">
        <f>ROUND(((1+1)*4)/10,9)</f>
        <v>0.8</v>
      </c>
      <c r="J808">
        <v>0</v>
      </c>
      <c r="K808">
        <f>ROUND(((1+1)*4)/10,9)</f>
        <v>0.8</v>
      </c>
      <c r="O808">
        <f t="shared" si="717"/>
        <v>1427.08</v>
      </c>
      <c r="P808">
        <f t="shared" si="718"/>
        <v>64.540000000000006</v>
      </c>
      <c r="Q808">
        <f t="shared" si="719"/>
        <v>0</v>
      </c>
      <c r="R808">
        <f t="shared" si="720"/>
        <v>0</v>
      </c>
      <c r="S808">
        <f t="shared" si="721"/>
        <v>1362.54</v>
      </c>
      <c r="T808">
        <f t="shared" si="722"/>
        <v>0</v>
      </c>
      <c r="U808">
        <f t="shared" si="723"/>
        <v>1.92</v>
      </c>
      <c r="V808">
        <f t="shared" si="724"/>
        <v>0</v>
      </c>
      <c r="W808">
        <f t="shared" si="725"/>
        <v>0</v>
      </c>
      <c r="X808">
        <f t="shared" si="726"/>
        <v>953.78</v>
      </c>
      <c r="Y808">
        <f t="shared" si="727"/>
        <v>136.25</v>
      </c>
      <c r="AA808">
        <v>1472224561</v>
      </c>
      <c r="AB808">
        <f t="shared" si="728"/>
        <v>1783.85</v>
      </c>
      <c r="AC808">
        <f t="shared" si="750"/>
        <v>80.67</v>
      </c>
      <c r="AD808">
        <f t="shared" si="751"/>
        <v>0</v>
      </c>
      <c r="AE808">
        <f t="shared" si="752"/>
        <v>0</v>
      </c>
      <c r="AF808">
        <f t="shared" si="752"/>
        <v>1703.18</v>
      </c>
      <c r="AG808">
        <f t="shared" si="729"/>
        <v>0</v>
      </c>
      <c r="AH808">
        <f t="shared" si="753"/>
        <v>2.4</v>
      </c>
      <c r="AI808">
        <f t="shared" si="753"/>
        <v>0</v>
      </c>
      <c r="AJ808">
        <f t="shared" si="730"/>
        <v>0</v>
      </c>
      <c r="AK808">
        <v>1783.85</v>
      </c>
      <c r="AL808">
        <v>80.67</v>
      </c>
      <c r="AM808">
        <v>0</v>
      </c>
      <c r="AN808">
        <v>0</v>
      </c>
      <c r="AO808">
        <v>1703.18</v>
      </c>
      <c r="AP808">
        <v>0</v>
      </c>
      <c r="AQ808">
        <v>2.4</v>
      </c>
      <c r="AR808">
        <v>0</v>
      </c>
      <c r="AS808">
        <v>0</v>
      </c>
      <c r="AT808">
        <v>70</v>
      </c>
      <c r="AU808">
        <v>10</v>
      </c>
      <c r="AV808">
        <v>1</v>
      </c>
      <c r="AW808">
        <v>1</v>
      </c>
      <c r="AZ808">
        <v>1</v>
      </c>
      <c r="BA808">
        <v>1</v>
      </c>
      <c r="BB808">
        <v>1</v>
      </c>
      <c r="BC808">
        <v>1</v>
      </c>
      <c r="BD808" t="s">
        <v>3</v>
      </c>
      <c r="BE808" t="s">
        <v>3</v>
      </c>
      <c r="BF808" t="s">
        <v>3</v>
      </c>
      <c r="BG808" t="s">
        <v>3</v>
      </c>
      <c r="BH808">
        <v>0</v>
      </c>
      <c r="BI808">
        <v>4</v>
      </c>
      <c r="BJ808" t="s">
        <v>596</v>
      </c>
      <c r="BM808">
        <v>0</v>
      </c>
      <c r="BN808">
        <v>0</v>
      </c>
      <c r="BO808" t="s">
        <v>3</v>
      </c>
      <c r="BP808">
        <v>0</v>
      </c>
      <c r="BQ808">
        <v>1</v>
      </c>
      <c r="BR808">
        <v>0</v>
      </c>
      <c r="BS808">
        <v>1</v>
      </c>
      <c r="BT808">
        <v>1</v>
      </c>
      <c r="BU808">
        <v>1</v>
      </c>
      <c r="BV808">
        <v>1</v>
      </c>
      <c r="BW808">
        <v>1</v>
      </c>
      <c r="BX808">
        <v>1</v>
      </c>
      <c r="BY808" t="s">
        <v>3</v>
      </c>
      <c r="BZ808">
        <v>70</v>
      </c>
      <c r="CA808">
        <v>10</v>
      </c>
      <c r="CB808" t="s">
        <v>3</v>
      </c>
      <c r="CE808">
        <v>0</v>
      </c>
      <c r="CF808">
        <v>0</v>
      </c>
      <c r="CG808">
        <v>0</v>
      </c>
      <c r="CM808">
        <v>0</v>
      </c>
      <c r="CN808" t="s">
        <v>3</v>
      </c>
      <c r="CO808">
        <v>0</v>
      </c>
      <c r="CP808">
        <f t="shared" si="731"/>
        <v>1427.08</v>
      </c>
      <c r="CQ808">
        <f t="shared" si="732"/>
        <v>80.67</v>
      </c>
      <c r="CR808">
        <f t="shared" si="754"/>
        <v>0</v>
      </c>
      <c r="CS808">
        <f t="shared" si="733"/>
        <v>0</v>
      </c>
      <c r="CT808">
        <f t="shared" si="734"/>
        <v>1703.18</v>
      </c>
      <c r="CU808">
        <f t="shared" si="735"/>
        <v>0</v>
      </c>
      <c r="CV808">
        <f t="shared" si="736"/>
        <v>2.4</v>
      </c>
      <c r="CW808">
        <f t="shared" si="737"/>
        <v>0</v>
      </c>
      <c r="CX808">
        <f t="shared" si="738"/>
        <v>0</v>
      </c>
      <c r="CY808">
        <f t="shared" si="739"/>
        <v>953.77800000000002</v>
      </c>
      <c r="CZ808">
        <f t="shared" si="740"/>
        <v>136.25399999999999</v>
      </c>
      <c r="DC808" t="s">
        <v>3</v>
      </c>
      <c r="DD808" t="s">
        <v>3</v>
      </c>
      <c r="DE808" t="s">
        <v>3</v>
      </c>
      <c r="DF808" t="s">
        <v>3</v>
      </c>
      <c r="DG808" t="s">
        <v>3</v>
      </c>
      <c r="DH808" t="s">
        <v>3</v>
      </c>
      <c r="DI808" t="s">
        <v>3</v>
      </c>
      <c r="DJ808" t="s">
        <v>3</v>
      </c>
      <c r="DK808" t="s">
        <v>3</v>
      </c>
      <c r="DL808" t="s">
        <v>3</v>
      </c>
      <c r="DM808" t="s">
        <v>3</v>
      </c>
      <c r="DN808">
        <v>0</v>
      </c>
      <c r="DO808">
        <v>0</v>
      </c>
      <c r="DP808">
        <v>1</v>
      </c>
      <c r="DQ808">
        <v>1</v>
      </c>
      <c r="DU808">
        <v>16987630</v>
      </c>
      <c r="DV808" t="s">
        <v>37</v>
      </c>
      <c r="DW808" t="s">
        <v>37</v>
      </c>
      <c r="DX808">
        <v>10</v>
      </c>
      <c r="DZ808" t="s">
        <v>3</v>
      </c>
      <c r="EA808" t="s">
        <v>3</v>
      </c>
      <c r="EB808" t="s">
        <v>3</v>
      </c>
      <c r="EC808" t="s">
        <v>3</v>
      </c>
      <c r="EE808">
        <v>1441815344</v>
      </c>
      <c r="EF808">
        <v>1</v>
      </c>
      <c r="EG808" t="s">
        <v>23</v>
      </c>
      <c r="EH808">
        <v>0</v>
      </c>
      <c r="EI808" t="s">
        <v>3</v>
      </c>
      <c r="EJ808">
        <v>4</v>
      </c>
      <c r="EK808">
        <v>0</v>
      </c>
      <c r="EL808" t="s">
        <v>24</v>
      </c>
      <c r="EM808" t="s">
        <v>25</v>
      </c>
      <c r="EO808" t="s">
        <v>3</v>
      </c>
      <c r="EQ808">
        <v>0</v>
      </c>
      <c r="ER808">
        <v>1783.85</v>
      </c>
      <c r="ES808">
        <v>80.67</v>
      </c>
      <c r="ET808">
        <v>0</v>
      </c>
      <c r="EU808">
        <v>0</v>
      </c>
      <c r="EV808">
        <v>1703.18</v>
      </c>
      <c r="EW808">
        <v>2.4</v>
      </c>
      <c r="EX808">
        <v>0</v>
      </c>
      <c r="EY808">
        <v>0</v>
      </c>
      <c r="FQ808">
        <v>0</v>
      </c>
      <c r="FR808">
        <f t="shared" si="741"/>
        <v>0</v>
      </c>
      <c r="FS808">
        <v>0</v>
      </c>
      <c r="FX808">
        <v>70</v>
      </c>
      <c r="FY808">
        <v>10</v>
      </c>
      <c r="GA808" t="s">
        <v>3</v>
      </c>
      <c r="GD808">
        <v>0</v>
      </c>
      <c r="GF808">
        <v>275629574</v>
      </c>
      <c r="GG808">
        <v>2</v>
      </c>
      <c r="GH808">
        <v>1</v>
      </c>
      <c r="GI808">
        <v>-2</v>
      </c>
      <c r="GJ808">
        <v>0</v>
      </c>
      <c r="GK808">
        <f>ROUND(R808*(R12)/100,2)</f>
        <v>0</v>
      </c>
      <c r="GL808">
        <f t="shared" si="742"/>
        <v>0</v>
      </c>
      <c r="GM808">
        <f t="shared" si="743"/>
        <v>2517.11</v>
      </c>
      <c r="GN808">
        <f t="shared" si="744"/>
        <v>0</v>
      </c>
      <c r="GO808">
        <f t="shared" si="745"/>
        <v>0</v>
      </c>
      <c r="GP808">
        <f t="shared" si="746"/>
        <v>2517.11</v>
      </c>
      <c r="GR808">
        <v>0</v>
      </c>
      <c r="GS808">
        <v>3</v>
      </c>
      <c r="GT808">
        <v>0</v>
      </c>
      <c r="GU808" t="s">
        <v>3</v>
      </c>
      <c r="GV808">
        <f t="shared" si="747"/>
        <v>0</v>
      </c>
      <c r="GW808">
        <v>1</v>
      </c>
      <c r="GX808">
        <f t="shared" si="748"/>
        <v>0</v>
      </c>
      <c r="HA808">
        <v>0</v>
      </c>
      <c r="HB808">
        <v>0</v>
      </c>
      <c r="HC808">
        <f t="shared" si="749"/>
        <v>0</v>
      </c>
      <c r="HE808" t="s">
        <v>3</v>
      </c>
      <c r="HF808" t="s">
        <v>3</v>
      </c>
      <c r="HM808" t="s">
        <v>3</v>
      </c>
      <c r="HN808" t="s">
        <v>3</v>
      </c>
      <c r="HO808" t="s">
        <v>3</v>
      </c>
      <c r="HP808" t="s">
        <v>3</v>
      </c>
      <c r="HQ808" t="s">
        <v>3</v>
      </c>
      <c r="IK808">
        <v>0</v>
      </c>
    </row>
    <row r="809" spans="1:245" x14ac:dyDescent="0.2">
      <c r="A809">
        <v>17</v>
      </c>
      <c r="B809">
        <v>1</v>
      </c>
      <c r="D809">
        <f>ROW(EtalonRes!A625)</f>
        <v>625</v>
      </c>
      <c r="E809" t="s">
        <v>597</v>
      </c>
      <c r="F809" t="s">
        <v>530</v>
      </c>
      <c r="G809" t="s">
        <v>598</v>
      </c>
      <c r="H809" t="s">
        <v>32</v>
      </c>
      <c r="I809">
        <f>ROUND(40+142,9)</f>
        <v>182</v>
      </c>
      <c r="J809">
        <v>0</v>
      </c>
      <c r="K809">
        <f>ROUND(40+142,9)</f>
        <v>182</v>
      </c>
      <c r="O809">
        <f t="shared" si="717"/>
        <v>30808.959999999999</v>
      </c>
      <c r="P809">
        <f t="shared" si="718"/>
        <v>114.66</v>
      </c>
      <c r="Q809">
        <f t="shared" si="719"/>
        <v>0</v>
      </c>
      <c r="R809">
        <f t="shared" si="720"/>
        <v>0</v>
      </c>
      <c r="S809">
        <f t="shared" si="721"/>
        <v>30694.3</v>
      </c>
      <c r="T809">
        <f t="shared" si="722"/>
        <v>0</v>
      </c>
      <c r="U809">
        <f t="shared" si="723"/>
        <v>54.6</v>
      </c>
      <c r="V809">
        <f t="shared" si="724"/>
        <v>0</v>
      </c>
      <c r="W809">
        <f t="shared" si="725"/>
        <v>0</v>
      </c>
      <c r="X809">
        <f t="shared" si="726"/>
        <v>21486.01</v>
      </c>
      <c r="Y809">
        <f t="shared" si="727"/>
        <v>3069.43</v>
      </c>
      <c r="AA809">
        <v>1472224561</v>
      </c>
      <c r="AB809">
        <f t="shared" si="728"/>
        <v>169.28</v>
      </c>
      <c r="AC809">
        <f t="shared" si="750"/>
        <v>0.63</v>
      </c>
      <c r="AD809">
        <f t="shared" si="751"/>
        <v>0</v>
      </c>
      <c r="AE809">
        <f t="shared" si="752"/>
        <v>0</v>
      </c>
      <c r="AF809">
        <f t="shared" si="752"/>
        <v>168.65</v>
      </c>
      <c r="AG809">
        <f t="shared" si="729"/>
        <v>0</v>
      </c>
      <c r="AH809">
        <f t="shared" si="753"/>
        <v>0.3</v>
      </c>
      <c r="AI809">
        <f t="shared" si="753"/>
        <v>0</v>
      </c>
      <c r="AJ809">
        <f t="shared" si="730"/>
        <v>0</v>
      </c>
      <c r="AK809">
        <v>169.28</v>
      </c>
      <c r="AL809">
        <v>0.63</v>
      </c>
      <c r="AM809">
        <v>0</v>
      </c>
      <c r="AN809">
        <v>0</v>
      </c>
      <c r="AO809">
        <v>168.65</v>
      </c>
      <c r="AP809">
        <v>0</v>
      </c>
      <c r="AQ809">
        <v>0.3</v>
      </c>
      <c r="AR809">
        <v>0</v>
      </c>
      <c r="AS809">
        <v>0</v>
      </c>
      <c r="AT809">
        <v>70</v>
      </c>
      <c r="AU809">
        <v>10</v>
      </c>
      <c r="AV809">
        <v>1</v>
      </c>
      <c r="AW809">
        <v>1</v>
      </c>
      <c r="AZ809">
        <v>1</v>
      </c>
      <c r="BA809">
        <v>1</v>
      </c>
      <c r="BB809">
        <v>1</v>
      </c>
      <c r="BC809">
        <v>1</v>
      </c>
      <c r="BD809" t="s">
        <v>3</v>
      </c>
      <c r="BE809" t="s">
        <v>3</v>
      </c>
      <c r="BF809" t="s">
        <v>3</v>
      </c>
      <c r="BG809" t="s">
        <v>3</v>
      </c>
      <c r="BH809">
        <v>0</v>
      </c>
      <c r="BI809">
        <v>4</v>
      </c>
      <c r="BJ809" t="s">
        <v>531</v>
      </c>
      <c r="BM809">
        <v>0</v>
      </c>
      <c r="BN809">
        <v>0</v>
      </c>
      <c r="BO809" t="s">
        <v>3</v>
      </c>
      <c r="BP809">
        <v>0</v>
      </c>
      <c r="BQ809">
        <v>1</v>
      </c>
      <c r="BR809">
        <v>0</v>
      </c>
      <c r="BS809">
        <v>1</v>
      </c>
      <c r="BT809">
        <v>1</v>
      </c>
      <c r="BU809">
        <v>1</v>
      </c>
      <c r="BV809">
        <v>1</v>
      </c>
      <c r="BW809">
        <v>1</v>
      </c>
      <c r="BX809">
        <v>1</v>
      </c>
      <c r="BY809" t="s">
        <v>3</v>
      </c>
      <c r="BZ809">
        <v>70</v>
      </c>
      <c r="CA809">
        <v>10</v>
      </c>
      <c r="CB809" t="s">
        <v>3</v>
      </c>
      <c r="CE809">
        <v>0</v>
      </c>
      <c r="CF809">
        <v>0</v>
      </c>
      <c r="CG809">
        <v>0</v>
      </c>
      <c r="CM809">
        <v>0</v>
      </c>
      <c r="CN809" t="s">
        <v>3</v>
      </c>
      <c r="CO809">
        <v>0</v>
      </c>
      <c r="CP809">
        <f t="shared" si="731"/>
        <v>30808.959999999999</v>
      </c>
      <c r="CQ809">
        <f t="shared" si="732"/>
        <v>0.63</v>
      </c>
      <c r="CR809">
        <f t="shared" si="754"/>
        <v>0</v>
      </c>
      <c r="CS809">
        <f t="shared" si="733"/>
        <v>0</v>
      </c>
      <c r="CT809">
        <f t="shared" si="734"/>
        <v>168.65</v>
      </c>
      <c r="CU809">
        <f t="shared" si="735"/>
        <v>0</v>
      </c>
      <c r="CV809">
        <f t="shared" si="736"/>
        <v>0.3</v>
      </c>
      <c r="CW809">
        <f t="shared" si="737"/>
        <v>0</v>
      </c>
      <c r="CX809">
        <f t="shared" si="738"/>
        <v>0</v>
      </c>
      <c r="CY809">
        <f t="shared" si="739"/>
        <v>21486.01</v>
      </c>
      <c r="CZ809">
        <f t="shared" si="740"/>
        <v>3069.43</v>
      </c>
      <c r="DC809" t="s">
        <v>3</v>
      </c>
      <c r="DD809" t="s">
        <v>3</v>
      </c>
      <c r="DE809" t="s">
        <v>3</v>
      </c>
      <c r="DF809" t="s">
        <v>3</v>
      </c>
      <c r="DG809" t="s">
        <v>3</v>
      </c>
      <c r="DH809" t="s">
        <v>3</v>
      </c>
      <c r="DI809" t="s">
        <v>3</v>
      </c>
      <c r="DJ809" t="s">
        <v>3</v>
      </c>
      <c r="DK809" t="s">
        <v>3</v>
      </c>
      <c r="DL809" t="s">
        <v>3</v>
      </c>
      <c r="DM809" t="s">
        <v>3</v>
      </c>
      <c r="DN809">
        <v>0</v>
      </c>
      <c r="DO809">
        <v>0</v>
      </c>
      <c r="DP809">
        <v>1</v>
      </c>
      <c r="DQ809">
        <v>1</v>
      </c>
      <c r="DU809">
        <v>16987630</v>
      </c>
      <c r="DV809" t="s">
        <v>32</v>
      </c>
      <c r="DW809" t="s">
        <v>32</v>
      </c>
      <c r="DX809">
        <v>1</v>
      </c>
      <c r="DZ809" t="s">
        <v>3</v>
      </c>
      <c r="EA809" t="s">
        <v>3</v>
      </c>
      <c r="EB809" t="s">
        <v>3</v>
      </c>
      <c r="EC809" t="s">
        <v>3</v>
      </c>
      <c r="EE809">
        <v>1441815344</v>
      </c>
      <c r="EF809">
        <v>1</v>
      </c>
      <c r="EG809" t="s">
        <v>23</v>
      </c>
      <c r="EH809">
        <v>0</v>
      </c>
      <c r="EI809" t="s">
        <v>3</v>
      </c>
      <c r="EJ809">
        <v>4</v>
      </c>
      <c r="EK809">
        <v>0</v>
      </c>
      <c r="EL809" t="s">
        <v>24</v>
      </c>
      <c r="EM809" t="s">
        <v>25</v>
      </c>
      <c r="EO809" t="s">
        <v>3</v>
      </c>
      <c r="EQ809">
        <v>0</v>
      </c>
      <c r="ER809">
        <v>169.28</v>
      </c>
      <c r="ES809">
        <v>0.63</v>
      </c>
      <c r="ET809">
        <v>0</v>
      </c>
      <c r="EU809">
        <v>0</v>
      </c>
      <c r="EV809">
        <v>168.65</v>
      </c>
      <c r="EW809">
        <v>0.3</v>
      </c>
      <c r="EX809">
        <v>0</v>
      </c>
      <c r="EY809">
        <v>0</v>
      </c>
      <c r="FQ809">
        <v>0</v>
      </c>
      <c r="FR809">
        <f t="shared" si="741"/>
        <v>0</v>
      </c>
      <c r="FS809">
        <v>0</v>
      </c>
      <c r="FX809">
        <v>70</v>
      </c>
      <c r="FY809">
        <v>10</v>
      </c>
      <c r="GA809" t="s">
        <v>3</v>
      </c>
      <c r="GD809">
        <v>0</v>
      </c>
      <c r="GF809">
        <v>-1038863353</v>
      </c>
      <c r="GG809">
        <v>2</v>
      </c>
      <c r="GH809">
        <v>1</v>
      </c>
      <c r="GI809">
        <v>-2</v>
      </c>
      <c r="GJ809">
        <v>0</v>
      </c>
      <c r="GK809">
        <f>ROUND(R809*(R12)/100,2)</f>
        <v>0</v>
      </c>
      <c r="GL809">
        <f t="shared" si="742"/>
        <v>0</v>
      </c>
      <c r="GM809">
        <f t="shared" si="743"/>
        <v>55364.4</v>
      </c>
      <c r="GN809">
        <f t="shared" si="744"/>
        <v>0</v>
      </c>
      <c r="GO809">
        <f t="shared" si="745"/>
        <v>0</v>
      </c>
      <c r="GP809">
        <f t="shared" si="746"/>
        <v>55364.4</v>
      </c>
      <c r="GR809">
        <v>0</v>
      </c>
      <c r="GS809">
        <v>3</v>
      </c>
      <c r="GT809">
        <v>0</v>
      </c>
      <c r="GU809" t="s">
        <v>3</v>
      </c>
      <c r="GV809">
        <f t="shared" si="747"/>
        <v>0</v>
      </c>
      <c r="GW809">
        <v>1</v>
      </c>
      <c r="GX809">
        <f t="shared" si="748"/>
        <v>0</v>
      </c>
      <c r="HA809">
        <v>0</v>
      </c>
      <c r="HB809">
        <v>0</v>
      </c>
      <c r="HC809">
        <f t="shared" si="749"/>
        <v>0</v>
      </c>
      <c r="HE809" t="s">
        <v>3</v>
      </c>
      <c r="HF809" t="s">
        <v>3</v>
      </c>
      <c r="HM809" t="s">
        <v>3</v>
      </c>
      <c r="HN809" t="s">
        <v>3</v>
      </c>
      <c r="HO809" t="s">
        <v>3</v>
      </c>
      <c r="HP809" t="s">
        <v>3</v>
      </c>
      <c r="HQ809" t="s">
        <v>3</v>
      </c>
      <c r="IK809">
        <v>0</v>
      </c>
    </row>
    <row r="810" spans="1:245" x14ac:dyDescent="0.2">
      <c r="A810">
        <v>17</v>
      </c>
      <c r="B810">
        <v>1</v>
      </c>
      <c r="D810">
        <f>ROW(EtalonRes!A627)</f>
        <v>627</v>
      </c>
      <c r="E810" t="s">
        <v>599</v>
      </c>
      <c r="F810" t="s">
        <v>519</v>
      </c>
      <c r="G810" t="s">
        <v>600</v>
      </c>
      <c r="H810" t="s">
        <v>32</v>
      </c>
      <c r="I810">
        <f>ROUND(34+9+17+4,9)</f>
        <v>64</v>
      </c>
      <c r="J810">
        <v>0</v>
      </c>
      <c r="K810">
        <f>ROUND(34+9+17+4,9)</f>
        <v>64</v>
      </c>
      <c r="O810">
        <f t="shared" si="717"/>
        <v>6556.8</v>
      </c>
      <c r="P810">
        <f t="shared" si="718"/>
        <v>80.64</v>
      </c>
      <c r="Q810">
        <f t="shared" si="719"/>
        <v>0</v>
      </c>
      <c r="R810">
        <f t="shared" si="720"/>
        <v>0</v>
      </c>
      <c r="S810">
        <f t="shared" si="721"/>
        <v>6476.16</v>
      </c>
      <c r="T810">
        <f t="shared" si="722"/>
        <v>0</v>
      </c>
      <c r="U810">
        <f t="shared" si="723"/>
        <v>11.52</v>
      </c>
      <c r="V810">
        <f t="shared" si="724"/>
        <v>0</v>
      </c>
      <c r="W810">
        <f t="shared" si="725"/>
        <v>0</v>
      </c>
      <c r="X810">
        <f t="shared" si="726"/>
        <v>4533.3100000000004</v>
      </c>
      <c r="Y810">
        <f t="shared" si="727"/>
        <v>647.62</v>
      </c>
      <c r="AA810">
        <v>1472224561</v>
      </c>
      <c r="AB810">
        <f t="shared" si="728"/>
        <v>102.45</v>
      </c>
      <c r="AC810">
        <f t="shared" si="750"/>
        <v>1.26</v>
      </c>
      <c r="AD810">
        <f t="shared" si="751"/>
        <v>0</v>
      </c>
      <c r="AE810">
        <f t="shared" si="752"/>
        <v>0</v>
      </c>
      <c r="AF810">
        <f t="shared" si="752"/>
        <v>101.19</v>
      </c>
      <c r="AG810">
        <f t="shared" si="729"/>
        <v>0</v>
      </c>
      <c r="AH810">
        <f t="shared" si="753"/>
        <v>0.18</v>
      </c>
      <c r="AI810">
        <f t="shared" si="753"/>
        <v>0</v>
      </c>
      <c r="AJ810">
        <f t="shared" si="730"/>
        <v>0</v>
      </c>
      <c r="AK810">
        <v>102.45</v>
      </c>
      <c r="AL810">
        <v>1.26</v>
      </c>
      <c r="AM810">
        <v>0</v>
      </c>
      <c r="AN810">
        <v>0</v>
      </c>
      <c r="AO810">
        <v>101.19</v>
      </c>
      <c r="AP810">
        <v>0</v>
      </c>
      <c r="AQ810">
        <v>0.18</v>
      </c>
      <c r="AR810">
        <v>0</v>
      </c>
      <c r="AS810">
        <v>0</v>
      </c>
      <c r="AT810">
        <v>70</v>
      </c>
      <c r="AU810">
        <v>10</v>
      </c>
      <c r="AV810">
        <v>1</v>
      </c>
      <c r="AW810">
        <v>1</v>
      </c>
      <c r="AZ810">
        <v>1</v>
      </c>
      <c r="BA810">
        <v>1</v>
      </c>
      <c r="BB810">
        <v>1</v>
      </c>
      <c r="BC810">
        <v>1</v>
      </c>
      <c r="BD810" t="s">
        <v>3</v>
      </c>
      <c r="BE810" t="s">
        <v>3</v>
      </c>
      <c r="BF810" t="s">
        <v>3</v>
      </c>
      <c r="BG810" t="s">
        <v>3</v>
      </c>
      <c r="BH810">
        <v>0</v>
      </c>
      <c r="BI810">
        <v>4</v>
      </c>
      <c r="BJ810" t="s">
        <v>521</v>
      </c>
      <c r="BM810">
        <v>0</v>
      </c>
      <c r="BN810">
        <v>0</v>
      </c>
      <c r="BO810" t="s">
        <v>3</v>
      </c>
      <c r="BP810">
        <v>0</v>
      </c>
      <c r="BQ810">
        <v>1</v>
      </c>
      <c r="BR810">
        <v>0</v>
      </c>
      <c r="BS810">
        <v>1</v>
      </c>
      <c r="BT810">
        <v>1</v>
      </c>
      <c r="BU810">
        <v>1</v>
      </c>
      <c r="BV810">
        <v>1</v>
      </c>
      <c r="BW810">
        <v>1</v>
      </c>
      <c r="BX810">
        <v>1</v>
      </c>
      <c r="BY810" t="s">
        <v>3</v>
      </c>
      <c r="BZ810">
        <v>70</v>
      </c>
      <c r="CA810">
        <v>10</v>
      </c>
      <c r="CB810" t="s">
        <v>3</v>
      </c>
      <c r="CE810">
        <v>0</v>
      </c>
      <c r="CF810">
        <v>0</v>
      </c>
      <c r="CG810">
        <v>0</v>
      </c>
      <c r="CM810">
        <v>0</v>
      </c>
      <c r="CN810" t="s">
        <v>3</v>
      </c>
      <c r="CO810">
        <v>0</v>
      </c>
      <c r="CP810">
        <f t="shared" si="731"/>
        <v>6556.8</v>
      </c>
      <c r="CQ810">
        <f t="shared" si="732"/>
        <v>1.26</v>
      </c>
      <c r="CR810">
        <f t="shared" si="754"/>
        <v>0</v>
      </c>
      <c r="CS810">
        <f t="shared" si="733"/>
        <v>0</v>
      </c>
      <c r="CT810">
        <f t="shared" si="734"/>
        <v>101.19</v>
      </c>
      <c r="CU810">
        <f t="shared" si="735"/>
        <v>0</v>
      </c>
      <c r="CV810">
        <f t="shared" si="736"/>
        <v>0.18</v>
      </c>
      <c r="CW810">
        <f t="shared" si="737"/>
        <v>0</v>
      </c>
      <c r="CX810">
        <f t="shared" si="738"/>
        <v>0</v>
      </c>
      <c r="CY810">
        <f t="shared" si="739"/>
        <v>4533.3119999999999</v>
      </c>
      <c r="CZ810">
        <f t="shared" si="740"/>
        <v>647.61599999999999</v>
      </c>
      <c r="DC810" t="s">
        <v>3</v>
      </c>
      <c r="DD810" t="s">
        <v>3</v>
      </c>
      <c r="DE810" t="s">
        <v>3</v>
      </c>
      <c r="DF810" t="s">
        <v>3</v>
      </c>
      <c r="DG810" t="s">
        <v>3</v>
      </c>
      <c r="DH810" t="s">
        <v>3</v>
      </c>
      <c r="DI810" t="s">
        <v>3</v>
      </c>
      <c r="DJ810" t="s">
        <v>3</v>
      </c>
      <c r="DK810" t="s">
        <v>3</v>
      </c>
      <c r="DL810" t="s">
        <v>3</v>
      </c>
      <c r="DM810" t="s">
        <v>3</v>
      </c>
      <c r="DN810">
        <v>0</v>
      </c>
      <c r="DO810">
        <v>0</v>
      </c>
      <c r="DP810">
        <v>1</v>
      </c>
      <c r="DQ810">
        <v>1</v>
      </c>
      <c r="DU810">
        <v>16987630</v>
      </c>
      <c r="DV810" t="s">
        <v>32</v>
      </c>
      <c r="DW810" t="s">
        <v>32</v>
      </c>
      <c r="DX810">
        <v>1</v>
      </c>
      <c r="DZ810" t="s">
        <v>3</v>
      </c>
      <c r="EA810" t="s">
        <v>3</v>
      </c>
      <c r="EB810" t="s">
        <v>3</v>
      </c>
      <c r="EC810" t="s">
        <v>3</v>
      </c>
      <c r="EE810">
        <v>1441815344</v>
      </c>
      <c r="EF810">
        <v>1</v>
      </c>
      <c r="EG810" t="s">
        <v>23</v>
      </c>
      <c r="EH810">
        <v>0</v>
      </c>
      <c r="EI810" t="s">
        <v>3</v>
      </c>
      <c r="EJ810">
        <v>4</v>
      </c>
      <c r="EK810">
        <v>0</v>
      </c>
      <c r="EL810" t="s">
        <v>24</v>
      </c>
      <c r="EM810" t="s">
        <v>25</v>
      </c>
      <c r="EO810" t="s">
        <v>3</v>
      </c>
      <c r="EQ810">
        <v>0</v>
      </c>
      <c r="ER810">
        <v>102.45</v>
      </c>
      <c r="ES810">
        <v>1.26</v>
      </c>
      <c r="ET810">
        <v>0</v>
      </c>
      <c r="EU810">
        <v>0</v>
      </c>
      <c r="EV810">
        <v>101.19</v>
      </c>
      <c r="EW810">
        <v>0.18</v>
      </c>
      <c r="EX810">
        <v>0</v>
      </c>
      <c r="EY810">
        <v>0</v>
      </c>
      <c r="FQ810">
        <v>0</v>
      </c>
      <c r="FR810">
        <f t="shared" si="741"/>
        <v>0</v>
      </c>
      <c r="FS810">
        <v>0</v>
      </c>
      <c r="FX810">
        <v>70</v>
      </c>
      <c r="FY810">
        <v>10</v>
      </c>
      <c r="GA810" t="s">
        <v>3</v>
      </c>
      <c r="GD810">
        <v>0</v>
      </c>
      <c r="GF810">
        <v>-1083907483</v>
      </c>
      <c r="GG810">
        <v>2</v>
      </c>
      <c r="GH810">
        <v>1</v>
      </c>
      <c r="GI810">
        <v>-2</v>
      </c>
      <c r="GJ810">
        <v>0</v>
      </c>
      <c r="GK810">
        <f>ROUND(R810*(R12)/100,2)</f>
        <v>0</v>
      </c>
      <c r="GL810">
        <f t="shared" si="742"/>
        <v>0</v>
      </c>
      <c r="GM810">
        <f t="shared" si="743"/>
        <v>11737.73</v>
      </c>
      <c r="GN810">
        <f t="shared" si="744"/>
        <v>0</v>
      </c>
      <c r="GO810">
        <f t="shared" si="745"/>
        <v>0</v>
      </c>
      <c r="GP810">
        <f t="shared" si="746"/>
        <v>11737.73</v>
      </c>
      <c r="GR810">
        <v>0</v>
      </c>
      <c r="GS810">
        <v>3</v>
      </c>
      <c r="GT810">
        <v>0</v>
      </c>
      <c r="GU810" t="s">
        <v>3</v>
      </c>
      <c r="GV810">
        <f t="shared" si="747"/>
        <v>0</v>
      </c>
      <c r="GW810">
        <v>1</v>
      </c>
      <c r="GX810">
        <f t="shared" si="748"/>
        <v>0</v>
      </c>
      <c r="HA810">
        <v>0</v>
      </c>
      <c r="HB810">
        <v>0</v>
      </c>
      <c r="HC810">
        <f t="shared" si="749"/>
        <v>0</v>
      </c>
      <c r="HE810" t="s">
        <v>3</v>
      </c>
      <c r="HF810" t="s">
        <v>3</v>
      </c>
      <c r="HM810" t="s">
        <v>3</v>
      </c>
      <c r="HN810" t="s">
        <v>3</v>
      </c>
      <c r="HO810" t="s">
        <v>3</v>
      </c>
      <c r="HP810" t="s">
        <v>3</v>
      </c>
      <c r="HQ810" t="s">
        <v>3</v>
      </c>
      <c r="IK810">
        <v>0</v>
      </c>
    </row>
    <row r="811" spans="1:245" x14ac:dyDescent="0.2">
      <c r="A811">
        <v>17</v>
      </c>
      <c r="B811">
        <v>1</v>
      </c>
      <c r="E811" t="s">
        <v>3</v>
      </c>
      <c r="F811" t="s">
        <v>601</v>
      </c>
      <c r="G811" t="s">
        <v>602</v>
      </c>
      <c r="H811" t="s">
        <v>603</v>
      </c>
      <c r="I811">
        <v>33</v>
      </c>
      <c r="J811">
        <v>0</v>
      </c>
      <c r="K811">
        <v>33</v>
      </c>
      <c r="O811">
        <f t="shared" si="717"/>
        <v>52886.79</v>
      </c>
      <c r="P811">
        <f t="shared" si="718"/>
        <v>0</v>
      </c>
      <c r="Q811">
        <f t="shared" si="719"/>
        <v>52886.79</v>
      </c>
      <c r="R811">
        <f t="shared" si="720"/>
        <v>31714.98</v>
      </c>
      <c r="S811">
        <f t="shared" si="721"/>
        <v>0</v>
      </c>
      <c r="T811">
        <f t="shared" si="722"/>
        <v>0</v>
      </c>
      <c r="U811">
        <f t="shared" si="723"/>
        <v>0</v>
      </c>
      <c r="V811">
        <f t="shared" si="724"/>
        <v>0</v>
      </c>
      <c r="W811">
        <f t="shared" si="725"/>
        <v>0</v>
      </c>
      <c r="X811">
        <f t="shared" si="726"/>
        <v>0</v>
      </c>
      <c r="Y811">
        <f t="shared" si="727"/>
        <v>0</v>
      </c>
      <c r="AA811">
        <v>-1</v>
      </c>
      <c r="AB811">
        <f t="shared" si="728"/>
        <v>1602.63</v>
      </c>
      <c r="AC811">
        <f t="shared" si="750"/>
        <v>0</v>
      </c>
      <c r="AD811">
        <f t="shared" si="751"/>
        <v>1602.63</v>
      </c>
      <c r="AE811">
        <f t="shared" si="752"/>
        <v>961.06</v>
      </c>
      <c r="AF811">
        <f t="shared" si="752"/>
        <v>0</v>
      </c>
      <c r="AG811">
        <f t="shared" si="729"/>
        <v>0</v>
      </c>
      <c r="AH811">
        <f t="shared" si="753"/>
        <v>0</v>
      </c>
      <c r="AI811">
        <f t="shared" si="753"/>
        <v>0</v>
      </c>
      <c r="AJ811">
        <f t="shared" si="730"/>
        <v>0</v>
      </c>
      <c r="AK811">
        <v>1602.63</v>
      </c>
      <c r="AL811">
        <v>0</v>
      </c>
      <c r="AM811">
        <v>1602.63</v>
      </c>
      <c r="AN811">
        <v>961.06</v>
      </c>
      <c r="AO811">
        <v>0</v>
      </c>
      <c r="AP811">
        <v>0</v>
      </c>
      <c r="AQ811">
        <v>0</v>
      </c>
      <c r="AR811">
        <v>0</v>
      </c>
      <c r="AS811">
        <v>0</v>
      </c>
      <c r="AT811">
        <v>70</v>
      </c>
      <c r="AU811">
        <v>10</v>
      </c>
      <c r="AV811">
        <v>1</v>
      </c>
      <c r="AW811">
        <v>1</v>
      </c>
      <c r="AZ811">
        <v>1</v>
      </c>
      <c r="BA811">
        <v>1</v>
      </c>
      <c r="BB811">
        <v>1</v>
      </c>
      <c r="BC811">
        <v>1</v>
      </c>
      <c r="BD811" t="s">
        <v>3</v>
      </c>
      <c r="BE811" t="s">
        <v>3</v>
      </c>
      <c r="BF811" t="s">
        <v>3</v>
      </c>
      <c r="BG811" t="s">
        <v>3</v>
      </c>
      <c r="BH811">
        <v>2</v>
      </c>
      <c r="BI811">
        <v>4</v>
      </c>
      <c r="BJ811" t="s">
        <v>604</v>
      </c>
      <c r="BM811">
        <v>0</v>
      </c>
      <c r="BN811">
        <v>0</v>
      </c>
      <c r="BO811" t="s">
        <v>3</v>
      </c>
      <c r="BP811">
        <v>0</v>
      </c>
      <c r="BQ811">
        <v>1</v>
      </c>
      <c r="BR811">
        <v>0</v>
      </c>
      <c r="BS811">
        <v>1</v>
      </c>
      <c r="BT811">
        <v>1</v>
      </c>
      <c r="BU811">
        <v>1</v>
      </c>
      <c r="BV811">
        <v>1</v>
      </c>
      <c r="BW811">
        <v>1</v>
      </c>
      <c r="BX811">
        <v>1</v>
      </c>
      <c r="BY811" t="s">
        <v>3</v>
      </c>
      <c r="BZ811">
        <v>70</v>
      </c>
      <c r="CA811">
        <v>10</v>
      </c>
      <c r="CB811" t="s">
        <v>3</v>
      </c>
      <c r="CE811">
        <v>0</v>
      </c>
      <c r="CF811">
        <v>0</v>
      </c>
      <c r="CG811">
        <v>0</v>
      </c>
      <c r="CM811">
        <v>0</v>
      </c>
      <c r="CN811" t="s">
        <v>3</v>
      </c>
      <c r="CO811">
        <v>0</v>
      </c>
      <c r="CP811">
        <f t="shared" si="731"/>
        <v>52886.79</v>
      </c>
      <c r="CQ811">
        <f t="shared" si="732"/>
        <v>0</v>
      </c>
      <c r="CR811">
        <f t="shared" si="754"/>
        <v>1602.63</v>
      </c>
      <c r="CS811">
        <f t="shared" si="733"/>
        <v>961.06</v>
      </c>
      <c r="CT811">
        <f t="shared" si="734"/>
        <v>0</v>
      </c>
      <c r="CU811">
        <f t="shared" si="735"/>
        <v>0</v>
      </c>
      <c r="CV811">
        <f t="shared" si="736"/>
        <v>0</v>
      </c>
      <c r="CW811">
        <f t="shared" si="737"/>
        <v>0</v>
      </c>
      <c r="CX811">
        <f t="shared" si="738"/>
        <v>0</v>
      </c>
      <c r="CY811">
        <f t="shared" si="739"/>
        <v>0</v>
      </c>
      <c r="CZ811">
        <f t="shared" si="740"/>
        <v>0</v>
      </c>
      <c r="DC811" t="s">
        <v>3</v>
      </c>
      <c r="DD811" t="s">
        <v>3</v>
      </c>
      <c r="DE811" t="s">
        <v>3</v>
      </c>
      <c r="DF811" t="s">
        <v>3</v>
      </c>
      <c r="DG811" t="s">
        <v>3</v>
      </c>
      <c r="DH811" t="s">
        <v>3</v>
      </c>
      <c r="DI811" t="s">
        <v>3</v>
      </c>
      <c r="DJ811" t="s">
        <v>3</v>
      </c>
      <c r="DK811" t="s">
        <v>3</v>
      </c>
      <c r="DL811" t="s">
        <v>3</v>
      </c>
      <c r="DM811" t="s">
        <v>3</v>
      </c>
      <c r="DN811">
        <v>0</v>
      </c>
      <c r="DO811">
        <v>0</v>
      </c>
      <c r="DP811">
        <v>1</v>
      </c>
      <c r="DQ811">
        <v>1</v>
      </c>
      <c r="DU811">
        <v>1011</v>
      </c>
      <c r="DV811" t="s">
        <v>603</v>
      </c>
      <c r="DW811" t="s">
        <v>603</v>
      </c>
      <c r="DX811">
        <v>1</v>
      </c>
      <c r="DZ811" t="s">
        <v>3</v>
      </c>
      <c r="EA811" t="s">
        <v>3</v>
      </c>
      <c r="EB811" t="s">
        <v>3</v>
      </c>
      <c r="EC811" t="s">
        <v>3</v>
      </c>
      <c r="EE811">
        <v>1441815344</v>
      </c>
      <c r="EF811">
        <v>1</v>
      </c>
      <c r="EG811" t="s">
        <v>23</v>
      </c>
      <c r="EH811">
        <v>0</v>
      </c>
      <c r="EI811" t="s">
        <v>3</v>
      </c>
      <c r="EJ811">
        <v>4</v>
      </c>
      <c r="EK811">
        <v>0</v>
      </c>
      <c r="EL811" t="s">
        <v>24</v>
      </c>
      <c r="EM811" t="s">
        <v>25</v>
      </c>
      <c r="EO811" t="s">
        <v>3</v>
      </c>
      <c r="EQ811">
        <v>1836032</v>
      </c>
      <c r="ER811">
        <v>1602.63</v>
      </c>
      <c r="ES811">
        <v>0</v>
      </c>
      <c r="ET811">
        <v>1602.63</v>
      </c>
      <c r="EU811">
        <v>961.06</v>
      </c>
      <c r="EV811">
        <v>0</v>
      </c>
      <c r="EW811">
        <v>0</v>
      </c>
      <c r="EX811">
        <v>0</v>
      </c>
      <c r="EY811">
        <v>0</v>
      </c>
      <c r="FQ811">
        <v>0</v>
      </c>
      <c r="FR811">
        <f t="shared" si="741"/>
        <v>0</v>
      </c>
      <c r="FS811">
        <v>0</v>
      </c>
      <c r="FX811">
        <v>70</v>
      </c>
      <c r="FY811">
        <v>10</v>
      </c>
      <c r="GA811" t="s">
        <v>3</v>
      </c>
      <c r="GD811">
        <v>0</v>
      </c>
      <c r="GF811">
        <v>-497453288</v>
      </c>
      <c r="GG811">
        <v>2</v>
      </c>
      <c r="GH811">
        <v>1</v>
      </c>
      <c r="GI811">
        <v>-2</v>
      </c>
      <c r="GJ811">
        <v>0</v>
      </c>
      <c r="GK811">
        <f>ROUND(R811*(R12)/100,2)</f>
        <v>34252.18</v>
      </c>
      <c r="GL811">
        <f t="shared" si="742"/>
        <v>0</v>
      </c>
      <c r="GM811">
        <f t="shared" si="743"/>
        <v>87138.97</v>
      </c>
      <c r="GN811">
        <f t="shared" si="744"/>
        <v>0</v>
      </c>
      <c r="GO811">
        <f t="shared" si="745"/>
        <v>0</v>
      </c>
      <c r="GP811">
        <f t="shared" si="746"/>
        <v>87138.97</v>
      </c>
      <c r="GR811">
        <v>0</v>
      </c>
      <c r="GS811">
        <v>3</v>
      </c>
      <c r="GT811">
        <v>0</v>
      </c>
      <c r="GU811" t="s">
        <v>3</v>
      </c>
      <c r="GV811">
        <f t="shared" si="747"/>
        <v>0</v>
      </c>
      <c r="GW811">
        <v>1</v>
      </c>
      <c r="GX811">
        <f t="shared" si="748"/>
        <v>0</v>
      </c>
      <c r="HA811">
        <v>0</v>
      </c>
      <c r="HB811">
        <v>0</v>
      </c>
      <c r="HC811">
        <f t="shared" si="749"/>
        <v>0</v>
      </c>
      <c r="HE811" t="s">
        <v>3</v>
      </c>
      <c r="HF811" t="s">
        <v>3</v>
      </c>
      <c r="HM811" t="s">
        <v>3</v>
      </c>
      <c r="HN811" t="s">
        <v>3</v>
      </c>
      <c r="HO811" t="s">
        <v>3</v>
      </c>
      <c r="HP811" t="s">
        <v>3</v>
      </c>
      <c r="HQ811" t="s">
        <v>3</v>
      </c>
      <c r="IK811">
        <v>0</v>
      </c>
    </row>
    <row r="812" spans="1:245" x14ac:dyDescent="0.2">
      <c r="A812">
        <v>17</v>
      </c>
      <c r="B812">
        <v>1</v>
      </c>
      <c r="D812">
        <f>ROW(EtalonRes!A629)</f>
        <v>629</v>
      </c>
      <c r="E812" t="s">
        <v>605</v>
      </c>
      <c r="F812" t="s">
        <v>475</v>
      </c>
      <c r="G812" t="s">
        <v>476</v>
      </c>
      <c r="H812" t="s">
        <v>20</v>
      </c>
      <c r="I812">
        <f>ROUND((2160)*0.2*0.1/100,9)</f>
        <v>0.432</v>
      </c>
      <c r="J812">
        <v>0</v>
      </c>
      <c r="K812">
        <f>ROUND((2160)*0.2*0.1/100,9)</f>
        <v>0.432</v>
      </c>
      <c r="O812">
        <f t="shared" si="717"/>
        <v>2322.2800000000002</v>
      </c>
      <c r="P812">
        <f t="shared" si="718"/>
        <v>9.7200000000000006</v>
      </c>
      <c r="Q812">
        <f t="shared" si="719"/>
        <v>0</v>
      </c>
      <c r="R812">
        <f t="shared" si="720"/>
        <v>0</v>
      </c>
      <c r="S812">
        <f t="shared" si="721"/>
        <v>2312.56</v>
      </c>
      <c r="T812">
        <f t="shared" si="722"/>
        <v>0</v>
      </c>
      <c r="U812">
        <f t="shared" si="723"/>
        <v>4.32</v>
      </c>
      <c r="V812">
        <f t="shared" si="724"/>
        <v>0</v>
      </c>
      <c r="W812">
        <f t="shared" si="725"/>
        <v>0</v>
      </c>
      <c r="X812">
        <f t="shared" si="726"/>
        <v>1618.79</v>
      </c>
      <c r="Y812">
        <f t="shared" si="727"/>
        <v>231.26</v>
      </c>
      <c r="AA812">
        <v>1472224561</v>
      </c>
      <c r="AB812">
        <f t="shared" si="728"/>
        <v>5375.66</v>
      </c>
      <c r="AC812">
        <f t="shared" si="750"/>
        <v>22.51</v>
      </c>
      <c r="AD812">
        <f t="shared" si="751"/>
        <v>0</v>
      </c>
      <c r="AE812">
        <f t="shared" si="752"/>
        <v>0</v>
      </c>
      <c r="AF812">
        <f t="shared" si="752"/>
        <v>5353.15</v>
      </c>
      <c r="AG812">
        <f t="shared" si="729"/>
        <v>0</v>
      </c>
      <c r="AH812">
        <f t="shared" si="753"/>
        <v>10</v>
      </c>
      <c r="AI812">
        <f t="shared" si="753"/>
        <v>0</v>
      </c>
      <c r="AJ812">
        <f t="shared" si="730"/>
        <v>0</v>
      </c>
      <c r="AK812">
        <v>5375.66</v>
      </c>
      <c r="AL812">
        <v>22.51</v>
      </c>
      <c r="AM812">
        <v>0</v>
      </c>
      <c r="AN812">
        <v>0</v>
      </c>
      <c r="AO812">
        <v>5353.15</v>
      </c>
      <c r="AP812">
        <v>0</v>
      </c>
      <c r="AQ812">
        <v>10</v>
      </c>
      <c r="AR812">
        <v>0</v>
      </c>
      <c r="AS812">
        <v>0</v>
      </c>
      <c r="AT812">
        <v>70</v>
      </c>
      <c r="AU812">
        <v>10</v>
      </c>
      <c r="AV812">
        <v>1</v>
      </c>
      <c r="AW812">
        <v>1</v>
      </c>
      <c r="AZ812">
        <v>1</v>
      </c>
      <c r="BA812">
        <v>1</v>
      </c>
      <c r="BB812">
        <v>1</v>
      </c>
      <c r="BC812">
        <v>1</v>
      </c>
      <c r="BD812" t="s">
        <v>3</v>
      </c>
      <c r="BE812" t="s">
        <v>3</v>
      </c>
      <c r="BF812" t="s">
        <v>3</v>
      </c>
      <c r="BG812" t="s">
        <v>3</v>
      </c>
      <c r="BH812">
        <v>0</v>
      </c>
      <c r="BI812">
        <v>4</v>
      </c>
      <c r="BJ812" t="s">
        <v>477</v>
      </c>
      <c r="BM812">
        <v>0</v>
      </c>
      <c r="BN812">
        <v>0</v>
      </c>
      <c r="BO812" t="s">
        <v>3</v>
      </c>
      <c r="BP812">
        <v>0</v>
      </c>
      <c r="BQ812">
        <v>1</v>
      </c>
      <c r="BR812">
        <v>0</v>
      </c>
      <c r="BS812">
        <v>1</v>
      </c>
      <c r="BT812">
        <v>1</v>
      </c>
      <c r="BU812">
        <v>1</v>
      </c>
      <c r="BV812">
        <v>1</v>
      </c>
      <c r="BW812">
        <v>1</v>
      </c>
      <c r="BX812">
        <v>1</v>
      </c>
      <c r="BY812" t="s">
        <v>3</v>
      </c>
      <c r="BZ812">
        <v>70</v>
      </c>
      <c r="CA812">
        <v>10</v>
      </c>
      <c r="CB812" t="s">
        <v>3</v>
      </c>
      <c r="CE812">
        <v>0</v>
      </c>
      <c r="CF812">
        <v>0</v>
      </c>
      <c r="CG812">
        <v>0</v>
      </c>
      <c r="CM812">
        <v>0</v>
      </c>
      <c r="CN812" t="s">
        <v>3</v>
      </c>
      <c r="CO812">
        <v>0</v>
      </c>
      <c r="CP812">
        <f t="shared" si="731"/>
        <v>2322.2799999999997</v>
      </c>
      <c r="CQ812">
        <f t="shared" si="732"/>
        <v>22.51</v>
      </c>
      <c r="CR812">
        <f t="shared" si="754"/>
        <v>0</v>
      </c>
      <c r="CS812">
        <f t="shared" si="733"/>
        <v>0</v>
      </c>
      <c r="CT812">
        <f t="shared" si="734"/>
        <v>5353.15</v>
      </c>
      <c r="CU812">
        <f t="shared" si="735"/>
        <v>0</v>
      </c>
      <c r="CV812">
        <f t="shared" si="736"/>
        <v>10</v>
      </c>
      <c r="CW812">
        <f t="shared" si="737"/>
        <v>0</v>
      </c>
      <c r="CX812">
        <f t="shared" si="738"/>
        <v>0</v>
      </c>
      <c r="CY812">
        <f t="shared" si="739"/>
        <v>1618.7919999999999</v>
      </c>
      <c r="CZ812">
        <f t="shared" si="740"/>
        <v>231.25599999999997</v>
      </c>
      <c r="DC812" t="s">
        <v>3</v>
      </c>
      <c r="DD812" t="s">
        <v>3</v>
      </c>
      <c r="DE812" t="s">
        <v>3</v>
      </c>
      <c r="DF812" t="s">
        <v>3</v>
      </c>
      <c r="DG812" t="s">
        <v>3</v>
      </c>
      <c r="DH812" t="s">
        <v>3</v>
      </c>
      <c r="DI812" t="s">
        <v>3</v>
      </c>
      <c r="DJ812" t="s">
        <v>3</v>
      </c>
      <c r="DK812" t="s">
        <v>3</v>
      </c>
      <c r="DL812" t="s">
        <v>3</v>
      </c>
      <c r="DM812" t="s">
        <v>3</v>
      </c>
      <c r="DN812">
        <v>0</v>
      </c>
      <c r="DO812">
        <v>0</v>
      </c>
      <c r="DP812">
        <v>1</v>
      </c>
      <c r="DQ812">
        <v>1</v>
      </c>
      <c r="DU812">
        <v>1003</v>
      </c>
      <c r="DV812" t="s">
        <v>20</v>
      </c>
      <c r="DW812" t="s">
        <v>20</v>
      </c>
      <c r="DX812">
        <v>100</v>
      </c>
      <c r="DZ812" t="s">
        <v>3</v>
      </c>
      <c r="EA812" t="s">
        <v>3</v>
      </c>
      <c r="EB812" t="s">
        <v>3</v>
      </c>
      <c r="EC812" t="s">
        <v>3</v>
      </c>
      <c r="EE812">
        <v>1441815344</v>
      </c>
      <c r="EF812">
        <v>1</v>
      </c>
      <c r="EG812" t="s">
        <v>23</v>
      </c>
      <c r="EH812">
        <v>0</v>
      </c>
      <c r="EI812" t="s">
        <v>3</v>
      </c>
      <c r="EJ812">
        <v>4</v>
      </c>
      <c r="EK812">
        <v>0</v>
      </c>
      <c r="EL812" t="s">
        <v>24</v>
      </c>
      <c r="EM812" t="s">
        <v>25</v>
      </c>
      <c r="EO812" t="s">
        <v>3</v>
      </c>
      <c r="EQ812">
        <v>0</v>
      </c>
      <c r="ER812">
        <v>5375.66</v>
      </c>
      <c r="ES812">
        <v>22.51</v>
      </c>
      <c r="ET812">
        <v>0</v>
      </c>
      <c r="EU812">
        <v>0</v>
      </c>
      <c r="EV812">
        <v>5353.15</v>
      </c>
      <c r="EW812">
        <v>10</v>
      </c>
      <c r="EX812">
        <v>0</v>
      </c>
      <c r="EY812">
        <v>0</v>
      </c>
      <c r="FQ812">
        <v>0</v>
      </c>
      <c r="FR812">
        <f t="shared" si="741"/>
        <v>0</v>
      </c>
      <c r="FS812">
        <v>0</v>
      </c>
      <c r="FX812">
        <v>70</v>
      </c>
      <c r="FY812">
        <v>10</v>
      </c>
      <c r="GA812" t="s">
        <v>3</v>
      </c>
      <c r="GD812">
        <v>0</v>
      </c>
      <c r="GF812">
        <v>409781007</v>
      </c>
      <c r="GG812">
        <v>2</v>
      </c>
      <c r="GH812">
        <v>1</v>
      </c>
      <c r="GI812">
        <v>-2</v>
      </c>
      <c r="GJ812">
        <v>0</v>
      </c>
      <c r="GK812">
        <f>ROUND(R812*(R12)/100,2)</f>
        <v>0</v>
      </c>
      <c r="GL812">
        <f t="shared" si="742"/>
        <v>0</v>
      </c>
      <c r="GM812">
        <f t="shared" si="743"/>
        <v>4172.33</v>
      </c>
      <c r="GN812">
        <f t="shared" si="744"/>
        <v>0</v>
      </c>
      <c r="GO812">
        <f t="shared" si="745"/>
        <v>0</v>
      </c>
      <c r="GP812">
        <f t="shared" si="746"/>
        <v>4172.33</v>
      </c>
      <c r="GR812">
        <v>0</v>
      </c>
      <c r="GS812">
        <v>3</v>
      </c>
      <c r="GT812">
        <v>0</v>
      </c>
      <c r="GU812" t="s">
        <v>3</v>
      </c>
      <c r="GV812">
        <f t="shared" si="747"/>
        <v>0</v>
      </c>
      <c r="GW812">
        <v>1</v>
      </c>
      <c r="GX812">
        <f t="shared" si="748"/>
        <v>0</v>
      </c>
      <c r="HA812">
        <v>0</v>
      </c>
      <c r="HB812">
        <v>0</v>
      </c>
      <c r="HC812">
        <f t="shared" si="749"/>
        <v>0</v>
      </c>
      <c r="HE812" t="s">
        <v>3</v>
      </c>
      <c r="HF812" t="s">
        <v>3</v>
      </c>
      <c r="HM812" t="s">
        <v>3</v>
      </c>
      <c r="HN812" t="s">
        <v>3</v>
      </c>
      <c r="HO812" t="s">
        <v>3</v>
      </c>
      <c r="HP812" t="s">
        <v>3</v>
      </c>
      <c r="HQ812" t="s">
        <v>3</v>
      </c>
      <c r="IK812">
        <v>0</v>
      </c>
    </row>
    <row r="813" spans="1:245" x14ac:dyDescent="0.2">
      <c r="A813">
        <v>17</v>
      </c>
      <c r="B813">
        <v>1</v>
      </c>
      <c r="D813">
        <f>ROW(EtalonRes!A630)</f>
        <v>630</v>
      </c>
      <c r="E813" t="s">
        <v>3</v>
      </c>
      <c r="F813" t="s">
        <v>478</v>
      </c>
      <c r="G813" t="s">
        <v>479</v>
      </c>
      <c r="H813" t="s">
        <v>20</v>
      </c>
      <c r="I813">
        <f>ROUND(2160*0.1/100,9)</f>
        <v>2.16</v>
      </c>
      <c r="J813">
        <v>0</v>
      </c>
      <c r="K813">
        <f>ROUND(2160*0.1/100,9)</f>
        <v>2.16</v>
      </c>
      <c r="O813">
        <f t="shared" si="717"/>
        <v>381.59</v>
      </c>
      <c r="P813">
        <f t="shared" si="718"/>
        <v>0</v>
      </c>
      <c r="Q813">
        <f t="shared" si="719"/>
        <v>0</v>
      </c>
      <c r="R813">
        <f t="shared" si="720"/>
        <v>0</v>
      </c>
      <c r="S813">
        <f t="shared" si="721"/>
        <v>381.59</v>
      </c>
      <c r="T813">
        <f t="shared" si="722"/>
        <v>0</v>
      </c>
      <c r="U813">
        <f t="shared" si="723"/>
        <v>0.7128000000000001</v>
      </c>
      <c r="V813">
        <f t="shared" si="724"/>
        <v>0</v>
      </c>
      <c r="W813">
        <f t="shared" si="725"/>
        <v>0</v>
      </c>
      <c r="X813">
        <f t="shared" si="726"/>
        <v>267.11</v>
      </c>
      <c r="Y813">
        <f t="shared" si="727"/>
        <v>38.159999999999997</v>
      </c>
      <c r="AA813">
        <v>-1</v>
      </c>
      <c r="AB813">
        <f t="shared" si="728"/>
        <v>176.66</v>
      </c>
      <c r="AC813">
        <f t="shared" si="750"/>
        <v>0</v>
      </c>
      <c r="AD813">
        <f t="shared" si="751"/>
        <v>0</v>
      </c>
      <c r="AE813">
        <f t="shared" si="752"/>
        <v>0</v>
      </c>
      <c r="AF813">
        <f t="shared" si="752"/>
        <v>176.66</v>
      </c>
      <c r="AG813">
        <f t="shared" si="729"/>
        <v>0</v>
      </c>
      <c r="AH813">
        <f t="shared" si="753"/>
        <v>0.33</v>
      </c>
      <c r="AI813">
        <f t="shared" si="753"/>
        <v>0</v>
      </c>
      <c r="AJ813">
        <f t="shared" si="730"/>
        <v>0</v>
      </c>
      <c r="AK813">
        <v>176.66</v>
      </c>
      <c r="AL813">
        <v>0</v>
      </c>
      <c r="AM813">
        <v>0</v>
      </c>
      <c r="AN813">
        <v>0</v>
      </c>
      <c r="AO813">
        <v>176.66</v>
      </c>
      <c r="AP813">
        <v>0</v>
      </c>
      <c r="AQ813">
        <v>0.33</v>
      </c>
      <c r="AR813">
        <v>0</v>
      </c>
      <c r="AS813">
        <v>0</v>
      </c>
      <c r="AT813">
        <v>70</v>
      </c>
      <c r="AU813">
        <v>10</v>
      </c>
      <c r="AV813">
        <v>1</v>
      </c>
      <c r="AW813">
        <v>1</v>
      </c>
      <c r="AZ813">
        <v>1</v>
      </c>
      <c r="BA813">
        <v>1</v>
      </c>
      <c r="BB813">
        <v>1</v>
      </c>
      <c r="BC813">
        <v>1</v>
      </c>
      <c r="BD813" t="s">
        <v>3</v>
      </c>
      <c r="BE813" t="s">
        <v>3</v>
      </c>
      <c r="BF813" t="s">
        <v>3</v>
      </c>
      <c r="BG813" t="s">
        <v>3</v>
      </c>
      <c r="BH813">
        <v>0</v>
      </c>
      <c r="BI813">
        <v>4</v>
      </c>
      <c r="BJ813" t="s">
        <v>480</v>
      </c>
      <c r="BM813">
        <v>0</v>
      </c>
      <c r="BN813">
        <v>0</v>
      </c>
      <c r="BO813" t="s">
        <v>3</v>
      </c>
      <c r="BP813">
        <v>0</v>
      </c>
      <c r="BQ813">
        <v>1</v>
      </c>
      <c r="BR813">
        <v>0</v>
      </c>
      <c r="BS813">
        <v>1</v>
      </c>
      <c r="BT813">
        <v>1</v>
      </c>
      <c r="BU813">
        <v>1</v>
      </c>
      <c r="BV813">
        <v>1</v>
      </c>
      <c r="BW813">
        <v>1</v>
      </c>
      <c r="BX813">
        <v>1</v>
      </c>
      <c r="BY813" t="s">
        <v>3</v>
      </c>
      <c r="BZ813">
        <v>70</v>
      </c>
      <c r="CA813">
        <v>10</v>
      </c>
      <c r="CB813" t="s">
        <v>3</v>
      </c>
      <c r="CE813">
        <v>0</v>
      </c>
      <c r="CF813">
        <v>0</v>
      </c>
      <c r="CG813">
        <v>0</v>
      </c>
      <c r="CM813">
        <v>0</v>
      </c>
      <c r="CN813" t="s">
        <v>3</v>
      </c>
      <c r="CO813">
        <v>0</v>
      </c>
      <c r="CP813">
        <f t="shared" si="731"/>
        <v>381.59</v>
      </c>
      <c r="CQ813">
        <f t="shared" si="732"/>
        <v>0</v>
      </c>
      <c r="CR813">
        <f t="shared" si="754"/>
        <v>0</v>
      </c>
      <c r="CS813">
        <f t="shared" si="733"/>
        <v>0</v>
      </c>
      <c r="CT813">
        <f t="shared" si="734"/>
        <v>176.66</v>
      </c>
      <c r="CU813">
        <f t="shared" si="735"/>
        <v>0</v>
      </c>
      <c r="CV813">
        <f t="shared" si="736"/>
        <v>0.33</v>
      </c>
      <c r="CW813">
        <f t="shared" si="737"/>
        <v>0</v>
      </c>
      <c r="CX813">
        <f t="shared" si="738"/>
        <v>0</v>
      </c>
      <c r="CY813">
        <f t="shared" si="739"/>
        <v>267.113</v>
      </c>
      <c r="CZ813">
        <f t="shared" si="740"/>
        <v>38.158999999999999</v>
      </c>
      <c r="DC813" t="s">
        <v>3</v>
      </c>
      <c r="DD813" t="s">
        <v>3</v>
      </c>
      <c r="DE813" t="s">
        <v>3</v>
      </c>
      <c r="DF813" t="s">
        <v>3</v>
      </c>
      <c r="DG813" t="s">
        <v>3</v>
      </c>
      <c r="DH813" t="s">
        <v>3</v>
      </c>
      <c r="DI813" t="s">
        <v>3</v>
      </c>
      <c r="DJ813" t="s">
        <v>3</v>
      </c>
      <c r="DK813" t="s">
        <v>3</v>
      </c>
      <c r="DL813" t="s">
        <v>3</v>
      </c>
      <c r="DM813" t="s">
        <v>3</v>
      </c>
      <c r="DN813">
        <v>0</v>
      </c>
      <c r="DO813">
        <v>0</v>
      </c>
      <c r="DP813">
        <v>1</v>
      </c>
      <c r="DQ813">
        <v>1</v>
      </c>
      <c r="DU813">
        <v>1003</v>
      </c>
      <c r="DV813" t="s">
        <v>20</v>
      </c>
      <c r="DW813" t="s">
        <v>20</v>
      </c>
      <c r="DX813">
        <v>100</v>
      </c>
      <c r="DZ813" t="s">
        <v>3</v>
      </c>
      <c r="EA813" t="s">
        <v>3</v>
      </c>
      <c r="EB813" t="s">
        <v>3</v>
      </c>
      <c r="EC813" t="s">
        <v>3</v>
      </c>
      <c r="EE813">
        <v>1441815344</v>
      </c>
      <c r="EF813">
        <v>1</v>
      </c>
      <c r="EG813" t="s">
        <v>23</v>
      </c>
      <c r="EH813">
        <v>0</v>
      </c>
      <c r="EI813" t="s">
        <v>3</v>
      </c>
      <c r="EJ813">
        <v>4</v>
      </c>
      <c r="EK813">
        <v>0</v>
      </c>
      <c r="EL813" t="s">
        <v>24</v>
      </c>
      <c r="EM813" t="s">
        <v>25</v>
      </c>
      <c r="EO813" t="s">
        <v>3</v>
      </c>
      <c r="EQ813">
        <v>1024</v>
      </c>
      <c r="ER813">
        <v>176.66</v>
      </c>
      <c r="ES813">
        <v>0</v>
      </c>
      <c r="ET813">
        <v>0</v>
      </c>
      <c r="EU813">
        <v>0</v>
      </c>
      <c r="EV813">
        <v>176.66</v>
      </c>
      <c r="EW813">
        <v>0.33</v>
      </c>
      <c r="EX813">
        <v>0</v>
      </c>
      <c r="EY813">
        <v>0</v>
      </c>
      <c r="FQ813">
        <v>0</v>
      </c>
      <c r="FR813">
        <f t="shared" si="741"/>
        <v>0</v>
      </c>
      <c r="FS813">
        <v>0</v>
      </c>
      <c r="FX813">
        <v>70</v>
      </c>
      <c r="FY813">
        <v>10</v>
      </c>
      <c r="GA813" t="s">
        <v>3</v>
      </c>
      <c r="GD813">
        <v>0</v>
      </c>
      <c r="GF813">
        <v>-89122687</v>
      </c>
      <c r="GG813">
        <v>2</v>
      </c>
      <c r="GH813">
        <v>1</v>
      </c>
      <c r="GI813">
        <v>-2</v>
      </c>
      <c r="GJ813">
        <v>0</v>
      </c>
      <c r="GK813">
        <f>ROUND(R813*(R12)/100,2)</f>
        <v>0</v>
      </c>
      <c r="GL813">
        <f t="shared" si="742"/>
        <v>0</v>
      </c>
      <c r="GM813">
        <f t="shared" si="743"/>
        <v>686.86</v>
      </c>
      <c r="GN813">
        <f t="shared" si="744"/>
        <v>0</v>
      </c>
      <c r="GO813">
        <f t="shared" si="745"/>
        <v>0</v>
      </c>
      <c r="GP813">
        <f t="shared" si="746"/>
        <v>686.86</v>
      </c>
      <c r="GR813">
        <v>0</v>
      </c>
      <c r="GS813">
        <v>3</v>
      </c>
      <c r="GT813">
        <v>0</v>
      </c>
      <c r="GU813" t="s">
        <v>3</v>
      </c>
      <c r="GV813">
        <f t="shared" si="747"/>
        <v>0</v>
      </c>
      <c r="GW813">
        <v>1</v>
      </c>
      <c r="GX813">
        <f t="shared" si="748"/>
        <v>0</v>
      </c>
      <c r="HA813">
        <v>0</v>
      </c>
      <c r="HB813">
        <v>0</v>
      </c>
      <c r="HC813">
        <f t="shared" si="749"/>
        <v>0</v>
      </c>
      <c r="HE813" t="s">
        <v>3</v>
      </c>
      <c r="HF813" t="s">
        <v>3</v>
      </c>
      <c r="HM813" t="s">
        <v>3</v>
      </c>
      <c r="HN813" t="s">
        <v>3</v>
      </c>
      <c r="HO813" t="s">
        <v>3</v>
      </c>
      <c r="HP813" t="s">
        <v>3</v>
      </c>
      <c r="HQ813" t="s">
        <v>3</v>
      </c>
      <c r="IK813">
        <v>0</v>
      </c>
    </row>
    <row r="814" spans="1:245" x14ac:dyDescent="0.2">
      <c r="A814">
        <v>17</v>
      </c>
      <c r="B814">
        <v>1</v>
      </c>
      <c r="D814">
        <f>ROW(EtalonRes!A634)</f>
        <v>634</v>
      </c>
      <c r="E814" t="s">
        <v>3</v>
      </c>
      <c r="F814" t="s">
        <v>570</v>
      </c>
      <c r="G814" t="s">
        <v>571</v>
      </c>
      <c r="H814" t="s">
        <v>32</v>
      </c>
      <c r="I814">
        <f>ROUND(225,9)</f>
        <v>225</v>
      </c>
      <c r="J814">
        <v>0</v>
      </c>
      <c r="K814">
        <f>ROUND(225,9)</f>
        <v>225</v>
      </c>
      <c r="O814">
        <f t="shared" si="717"/>
        <v>134732.25</v>
      </c>
      <c r="P814">
        <f t="shared" si="718"/>
        <v>1354.5</v>
      </c>
      <c r="Q814">
        <f t="shared" si="719"/>
        <v>0</v>
      </c>
      <c r="R814">
        <f t="shared" si="720"/>
        <v>0</v>
      </c>
      <c r="S814">
        <f t="shared" si="721"/>
        <v>133377.75</v>
      </c>
      <c r="T814">
        <f t="shared" si="722"/>
        <v>0</v>
      </c>
      <c r="U814">
        <f t="shared" si="723"/>
        <v>216</v>
      </c>
      <c r="V814">
        <f t="shared" si="724"/>
        <v>0</v>
      </c>
      <c r="W814">
        <f t="shared" si="725"/>
        <v>0</v>
      </c>
      <c r="X814">
        <f t="shared" si="726"/>
        <v>93364.43</v>
      </c>
      <c r="Y814">
        <f t="shared" si="727"/>
        <v>13337.78</v>
      </c>
      <c r="AA814">
        <v>-1</v>
      </c>
      <c r="AB814">
        <f t="shared" si="728"/>
        <v>598.80999999999995</v>
      </c>
      <c r="AC814">
        <f t="shared" si="750"/>
        <v>6.02</v>
      </c>
      <c r="AD814">
        <f t="shared" si="751"/>
        <v>0</v>
      </c>
      <c r="AE814">
        <f t="shared" si="752"/>
        <v>0</v>
      </c>
      <c r="AF814">
        <f t="shared" si="752"/>
        <v>592.79</v>
      </c>
      <c r="AG814">
        <f t="shared" si="729"/>
        <v>0</v>
      </c>
      <c r="AH814">
        <f t="shared" si="753"/>
        <v>0.96</v>
      </c>
      <c r="AI814">
        <f t="shared" si="753"/>
        <v>0</v>
      </c>
      <c r="AJ814">
        <f t="shared" si="730"/>
        <v>0</v>
      </c>
      <c r="AK814">
        <v>598.80999999999995</v>
      </c>
      <c r="AL814">
        <v>6.02</v>
      </c>
      <c r="AM814">
        <v>0</v>
      </c>
      <c r="AN814">
        <v>0</v>
      </c>
      <c r="AO814">
        <v>592.79</v>
      </c>
      <c r="AP814">
        <v>0</v>
      </c>
      <c r="AQ814">
        <v>0.96</v>
      </c>
      <c r="AR814">
        <v>0</v>
      </c>
      <c r="AS814">
        <v>0</v>
      </c>
      <c r="AT814">
        <v>70</v>
      </c>
      <c r="AU814">
        <v>10</v>
      </c>
      <c r="AV814">
        <v>1</v>
      </c>
      <c r="AW814">
        <v>1</v>
      </c>
      <c r="AZ814">
        <v>1</v>
      </c>
      <c r="BA814">
        <v>1</v>
      </c>
      <c r="BB814">
        <v>1</v>
      </c>
      <c r="BC814">
        <v>1</v>
      </c>
      <c r="BD814" t="s">
        <v>3</v>
      </c>
      <c r="BE814" t="s">
        <v>3</v>
      </c>
      <c r="BF814" t="s">
        <v>3</v>
      </c>
      <c r="BG814" t="s">
        <v>3</v>
      </c>
      <c r="BH814">
        <v>0</v>
      </c>
      <c r="BI814">
        <v>4</v>
      </c>
      <c r="BJ814" t="s">
        <v>572</v>
      </c>
      <c r="BM814">
        <v>0</v>
      </c>
      <c r="BN814">
        <v>0</v>
      </c>
      <c r="BO814" t="s">
        <v>3</v>
      </c>
      <c r="BP814">
        <v>0</v>
      </c>
      <c r="BQ814">
        <v>1</v>
      </c>
      <c r="BR814">
        <v>0</v>
      </c>
      <c r="BS814">
        <v>1</v>
      </c>
      <c r="BT814">
        <v>1</v>
      </c>
      <c r="BU814">
        <v>1</v>
      </c>
      <c r="BV814">
        <v>1</v>
      </c>
      <c r="BW814">
        <v>1</v>
      </c>
      <c r="BX814">
        <v>1</v>
      </c>
      <c r="BY814" t="s">
        <v>3</v>
      </c>
      <c r="BZ814">
        <v>70</v>
      </c>
      <c r="CA814">
        <v>10</v>
      </c>
      <c r="CB814" t="s">
        <v>3</v>
      </c>
      <c r="CE814">
        <v>0</v>
      </c>
      <c r="CF814">
        <v>0</v>
      </c>
      <c r="CG814">
        <v>0</v>
      </c>
      <c r="CM814">
        <v>0</v>
      </c>
      <c r="CN814" t="s">
        <v>3</v>
      </c>
      <c r="CO814">
        <v>0</v>
      </c>
      <c r="CP814">
        <f t="shared" si="731"/>
        <v>134732.25</v>
      </c>
      <c r="CQ814">
        <f t="shared" si="732"/>
        <v>6.02</v>
      </c>
      <c r="CR814">
        <f t="shared" si="754"/>
        <v>0</v>
      </c>
      <c r="CS814">
        <f t="shared" si="733"/>
        <v>0</v>
      </c>
      <c r="CT814">
        <f t="shared" si="734"/>
        <v>592.79</v>
      </c>
      <c r="CU814">
        <f t="shared" si="735"/>
        <v>0</v>
      </c>
      <c r="CV814">
        <f t="shared" si="736"/>
        <v>0.96</v>
      </c>
      <c r="CW814">
        <f t="shared" si="737"/>
        <v>0</v>
      </c>
      <c r="CX814">
        <f t="shared" si="738"/>
        <v>0</v>
      </c>
      <c r="CY814">
        <f t="shared" si="739"/>
        <v>93364.425000000003</v>
      </c>
      <c r="CZ814">
        <f t="shared" si="740"/>
        <v>13337.775</v>
      </c>
      <c r="DC814" t="s">
        <v>3</v>
      </c>
      <c r="DD814" t="s">
        <v>3</v>
      </c>
      <c r="DE814" t="s">
        <v>3</v>
      </c>
      <c r="DF814" t="s">
        <v>3</v>
      </c>
      <c r="DG814" t="s">
        <v>3</v>
      </c>
      <c r="DH814" t="s">
        <v>3</v>
      </c>
      <c r="DI814" t="s">
        <v>3</v>
      </c>
      <c r="DJ814" t="s">
        <v>3</v>
      </c>
      <c r="DK814" t="s">
        <v>3</v>
      </c>
      <c r="DL814" t="s">
        <v>3</v>
      </c>
      <c r="DM814" t="s">
        <v>3</v>
      </c>
      <c r="DN814">
        <v>0</v>
      </c>
      <c r="DO814">
        <v>0</v>
      </c>
      <c r="DP814">
        <v>1</v>
      </c>
      <c r="DQ814">
        <v>1</v>
      </c>
      <c r="DU814">
        <v>16987630</v>
      </c>
      <c r="DV814" t="s">
        <v>32</v>
      </c>
      <c r="DW814" t="s">
        <v>32</v>
      </c>
      <c r="DX814">
        <v>1</v>
      </c>
      <c r="DZ814" t="s">
        <v>3</v>
      </c>
      <c r="EA814" t="s">
        <v>3</v>
      </c>
      <c r="EB814" t="s">
        <v>3</v>
      </c>
      <c r="EC814" t="s">
        <v>3</v>
      </c>
      <c r="EE814">
        <v>1441815344</v>
      </c>
      <c r="EF814">
        <v>1</v>
      </c>
      <c r="EG814" t="s">
        <v>23</v>
      </c>
      <c r="EH814">
        <v>0</v>
      </c>
      <c r="EI814" t="s">
        <v>3</v>
      </c>
      <c r="EJ814">
        <v>4</v>
      </c>
      <c r="EK814">
        <v>0</v>
      </c>
      <c r="EL814" t="s">
        <v>24</v>
      </c>
      <c r="EM814" t="s">
        <v>25</v>
      </c>
      <c r="EO814" t="s">
        <v>3</v>
      </c>
      <c r="EQ814">
        <v>1311744</v>
      </c>
      <c r="ER814">
        <v>598.80999999999995</v>
      </c>
      <c r="ES814">
        <v>6.02</v>
      </c>
      <c r="ET814">
        <v>0</v>
      </c>
      <c r="EU814">
        <v>0</v>
      </c>
      <c r="EV814">
        <v>592.79</v>
      </c>
      <c r="EW814">
        <v>0.96</v>
      </c>
      <c r="EX814">
        <v>0</v>
      </c>
      <c r="EY814">
        <v>0</v>
      </c>
      <c r="FQ814">
        <v>0</v>
      </c>
      <c r="FR814">
        <f t="shared" si="741"/>
        <v>0</v>
      </c>
      <c r="FS814">
        <v>0</v>
      </c>
      <c r="FX814">
        <v>70</v>
      </c>
      <c r="FY814">
        <v>10</v>
      </c>
      <c r="GA814" t="s">
        <v>3</v>
      </c>
      <c r="GD814">
        <v>0</v>
      </c>
      <c r="GF814">
        <v>-182643255</v>
      </c>
      <c r="GG814">
        <v>2</v>
      </c>
      <c r="GH814">
        <v>1</v>
      </c>
      <c r="GI814">
        <v>-2</v>
      </c>
      <c r="GJ814">
        <v>0</v>
      </c>
      <c r="GK814">
        <f>ROUND(R814*(R12)/100,2)</f>
        <v>0</v>
      </c>
      <c r="GL814">
        <f t="shared" si="742"/>
        <v>0</v>
      </c>
      <c r="GM814">
        <f t="shared" si="743"/>
        <v>241434.46</v>
      </c>
      <c r="GN814">
        <f t="shared" si="744"/>
        <v>0</v>
      </c>
      <c r="GO814">
        <f t="shared" si="745"/>
        <v>0</v>
      </c>
      <c r="GP814">
        <f t="shared" si="746"/>
        <v>241434.46</v>
      </c>
      <c r="GR814">
        <v>0</v>
      </c>
      <c r="GS814">
        <v>3</v>
      </c>
      <c r="GT814">
        <v>0</v>
      </c>
      <c r="GU814" t="s">
        <v>3</v>
      </c>
      <c r="GV814">
        <f t="shared" si="747"/>
        <v>0</v>
      </c>
      <c r="GW814">
        <v>1</v>
      </c>
      <c r="GX814">
        <f t="shared" si="748"/>
        <v>0</v>
      </c>
      <c r="HA814">
        <v>0</v>
      </c>
      <c r="HB814">
        <v>0</v>
      </c>
      <c r="HC814">
        <f t="shared" si="749"/>
        <v>0</v>
      </c>
      <c r="HE814" t="s">
        <v>3</v>
      </c>
      <c r="HF814" t="s">
        <v>3</v>
      </c>
      <c r="HM814" t="s">
        <v>3</v>
      </c>
      <c r="HN814" t="s">
        <v>3</v>
      </c>
      <c r="HO814" t="s">
        <v>3</v>
      </c>
      <c r="HP814" t="s">
        <v>3</v>
      </c>
      <c r="HQ814" t="s">
        <v>3</v>
      </c>
      <c r="IK814">
        <v>0</v>
      </c>
    </row>
    <row r="816" spans="1:245" x14ac:dyDescent="0.2">
      <c r="A816" s="2">
        <v>51</v>
      </c>
      <c r="B816" s="2">
        <f>B798</f>
        <v>1</v>
      </c>
      <c r="C816" s="2">
        <f>A798</f>
        <v>5</v>
      </c>
      <c r="D816" s="2">
        <f>ROW(A798)</f>
        <v>798</v>
      </c>
      <c r="E816" s="2"/>
      <c r="F816" s="2" t="str">
        <f>IF(F798&lt;&gt;"",F798,"")</f>
        <v>Новый подраздел</v>
      </c>
      <c r="G816" s="2" t="str">
        <f>IF(G798&lt;&gt;"",G798,"")</f>
        <v>Архитектурное освещение фасада</v>
      </c>
      <c r="H816" s="2">
        <v>0</v>
      </c>
      <c r="I816" s="2"/>
      <c r="J816" s="2"/>
      <c r="K816" s="2"/>
      <c r="L816" s="2"/>
      <c r="M816" s="2"/>
      <c r="N816" s="2"/>
      <c r="O816" s="2">
        <f t="shared" ref="O816:T816" si="755">ROUND(AB816,2)</f>
        <v>62838.400000000001</v>
      </c>
      <c r="P816" s="2">
        <f t="shared" si="755"/>
        <v>504.16</v>
      </c>
      <c r="Q816" s="2">
        <f t="shared" si="755"/>
        <v>0</v>
      </c>
      <c r="R816" s="2">
        <f t="shared" si="755"/>
        <v>0</v>
      </c>
      <c r="S816" s="2">
        <f t="shared" si="755"/>
        <v>62334.239999999998</v>
      </c>
      <c r="T816" s="2">
        <f t="shared" si="755"/>
        <v>0</v>
      </c>
      <c r="U816" s="2">
        <f>AH816</f>
        <v>107.16</v>
      </c>
      <c r="V816" s="2">
        <f>AI816</f>
        <v>0</v>
      </c>
      <c r="W816" s="2">
        <f>ROUND(AJ816,2)</f>
        <v>0</v>
      </c>
      <c r="X816" s="2">
        <f>ROUND(AK816,2)</f>
        <v>43633.96</v>
      </c>
      <c r="Y816" s="2">
        <f>ROUND(AL816,2)</f>
        <v>6233.43</v>
      </c>
      <c r="Z816" s="2"/>
      <c r="AA816" s="2"/>
      <c r="AB816" s="2">
        <f>ROUND(SUMIF(AA802:AA814,"=1472224561",O802:O814),2)</f>
        <v>62838.400000000001</v>
      </c>
      <c r="AC816" s="2">
        <f>ROUND(SUMIF(AA802:AA814,"=1472224561",P802:P814),2)</f>
        <v>504.16</v>
      </c>
      <c r="AD816" s="2">
        <f>ROUND(SUMIF(AA802:AA814,"=1472224561",Q802:Q814),2)</f>
        <v>0</v>
      </c>
      <c r="AE816" s="2">
        <f>ROUND(SUMIF(AA802:AA814,"=1472224561",R802:R814),2)</f>
        <v>0</v>
      </c>
      <c r="AF816" s="2">
        <f>ROUND(SUMIF(AA802:AA814,"=1472224561",S802:S814),2)</f>
        <v>62334.239999999998</v>
      </c>
      <c r="AG816" s="2">
        <f>ROUND(SUMIF(AA802:AA814,"=1472224561",T802:T814),2)</f>
        <v>0</v>
      </c>
      <c r="AH816" s="2">
        <f>SUMIF(AA802:AA814,"=1472224561",U802:U814)</f>
        <v>107.16</v>
      </c>
      <c r="AI816" s="2">
        <f>SUMIF(AA802:AA814,"=1472224561",V802:V814)</f>
        <v>0</v>
      </c>
      <c r="AJ816" s="2">
        <f>ROUND(SUMIF(AA802:AA814,"=1472224561",W802:W814),2)</f>
        <v>0</v>
      </c>
      <c r="AK816" s="2">
        <f>ROUND(SUMIF(AA802:AA814,"=1472224561",X802:X814),2)</f>
        <v>43633.96</v>
      </c>
      <c r="AL816" s="2">
        <f>ROUND(SUMIF(AA802:AA814,"=1472224561",Y802:Y814),2)</f>
        <v>6233.43</v>
      </c>
      <c r="AM816" s="2"/>
      <c r="AN816" s="2"/>
      <c r="AO816" s="2">
        <f t="shared" ref="AO816:BD816" si="756">ROUND(BX816,2)</f>
        <v>0</v>
      </c>
      <c r="AP816" s="2">
        <f t="shared" si="756"/>
        <v>0</v>
      </c>
      <c r="AQ816" s="2">
        <f t="shared" si="756"/>
        <v>0</v>
      </c>
      <c r="AR816" s="2">
        <f t="shared" si="756"/>
        <v>112705.79</v>
      </c>
      <c r="AS816" s="2">
        <f t="shared" si="756"/>
        <v>0</v>
      </c>
      <c r="AT816" s="2">
        <f t="shared" si="756"/>
        <v>0</v>
      </c>
      <c r="AU816" s="2">
        <f t="shared" si="756"/>
        <v>112705.79</v>
      </c>
      <c r="AV816" s="2">
        <f t="shared" si="756"/>
        <v>504.16</v>
      </c>
      <c r="AW816" s="2">
        <f t="shared" si="756"/>
        <v>504.16</v>
      </c>
      <c r="AX816" s="2">
        <f t="shared" si="756"/>
        <v>0</v>
      </c>
      <c r="AY816" s="2">
        <f t="shared" si="756"/>
        <v>504.16</v>
      </c>
      <c r="AZ816" s="2">
        <f t="shared" si="756"/>
        <v>0</v>
      </c>
      <c r="BA816" s="2">
        <f t="shared" si="756"/>
        <v>0</v>
      </c>
      <c r="BB816" s="2">
        <f t="shared" si="756"/>
        <v>0</v>
      </c>
      <c r="BC816" s="2">
        <f t="shared" si="756"/>
        <v>0</v>
      </c>
      <c r="BD816" s="2">
        <f t="shared" si="756"/>
        <v>0</v>
      </c>
      <c r="BE816" s="2"/>
      <c r="BF816" s="2"/>
      <c r="BG816" s="2"/>
      <c r="BH816" s="2"/>
      <c r="BI816" s="2"/>
      <c r="BJ816" s="2"/>
      <c r="BK816" s="2"/>
      <c r="BL816" s="2"/>
      <c r="BM816" s="2"/>
      <c r="BN816" s="2"/>
      <c r="BO816" s="2"/>
      <c r="BP816" s="2"/>
      <c r="BQ816" s="2"/>
      <c r="BR816" s="2"/>
      <c r="BS816" s="2"/>
      <c r="BT816" s="2"/>
      <c r="BU816" s="2"/>
      <c r="BV816" s="2"/>
      <c r="BW816" s="2"/>
      <c r="BX816" s="2">
        <f>ROUND(SUMIF(AA802:AA814,"=1472224561",FQ802:FQ814),2)</f>
        <v>0</v>
      </c>
      <c r="BY816" s="2">
        <f>ROUND(SUMIF(AA802:AA814,"=1472224561",FR802:FR814),2)</f>
        <v>0</v>
      </c>
      <c r="BZ816" s="2">
        <f>ROUND(SUMIF(AA802:AA814,"=1472224561",GL802:GL814),2)</f>
        <v>0</v>
      </c>
      <c r="CA816" s="2">
        <f>ROUND(SUMIF(AA802:AA814,"=1472224561",GM802:GM814),2)</f>
        <v>112705.79</v>
      </c>
      <c r="CB816" s="2">
        <f>ROUND(SUMIF(AA802:AA814,"=1472224561",GN802:GN814),2)</f>
        <v>0</v>
      </c>
      <c r="CC816" s="2">
        <f>ROUND(SUMIF(AA802:AA814,"=1472224561",GO802:GO814),2)</f>
        <v>0</v>
      </c>
      <c r="CD816" s="2">
        <f>ROUND(SUMIF(AA802:AA814,"=1472224561",GP802:GP814),2)</f>
        <v>112705.79</v>
      </c>
      <c r="CE816" s="2">
        <f>AC816-BX816</f>
        <v>504.16</v>
      </c>
      <c r="CF816" s="2">
        <f>AC816-BY816</f>
        <v>504.16</v>
      </c>
      <c r="CG816" s="2">
        <f>BX816-BZ816</f>
        <v>0</v>
      </c>
      <c r="CH816" s="2">
        <f>AC816-BX816-BY816+BZ816</f>
        <v>504.16</v>
      </c>
      <c r="CI816" s="2">
        <f>BY816-BZ816</f>
        <v>0</v>
      </c>
      <c r="CJ816" s="2">
        <f>ROUND(SUMIF(AA802:AA814,"=1472224561",GX802:GX814),2)</f>
        <v>0</v>
      </c>
      <c r="CK816" s="2">
        <f>ROUND(SUMIF(AA802:AA814,"=1472224561",GY802:GY814),2)</f>
        <v>0</v>
      </c>
      <c r="CL816" s="2">
        <f>ROUND(SUMIF(AA802:AA814,"=1472224561",GZ802:GZ814),2)</f>
        <v>0</v>
      </c>
      <c r="CM816" s="2">
        <f>ROUND(SUMIF(AA802:AA814,"=1472224561",HD802:HD814),2)</f>
        <v>0</v>
      </c>
      <c r="CN816" s="2"/>
      <c r="CO816" s="2"/>
      <c r="CP816" s="2"/>
      <c r="CQ816" s="2"/>
      <c r="CR816" s="2"/>
      <c r="CS816" s="2"/>
      <c r="CT816" s="2"/>
      <c r="CU816" s="2"/>
      <c r="CV816" s="2"/>
      <c r="CW816" s="2"/>
      <c r="CX816" s="2"/>
      <c r="CY816" s="2"/>
      <c r="CZ816" s="2"/>
      <c r="DA816" s="2"/>
      <c r="DB816" s="2"/>
      <c r="DC816" s="2"/>
      <c r="DD816" s="2"/>
      <c r="DE816" s="2"/>
      <c r="DF816" s="2"/>
      <c r="DG816" s="3"/>
      <c r="DH816" s="3"/>
      <c r="DI816" s="3"/>
      <c r="DJ816" s="3"/>
      <c r="DK816" s="3"/>
      <c r="DL816" s="3"/>
      <c r="DM816" s="3"/>
      <c r="DN816" s="3"/>
      <c r="DO816" s="3"/>
      <c r="DP816" s="3"/>
      <c r="DQ816" s="3"/>
      <c r="DR816" s="3"/>
      <c r="DS816" s="3"/>
      <c r="DT816" s="3"/>
      <c r="DU816" s="3"/>
      <c r="DV816" s="3"/>
      <c r="DW816" s="3"/>
      <c r="DX816" s="3"/>
      <c r="DY816" s="3"/>
      <c r="DZ816" s="3"/>
      <c r="EA816" s="3"/>
      <c r="EB816" s="3"/>
      <c r="EC816" s="3"/>
      <c r="ED816" s="3"/>
      <c r="EE816" s="3"/>
      <c r="EF816" s="3"/>
      <c r="EG816" s="3"/>
      <c r="EH816" s="3"/>
      <c r="EI816" s="3"/>
      <c r="EJ816" s="3"/>
      <c r="EK816" s="3"/>
      <c r="EL816" s="3"/>
      <c r="EM816" s="3"/>
      <c r="EN816" s="3"/>
      <c r="EO816" s="3"/>
      <c r="EP816" s="3"/>
      <c r="EQ816" s="3"/>
      <c r="ER816" s="3"/>
      <c r="ES816" s="3"/>
      <c r="ET816" s="3"/>
      <c r="EU816" s="3"/>
      <c r="EV816" s="3"/>
      <c r="EW816" s="3"/>
      <c r="EX816" s="3"/>
      <c r="EY816" s="3"/>
      <c r="EZ816" s="3"/>
      <c r="FA816" s="3"/>
      <c r="FB816" s="3"/>
      <c r="FC816" s="3"/>
      <c r="FD816" s="3"/>
      <c r="FE816" s="3"/>
      <c r="FF816" s="3"/>
      <c r="FG816" s="3"/>
      <c r="FH816" s="3"/>
      <c r="FI816" s="3"/>
      <c r="FJ816" s="3"/>
      <c r="FK816" s="3"/>
      <c r="FL816" s="3"/>
      <c r="FM816" s="3"/>
      <c r="FN816" s="3"/>
      <c r="FO816" s="3"/>
      <c r="FP816" s="3"/>
      <c r="FQ816" s="3"/>
      <c r="FR816" s="3"/>
      <c r="FS816" s="3"/>
      <c r="FT816" s="3"/>
      <c r="FU816" s="3"/>
      <c r="FV816" s="3"/>
      <c r="FW816" s="3"/>
      <c r="FX816" s="3"/>
      <c r="FY816" s="3"/>
      <c r="FZ816" s="3"/>
      <c r="GA816" s="3"/>
      <c r="GB816" s="3"/>
      <c r="GC816" s="3"/>
      <c r="GD816" s="3"/>
      <c r="GE816" s="3"/>
      <c r="GF816" s="3"/>
      <c r="GG816" s="3"/>
      <c r="GH816" s="3"/>
      <c r="GI816" s="3"/>
      <c r="GJ816" s="3"/>
      <c r="GK816" s="3"/>
      <c r="GL816" s="3"/>
      <c r="GM816" s="3"/>
      <c r="GN816" s="3"/>
      <c r="GO816" s="3"/>
      <c r="GP816" s="3"/>
      <c r="GQ816" s="3"/>
      <c r="GR816" s="3"/>
      <c r="GS816" s="3"/>
      <c r="GT816" s="3"/>
      <c r="GU816" s="3"/>
      <c r="GV816" s="3"/>
      <c r="GW816" s="3"/>
      <c r="GX816" s="3">
        <v>0</v>
      </c>
    </row>
    <row r="818" spans="1:28" x14ac:dyDescent="0.2">
      <c r="A818" s="4">
        <v>50</v>
      </c>
      <c r="B818" s="4">
        <v>0</v>
      </c>
      <c r="C818" s="4">
        <v>0</v>
      </c>
      <c r="D818" s="4">
        <v>1</v>
      </c>
      <c r="E818" s="4">
        <v>201</v>
      </c>
      <c r="F818" s="4">
        <f>ROUND(Source!O816,O818)</f>
        <v>62838.400000000001</v>
      </c>
      <c r="G818" s="4" t="s">
        <v>46</v>
      </c>
      <c r="H818" s="4" t="s">
        <v>47</v>
      </c>
      <c r="I818" s="4"/>
      <c r="J818" s="4"/>
      <c r="K818" s="4">
        <v>201</v>
      </c>
      <c r="L818" s="4">
        <v>1</v>
      </c>
      <c r="M818" s="4">
        <v>3</v>
      </c>
      <c r="N818" s="4" t="s">
        <v>3</v>
      </c>
      <c r="O818" s="4">
        <v>2</v>
      </c>
      <c r="P818" s="4"/>
      <c r="Q818" s="4"/>
      <c r="R818" s="4"/>
      <c r="S818" s="4"/>
      <c r="T818" s="4"/>
      <c r="U818" s="4"/>
      <c r="V818" s="4"/>
      <c r="W818" s="4">
        <v>41856.120000000003</v>
      </c>
      <c r="X818" s="4">
        <v>1</v>
      </c>
      <c r="Y818" s="4">
        <v>41856.120000000003</v>
      </c>
      <c r="Z818" s="4"/>
      <c r="AA818" s="4"/>
      <c r="AB818" s="4"/>
    </row>
    <row r="819" spans="1:28" x14ac:dyDescent="0.2">
      <c r="A819" s="4">
        <v>50</v>
      </c>
      <c r="B819" s="4">
        <v>0</v>
      </c>
      <c r="C819" s="4">
        <v>0</v>
      </c>
      <c r="D819" s="4">
        <v>1</v>
      </c>
      <c r="E819" s="4">
        <v>202</v>
      </c>
      <c r="F819" s="4">
        <f>ROUND(Source!P816,O819)</f>
        <v>504.16</v>
      </c>
      <c r="G819" s="4" t="s">
        <v>48</v>
      </c>
      <c r="H819" s="4" t="s">
        <v>49</v>
      </c>
      <c r="I819" s="4"/>
      <c r="J819" s="4"/>
      <c r="K819" s="4">
        <v>202</v>
      </c>
      <c r="L819" s="4">
        <v>2</v>
      </c>
      <c r="M819" s="4">
        <v>3</v>
      </c>
      <c r="N819" s="4" t="s">
        <v>3</v>
      </c>
      <c r="O819" s="4">
        <v>2</v>
      </c>
      <c r="P819" s="4"/>
      <c r="Q819" s="4"/>
      <c r="R819" s="4"/>
      <c r="S819" s="4"/>
      <c r="T819" s="4"/>
      <c r="U819" s="4"/>
      <c r="V819" s="4"/>
      <c r="W819" s="4">
        <v>269.56</v>
      </c>
      <c r="X819" s="4">
        <v>1</v>
      </c>
      <c r="Y819" s="4">
        <v>269.56</v>
      </c>
      <c r="Z819" s="4"/>
      <c r="AA819" s="4"/>
      <c r="AB819" s="4"/>
    </row>
    <row r="820" spans="1:28" x14ac:dyDescent="0.2">
      <c r="A820" s="4">
        <v>50</v>
      </c>
      <c r="B820" s="4">
        <v>0</v>
      </c>
      <c r="C820" s="4">
        <v>0</v>
      </c>
      <c r="D820" s="4">
        <v>1</v>
      </c>
      <c r="E820" s="4">
        <v>222</v>
      </c>
      <c r="F820" s="4">
        <f>ROUND(Source!AO816,O820)</f>
        <v>0</v>
      </c>
      <c r="G820" s="4" t="s">
        <v>50</v>
      </c>
      <c r="H820" s="4" t="s">
        <v>51</v>
      </c>
      <c r="I820" s="4"/>
      <c r="J820" s="4"/>
      <c r="K820" s="4">
        <v>222</v>
      </c>
      <c r="L820" s="4">
        <v>3</v>
      </c>
      <c r="M820" s="4">
        <v>3</v>
      </c>
      <c r="N820" s="4" t="s">
        <v>3</v>
      </c>
      <c r="O820" s="4">
        <v>2</v>
      </c>
      <c r="P820" s="4"/>
      <c r="Q820" s="4"/>
      <c r="R820" s="4"/>
      <c r="S820" s="4"/>
      <c r="T820" s="4"/>
      <c r="U820" s="4"/>
      <c r="V820" s="4"/>
      <c r="W820" s="4">
        <v>0</v>
      </c>
      <c r="X820" s="4">
        <v>1</v>
      </c>
      <c r="Y820" s="4">
        <v>0</v>
      </c>
      <c r="Z820" s="4"/>
      <c r="AA820" s="4"/>
      <c r="AB820" s="4"/>
    </row>
    <row r="821" spans="1:28" x14ac:dyDescent="0.2">
      <c r="A821" s="4">
        <v>50</v>
      </c>
      <c r="B821" s="4">
        <v>0</v>
      </c>
      <c r="C821" s="4">
        <v>0</v>
      </c>
      <c r="D821" s="4">
        <v>1</v>
      </c>
      <c r="E821" s="4">
        <v>225</v>
      </c>
      <c r="F821" s="4">
        <f>ROUND(Source!AV816,O821)</f>
        <v>504.16</v>
      </c>
      <c r="G821" s="4" t="s">
        <v>52</v>
      </c>
      <c r="H821" s="4" t="s">
        <v>53</v>
      </c>
      <c r="I821" s="4"/>
      <c r="J821" s="4"/>
      <c r="K821" s="4">
        <v>225</v>
      </c>
      <c r="L821" s="4">
        <v>4</v>
      </c>
      <c r="M821" s="4">
        <v>3</v>
      </c>
      <c r="N821" s="4" t="s">
        <v>3</v>
      </c>
      <c r="O821" s="4">
        <v>2</v>
      </c>
      <c r="P821" s="4"/>
      <c r="Q821" s="4"/>
      <c r="R821" s="4"/>
      <c r="S821" s="4"/>
      <c r="T821" s="4"/>
      <c r="U821" s="4"/>
      <c r="V821" s="4"/>
      <c r="W821" s="4">
        <v>269.56</v>
      </c>
      <c r="X821" s="4">
        <v>1</v>
      </c>
      <c r="Y821" s="4">
        <v>269.56</v>
      </c>
      <c r="Z821" s="4"/>
      <c r="AA821" s="4"/>
      <c r="AB821" s="4"/>
    </row>
    <row r="822" spans="1:28" x14ac:dyDescent="0.2">
      <c r="A822" s="4">
        <v>50</v>
      </c>
      <c r="B822" s="4">
        <v>0</v>
      </c>
      <c r="C822" s="4">
        <v>0</v>
      </c>
      <c r="D822" s="4">
        <v>1</v>
      </c>
      <c r="E822" s="4">
        <v>226</v>
      </c>
      <c r="F822" s="4">
        <f>ROUND(Source!AW816,O822)</f>
        <v>504.16</v>
      </c>
      <c r="G822" s="4" t="s">
        <v>54</v>
      </c>
      <c r="H822" s="4" t="s">
        <v>55</v>
      </c>
      <c r="I822" s="4"/>
      <c r="J822" s="4"/>
      <c r="K822" s="4">
        <v>226</v>
      </c>
      <c r="L822" s="4">
        <v>5</v>
      </c>
      <c r="M822" s="4">
        <v>3</v>
      </c>
      <c r="N822" s="4" t="s">
        <v>3</v>
      </c>
      <c r="O822" s="4">
        <v>2</v>
      </c>
      <c r="P822" s="4"/>
      <c r="Q822" s="4"/>
      <c r="R822" s="4"/>
      <c r="S822" s="4"/>
      <c r="T822" s="4"/>
      <c r="U822" s="4"/>
      <c r="V822" s="4"/>
      <c r="W822" s="4">
        <v>269.56</v>
      </c>
      <c r="X822" s="4">
        <v>1</v>
      </c>
      <c r="Y822" s="4">
        <v>269.56</v>
      </c>
      <c r="Z822" s="4"/>
      <c r="AA822" s="4"/>
      <c r="AB822" s="4"/>
    </row>
    <row r="823" spans="1:28" x14ac:dyDescent="0.2">
      <c r="A823" s="4">
        <v>50</v>
      </c>
      <c r="B823" s="4">
        <v>0</v>
      </c>
      <c r="C823" s="4">
        <v>0</v>
      </c>
      <c r="D823" s="4">
        <v>1</v>
      </c>
      <c r="E823" s="4">
        <v>227</v>
      </c>
      <c r="F823" s="4">
        <f>ROUND(Source!AX816,O823)</f>
        <v>0</v>
      </c>
      <c r="G823" s="4" t="s">
        <v>56</v>
      </c>
      <c r="H823" s="4" t="s">
        <v>57</v>
      </c>
      <c r="I823" s="4"/>
      <c r="J823" s="4"/>
      <c r="K823" s="4">
        <v>227</v>
      </c>
      <c r="L823" s="4">
        <v>6</v>
      </c>
      <c r="M823" s="4">
        <v>3</v>
      </c>
      <c r="N823" s="4" t="s">
        <v>3</v>
      </c>
      <c r="O823" s="4">
        <v>2</v>
      </c>
      <c r="P823" s="4"/>
      <c r="Q823" s="4"/>
      <c r="R823" s="4"/>
      <c r="S823" s="4"/>
      <c r="T823" s="4"/>
      <c r="U823" s="4"/>
      <c r="V823" s="4"/>
      <c r="W823" s="4">
        <v>0</v>
      </c>
      <c r="X823" s="4">
        <v>1</v>
      </c>
      <c r="Y823" s="4">
        <v>0</v>
      </c>
      <c r="Z823" s="4"/>
      <c r="AA823" s="4"/>
      <c r="AB823" s="4"/>
    </row>
    <row r="824" spans="1:28" x14ac:dyDescent="0.2">
      <c r="A824" s="4">
        <v>50</v>
      </c>
      <c r="B824" s="4">
        <v>0</v>
      </c>
      <c r="C824" s="4">
        <v>0</v>
      </c>
      <c r="D824" s="4">
        <v>1</v>
      </c>
      <c r="E824" s="4">
        <v>228</v>
      </c>
      <c r="F824" s="4">
        <f>ROUND(Source!AY816,O824)</f>
        <v>504.16</v>
      </c>
      <c r="G824" s="4" t="s">
        <v>58</v>
      </c>
      <c r="H824" s="4" t="s">
        <v>59</v>
      </c>
      <c r="I824" s="4"/>
      <c r="J824" s="4"/>
      <c r="K824" s="4">
        <v>228</v>
      </c>
      <c r="L824" s="4">
        <v>7</v>
      </c>
      <c r="M824" s="4">
        <v>3</v>
      </c>
      <c r="N824" s="4" t="s">
        <v>3</v>
      </c>
      <c r="O824" s="4">
        <v>2</v>
      </c>
      <c r="P824" s="4"/>
      <c r="Q824" s="4"/>
      <c r="R824" s="4"/>
      <c r="S824" s="4"/>
      <c r="T824" s="4"/>
      <c r="U824" s="4"/>
      <c r="V824" s="4"/>
      <c r="W824" s="4">
        <v>269.56</v>
      </c>
      <c r="X824" s="4">
        <v>1</v>
      </c>
      <c r="Y824" s="4">
        <v>269.56</v>
      </c>
      <c r="Z824" s="4"/>
      <c r="AA824" s="4"/>
      <c r="AB824" s="4"/>
    </row>
    <row r="825" spans="1:28" x14ac:dyDescent="0.2">
      <c r="A825" s="4">
        <v>50</v>
      </c>
      <c r="B825" s="4">
        <v>0</v>
      </c>
      <c r="C825" s="4">
        <v>0</v>
      </c>
      <c r="D825" s="4">
        <v>1</v>
      </c>
      <c r="E825" s="4">
        <v>216</v>
      </c>
      <c r="F825" s="4">
        <f>ROUND(Source!AP816,O825)</f>
        <v>0</v>
      </c>
      <c r="G825" s="4" t="s">
        <v>60</v>
      </c>
      <c r="H825" s="4" t="s">
        <v>61</v>
      </c>
      <c r="I825" s="4"/>
      <c r="J825" s="4"/>
      <c r="K825" s="4">
        <v>216</v>
      </c>
      <c r="L825" s="4">
        <v>8</v>
      </c>
      <c r="M825" s="4">
        <v>3</v>
      </c>
      <c r="N825" s="4" t="s">
        <v>3</v>
      </c>
      <c r="O825" s="4">
        <v>2</v>
      </c>
      <c r="P825" s="4"/>
      <c r="Q825" s="4"/>
      <c r="R825" s="4"/>
      <c r="S825" s="4"/>
      <c r="T825" s="4"/>
      <c r="U825" s="4"/>
      <c r="V825" s="4"/>
      <c r="W825" s="4">
        <v>0</v>
      </c>
      <c r="X825" s="4">
        <v>1</v>
      </c>
      <c r="Y825" s="4">
        <v>0</v>
      </c>
      <c r="Z825" s="4"/>
      <c r="AA825" s="4"/>
      <c r="AB825" s="4"/>
    </row>
    <row r="826" spans="1:28" x14ac:dyDescent="0.2">
      <c r="A826" s="4">
        <v>50</v>
      </c>
      <c r="B826" s="4">
        <v>0</v>
      </c>
      <c r="C826" s="4">
        <v>0</v>
      </c>
      <c r="D826" s="4">
        <v>1</v>
      </c>
      <c r="E826" s="4">
        <v>223</v>
      </c>
      <c r="F826" s="4">
        <f>ROUND(Source!AQ816,O826)</f>
        <v>0</v>
      </c>
      <c r="G826" s="4" t="s">
        <v>62</v>
      </c>
      <c r="H826" s="4" t="s">
        <v>63</v>
      </c>
      <c r="I826" s="4"/>
      <c r="J826" s="4"/>
      <c r="K826" s="4">
        <v>223</v>
      </c>
      <c r="L826" s="4">
        <v>9</v>
      </c>
      <c r="M826" s="4">
        <v>3</v>
      </c>
      <c r="N826" s="4" t="s">
        <v>3</v>
      </c>
      <c r="O826" s="4">
        <v>2</v>
      </c>
      <c r="P826" s="4"/>
      <c r="Q826" s="4"/>
      <c r="R826" s="4"/>
      <c r="S826" s="4"/>
      <c r="T826" s="4"/>
      <c r="U826" s="4"/>
      <c r="V826" s="4"/>
      <c r="W826" s="4">
        <v>0</v>
      </c>
      <c r="X826" s="4">
        <v>1</v>
      </c>
      <c r="Y826" s="4">
        <v>0</v>
      </c>
      <c r="Z826" s="4"/>
      <c r="AA826" s="4"/>
      <c r="AB826" s="4"/>
    </row>
    <row r="827" spans="1:28" x14ac:dyDescent="0.2">
      <c r="A827" s="4">
        <v>50</v>
      </c>
      <c r="B827" s="4">
        <v>0</v>
      </c>
      <c r="C827" s="4">
        <v>0</v>
      </c>
      <c r="D827" s="4">
        <v>1</v>
      </c>
      <c r="E827" s="4">
        <v>229</v>
      </c>
      <c r="F827" s="4">
        <f>ROUND(Source!AZ816,O827)</f>
        <v>0</v>
      </c>
      <c r="G827" s="4" t="s">
        <v>64</v>
      </c>
      <c r="H827" s="4" t="s">
        <v>65</v>
      </c>
      <c r="I827" s="4"/>
      <c r="J827" s="4"/>
      <c r="K827" s="4">
        <v>229</v>
      </c>
      <c r="L827" s="4">
        <v>10</v>
      </c>
      <c r="M827" s="4">
        <v>3</v>
      </c>
      <c r="N827" s="4" t="s">
        <v>3</v>
      </c>
      <c r="O827" s="4">
        <v>2</v>
      </c>
      <c r="P827" s="4"/>
      <c r="Q827" s="4"/>
      <c r="R827" s="4"/>
      <c r="S827" s="4"/>
      <c r="T827" s="4"/>
      <c r="U827" s="4"/>
      <c r="V827" s="4"/>
      <c r="W827" s="4">
        <v>0</v>
      </c>
      <c r="X827" s="4">
        <v>1</v>
      </c>
      <c r="Y827" s="4">
        <v>0</v>
      </c>
      <c r="Z827" s="4"/>
      <c r="AA827" s="4"/>
      <c r="AB827" s="4"/>
    </row>
    <row r="828" spans="1:28" x14ac:dyDescent="0.2">
      <c r="A828" s="4">
        <v>50</v>
      </c>
      <c r="B828" s="4">
        <v>0</v>
      </c>
      <c r="C828" s="4">
        <v>0</v>
      </c>
      <c r="D828" s="4">
        <v>1</v>
      </c>
      <c r="E828" s="4">
        <v>203</v>
      </c>
      <c r="F828" s="4">
        <f>ROUND(Source!Q816,O828)</f>
        <v>0</v>
      </c>
      <c r="G828" s="4" t="s">
        <v>66</v>
      </c>
      <c r="H828" s="4" t="s">
        <v>67</v>
      </c>
      <c r="I828" s="4"/>
      <c r="J828" s="4"/>
      <c r="K828" s="4">
        <v>203</v>
      </c>
      <c r="L828" s="4">
        <v>11</v>
      </c>
      <c r="M828" s="4">
        <v>3</v>
      </c>
      <c r="N828" s="4" t="s">
        <v>3</v>
      </c>
      <c r="O828" s="4">
        <v>2</v>
      </c>
      <c r="P828" s="4"/>
      <c r="Q828" s="4"/>
      <c r="R828" s="4"/>
      <c r="S828" s="4"/>
      <c r="T828" s="4"/>
      <c r="U828" s="4"/>
      <c r="V828" s="4"/>
      <c r="W828" s="4">
        <v>0</v>
      </c>
      <c r="X828" s="4">
        <v>1</v>
      </c>
      <c r="Y828" s="4">
        <v>0</v>
      </c>
      <c r="Z828" s="4"/>
      <c r="AA828" s="4"/>
      <c r="AB828" s="4"/>
    </row>
    <row r="829" spans="1:28" x14ac:dyDescent="0.2">
      <c r="A829" s="4">
        <v>50</v>
      </c>
      <c r="B829" s="4">
        <v>0</v>
      </c>
      <c r="C829" s="4">
        <v>0</v>
      </c>
      <c r="D829" s="4">
        <v>1</v>
      </c>
      <c r="E829" s="4">
        <v>231</v>
      </c>
      <c r="F829" s="4">
        <f>ROUND(Source!BB816,O829)</f>
        <v>0</v>
      </c>
      <c r="G829" s="4" t="s">
        <v>68</v>
      </c>
      <c r="H829" s="4" t="s">
        <v>69</v>
      </c>
      <c r="I829" s="4"/>
      <c r="J829" s="4"/>
      <c r="K829" s="4">
        <v>231</v>
      </c>
      <c r="L829" s="4">
        <v>12</v>
      </c>
      <c r="M829" s="4">
        <v>3</v>
      </c>
      <c r="N829" s="4" t="s">
        <v>3</v>
      </c>
      <c r="O829" s="4">
        <v>2</v>
      </c>
      <c r="P829" s="4"/>
      <c r="Q829" s="4"/>
      <c r="R829" s="4"/>
      <c r="S829" s="4"/>
      <c r="T829" s="4"/>
      <c r="U829" s="4"/>
      <c r="V829" s="4"/>
      <c r="W829" s="4">
        <v>0</v>
      </c>
      <c r="X829" s="4">
        <v>1</v>
      </c>
      <c r="Y829" s="4">
        <v>0</v>
      </c>
      <c r="Z829" s="4"/>
      <c r="AA829" s="4"/>
      <c r="AB829" s="4"/>
    </row>
    <row r="830" spans="1:28" x14ac:dyDescent="0.2">
      <c r="A830" s="4">
        <v>50</v>
      </c>
      <c r="B830" s="4">
        <v>0</v>
      </c>
      <c r="C830" s="4">
        <v>0</v>
      </c>
      <c r="D830" s="4">
        <v>1</v>
      </c>
      <c r="E830" s="4">
        <v>204</v>
      </c>
      <c r="F830" s="4">
        <f>ROUND(Source!R816,O830)</f>
        <v>0</v>
      </c>
      <c r="G830" s="4" t="s">
        <v>70</v>
      </c>
      <c r="H830" s="4" t="s">
        <v>71</v>
      </c>
      <c r="I830" s="4"/>
      <c r="J830" s="4"/>
      <c r="K830" s="4">
        <v>204</v>
      </c>
      <c r="L830" s="4">
        <v>13</v>
      </c>
      <c r="M830" s="4">
        <v>3</v>
      </c>
      <c r="N830" s="4" t="s">
        <v>3</v>
      </c>
      <c r="O830" s="4">
        <v>2</v>
      </c>
      <c r="P830" s="4"/>
      <c r="Q830" s="4"/>
      <c r="R830" s="4"/>
      <c r="S830" s="4"/>
      <c r="T830" s="4"/>
      <c r="U830" s="4"/>
      <c r="V830" s="4"/>
      <c r="W830" s="4">
        <v>0</v>
      </c>
      <c r="X830" s="4">
        <v>1</v>
      </c>
      <c r="Y830" s="4">
        <v>0</v>
      </c>
      <c r="Z830" s="4"/>
      <c r="AA830" s="4"/>
      <c r="AB830" s="4"/>
    </row>
    <row r="831" spans="1:28" x14ac:dyDescent="0.2">
      <c r="A831" s="4">
        <v>50</v>
      </c>
      <c r="B831" s="4">
        <v>0</v>
      </c>
      <c r="C831" s="4">
        <v>0</v>
      </c>
      <c r="D831" s="4">
        <v>1</v>
      </c>
      <c r="E831" s="4">
        <v>205</v>
      </c>
      <c r="F831" s="4">
        <f>ROUND(Source!S816,O831)</f>
        <v>62334.239999999998</v>
      </c>
      <c r="G831" s="4" t="s">
        <v>72</v>
      </c>
      <c r="H831" s="4" t="s">
        <v>73</v>
      </c>
      <c r="I831" s="4"/>
      <c r="J831" s="4"/>
      <c r="K831" s="4">
        <v>205</v>
      </c>
      <c r="L831" s="4">
        <v>14</v>
      </c>
      <c r="M831" s="4">
        <v>3</v>
      </c>
      <c r="N831" s="4" t="s">
        <v>3</v>
      </c>
      <c r="O831" s="4">
        <v>2</v>
      </c>
      <c r="P831" s="4"/>
      <c r="Q831" s="4"/>
      <c r="R831" s="4"/>
      <c r="S831" s="4"/>
      <c r="T831" s="4"/>
      <c r="U831" s="4"/>
      <c r="V831" s="4"/>
      <c r="W831" s="4">
        <v>41586.559999999998</v>
      </c>
      <c r="X831" s="4">
        <v>1</v>
      </c>
      <c r="Y831" s="4">
        <v>41586.559999999998</v>
      </c>
      <c r="Z831" s="4"/>
      <c r="AA831" s="4"/>
      <c r="AB831" s="4"/>
    </row>
    <row r="832" spans="1:28" x14ac:dyDescent="0.2">
      <c r="A832" s="4">
        <v>50</v>
      </c>
      <c r="B832" s="4">
        <v>0</v>
      </c>
      <c r="C832" s="4">
        <v>0</v>
      </c>
      <c r="D832" s="4">
        <v>1</v>
      </c>
      <c r="E832" s="4">
        <v>232</v>
      </c>
      <c r="F832" s="4">
        <f>ROUND(Source!BC816,O832)</f>
        <v>0</v>
      </c>
      <c r="G832" s="4" t="s">
        <v>74</v>
      </c>
      <c r="H832" s="4" t="s">
        <v>75</v>
      </c>
      <c r="I832" s="4"/>
      <c r="J832" s="4"/>
      <c r="K832" s="4">
        <v>232</v>
      </c>
      <c r="L832" s="4">
        <v>15</v>
      </c>
      <c r="M832" s="4">
        <v>3</v>
      </c>
      <c r="N832" s="4" t="s">
        <v>3</v>
      </c>
      <c r="O832" s="4">
        <v>2</v>
      </c>
      <c r="P832" s="4"/>
      <c r="Q832" s="4"/>
      <c r="R832" s="4"/>
      <c r="S832" s="4"/>
      <c r="T832" s="4"/>
      <c r="U832" s="4"/>
      <c r="V832" s="4"/>
      <c r="W832" s="4">
        <v>0</v>
      </c>
      <c r="X832" s="4">
        <v>1</v>
      </c>
      <c r="Y832" s="4">
        <v>0</v>
      </c>
      <c r="Z832" s="4"/>
      <c r="AA832" s="4"/>
      <c r="AB832" s="4"/>
    </row>
    <row r="833" spans="1:206" x14ac:dyDescent="0.2">
      <c r="A833" s="4">
        <v>50</v>
      </c>
      <c r="B833" s="4">
        <v>0</v>
      </c>
      <c r="C833" s="4">
        <v>0</v>
      </c>
      <c r="D833" s="4">
        <v>1</v>
      </c>
      <c r="E833" s="4">
        <v>214</v>
      </c>
      <c r="F833" s="4">
        <f>ROUND(Source!AS816,O833)</f>
        <v>0</v>
      </c>
      <c r="G833" s="4" t="s">
        <v>76</v>
      </c>
      <c r="H833" s="4" t="s">
        <v>77</v>
      </c>
      <c r="I833" s="4"/>
      <c r="J833" s="4"/>
      <c r="K833" s="4">
        <v>214</v>
      </c>
      <c r="L833" s="4">
        <v>16</v>
      </c>
      <c r="M833" s="4">
        <v>3</v>
      </c>
      <c r="N833" s="4" t="s">
        <v>3</v>
      </c>
      <c r="O833" s="4">
        <v>2</v>
      </c>
      <c r="P833" s="4"/>
      <c r="Q833" s="4"/>
      <c r="R833" s="4"/>
      <c r="S833" s="4"/>
      <c r="T833" s="4"/>
      <c r="U833" s="4"/>
      <c r="V833" s="4"/>
      <c r="W833" s="4">
        <v>0</v>
      </c>
      <c r="X833" s="4">
        <v>1</v>
      </c>
      <c r="Y833" s="4">
        <v>0</v>
      </c>
      <c r="Z833" s="4"/>
      <c r="AA833" s="4"/>
      <c r="AB833" s="4"/>
    </row>
    <row r="834" spans="1:206" x14ac:dyDescent="0.2">
      <c r="A834" s="4">
        <v>50</v>
      </c>
      <c r="B834" s="4">
        <v>0</v>
      </c>
      <c r="C834" s="4">
        <v>0</v>
      </c>
      <c r="D834" s="4">
        <v>1</v>
      </c>
      <c r="E834" s="4">
        <v>215</v>
      </c>
      <c r="F834" s="4">
        <f>ROUND(Source!AT816,O834)</f>
        <v>0</v>
      </c>
      <c r="G834" s="4" t="s">
        <v>78</v>
      </c>
      <c r="H834" s="4" t="s">
        <v>79</v>
      </c>
      <c r="I834" s="4"/>
      <c r="J834" s="4"/>
      <c r="K834" s="4">
        <v>215</v>
      </c>
      <c r="L834" s="4">
        <v>17</v>
      </c>
      <c r="M834" s="4">
        <v>3</v>
      </c>
      <c r="N834" s="4" t="s">
        <v>3</v>
      </c>
      <c r="O834" s="4">
        <v>2</v>
      </c>
      <c r="P834" s="4"/>
      <c r="Q834" s="4"/>
      <c r="R834" s="4"/>
      <c r="S834" s="4"/>
      <c r="T834" s="4"/>
      <c r="U834" s="4"/>
      <c r="V834" s="4"/>
      <c r="W834" s="4">
        <v>0</v>
      </c>
      <c r="X834" s="4">
        <v>1</v>
      </c>
      <c r="Y834" s="4">
        <v>0</v>
      </c>
      <c r="Z834" s="4"/>
      <c r="AA834" s="4"/>
      <c r="AB834" s="4"/>
    </row>
    <row r="835" spans="1:206" x14ac:dyDescent="0.2">
      <c r="A835" s="4">
        <v>50</v>
      </c>
      <c r="B835" s="4">
        <v>0</v>
      </c>
      <c r="C835" s="4">
        <v>0</v>
      </c>
      <c r="D835" s="4">
        <v>1</v>
      </c>
      <c r="E835" s="4">
        <v>217</v>
      </c>
      <c r="F835" s="4">
        <f>ROUND(Source!AU816,O835)</f>
        <v>112705.79</v>
      </c>
      <c r="G835" s="4" t="s">
        <v>80</v>
      </c>
      <c r="H835" s="4" t="s">
        <v>81</v>
      </c>
      <c r="I835" s="4"/>
      <c r="J835" s="4"/>
      <c r="K835" s="4">
        <v>217</v>
      </c>
      <c r="L835" s="4">
        <v>18</v>
      </c>
      <c r="M835" s="4">
        <v>3</v>
      </c>
      <c r="N835" s="4" t="s">
        <v>3</v>
      </c>
      <c r="O835" s="4">
        <v>2</v>
      </c>
      <c r="P835" s="4"/>
      <c r="Q835" s="4"/>
      <c r="R835" s="4"/>
      <c r="S835" s="4"/>
      <c r="T835" s="4"/>
      <c r="U835" s="4"/>
      <c r="V835" s="4"/>
      <c r="W835" s="4">
        <v>75125.37</v>
      </c>
      <c r="X835" s="4">
        <v>1</v>
      </c>
      <c r="Y835" s="4">
        <v>75125.37</v>
      </c>
      <c r="Z835" s="4"/>
      <c r="AA835" s="4"/>
      <c r="AB835" s="4"/>
    </row>
    <row r="836" spans="1:206" x14ac:dyDescent="0.2">
      <c r="A836" s="4">
        <v>50</v>
      </c>
      <c r="B836" s="4">
        <v>0</v>
      </c>
      <c r="C836" s="4">
        <v>0</v>
      </c>
      <c r="D836" s="4">
        <v>1</v>
      </c>
      <c r="E836" s="4">
        <v>230</v>
      </c>
      <c r="F836" s="4">
        <f>ROUND(Source!BA816,O836)</f>
        <v>0</v>
      </c>
      <c r="G836" s="4" t="s">
        <v>82</v>
      </c>
      <c r="H836" s="4" t="s">
        <v>83</v>
      </c>
      <c r="I836" s="4"/>
      <c r="J836" s="4"/>
      <c r="K836" s="4">
        <v>230</v>
      </c>
      <c r="L836" s="4">
        <v>19</v>
      </c>
      <c r="M836" s="4">
        <v>3</v>
      </c>
      <c r="N836" s="4" t="s">
        <v>3</v>
      </c>
      <c r="O836" s="4">
        <v>2</v>
      </c>
      <c r="P836" s="4"/>
      <c r="Q836" s="4"/>
      <c r="R836" s="4"/>
      <c r="S836" s="4"/>
      <c r="T836" s="4"/>
      <c r="U836" s="4"/>
      <c r="V836" s="4"/>
      <c r="W836" s="4">
        <v>0</v>
      </c>
      <c r="X836" s="4">
        <v>1</v>
      </c>
      <c r="Y836" s="4">
        <v>0</v>
      </c>
      <c r="Z836" s="4"/>
      <c r="AA836" s="4"/>
      <c r="AB836" s="4"/>
    </row>
    <row r="837" spans="1:206" x14ac:dyDescent="0.2">
      <c r="A837" s="4">
        <v>50</v>
      </c>
      <c r="B837" s="4">
        <v>0</v>
      </c>
      <c r="C837" s="4">
        <v>0</v>
      </c>
      <c r="D837" s="4">
        <v>1</v>
      </c>
      <c r="E837" s="4">
        <v>206</v>
      </c>
      <c r="F837" s="4">
        <f>ROUND(Source!T816,O837)</f>
        <v>0</v>
      </c>
      <c r="G837" s="4" t="s">
        <v>84</v>
      </c>
      <c r="H837" s="4" t="s">
        <v>85</v>
      </c>
      <c r="I837" s="4"/>
      <c r="J837" s="4"/>
      <c r="K837" s="4">
        <v>206</v>
      </c>
      <c r="L837" s="4">
        <v>20</v>
      </c>
      <c r="M837" s="4">
        <v>3</v>
      </c>
      <c r="N837" s="4" t="s">
        <v>3</v>
      </c>
      <c r="O837" s="4">
        <v>2</v>
      </c>
      <c r="P837" s="4"/>
      <c r="Q837" s="4"/>
      <c r="R837" s="4"/>
      <c r="S837" s="4"/>
      <c r="T837" s="4"/>
      <c r="U837" s="4"/>
      <c r="V837" s="4"/>
      <c r="W837" s="4">
        <v>0</v>
      </c>
      <c r="X837" s="4">
        <v>1</v>
      </c>
      <c r="Y837" s="4">
        <v>0</v>
      </c>
      <c r="Z837" s="4"/>
      <c r="AA837" s="4"/>
      <c r="AB837" s="4"/>
    </row>
    <row r="838" spans="1:206" x14ac:dyDescent="0.2">
      <c r="A838" s="4">
        <v>50</v>
      </c>
      <c r="B838" s="4">
        <v>0</v>
      </c>
      <c r="C838" s="4">
        <v>0</v>
      </c>
      <c r="D838" s="4">
        <v>1</v>
      </c>
      <c r="E838" s="4">
        <v>207</v>
      </c>
      <c r="F838" s="4">
        <f>Source!U816</f>
        <v>107.16</v>
      </c>
      <c r="G838" s="4" t="s">
        <v>86</v>
      </c>
      <c r="H838" s="4" t="s">
        <v>87</v>
      </c>
      <c r="I838" s="4"/>
      <c r="J838" s="4"/>
      <c r="K838" s="4">
        <v>207</v>
      </c>
      <c r="L838" s="4">
        <v>21</v>
      </c>
      <c r="M838" s="4">
        <v>3</v>
      </c>
      <c r="N838" s="4" t="s">
        <v>3</v>
      </c>
      <c r="O838" s="4">
        <v>-1</v>
      </c>
      <c r="P838" s="4"/>
      <c r="Q838" s="4"/>
      <c r="R838" s="4"/>
      <c r="S838" s="4"/>
      <c r="T838" s="4"/>
      <c r="U838" s="4"/>
      <c r="V838" s="4"/>
      <c r="W838" s="4">
        <v>73.56</v>
      </c>
      <c r="X838" s="4">
        <v>1</v>
      </c>
      <c r="Y838" s="4">
        <v>73.56</v>
      </c>
      <c r="Z838" s="4"/>
      <c r="AA838" s="4"/>
      <c r="AB838" s="4"/>
    </row>
    <row r="839" spans="1:206" x14ac:dyDescent="0.2">
      <c r="A839" s="4">
        <v>50</v>
      </c>
      <c r="B839" s="4">
        <v>0</v>
      </c>
      <c r="C839" s="4">
        <v>0</v>
      </c>
      <c r="D839" s="4">
        <v>1</v>
      </c>
      <c r="E839" s="4">
        <v>208</v>
      </c>
      <c r="F839" s="4">
        <f>Source!V816</f>
        <v>0</v>
      </c>
      <c r="G839" s="4" t="s">
        <v>88</v>
      </c>
      <c r="H839" s="4" t="s">
        <v>89</v>
      </c>
      <c r="I839" s="4"/>
      <c r="J839" s="4"/>
      <c r="K839" s="4">
        <v>208</v>
      </c>
      <c r="L839" s="4">
        <v>22</v>
      </c>
      <c r="M839" s="4">
        <v>3</v>
      </c>
      <c r="N839" s="4" t="s">
        <v>3</v>
      </c>
      <c r="O839" s="4">
        <v>-1</v>
      </c>
      <c r="P839" s="4"/>
      <c r="Q839" s="4"/>
      <c r="R839" s="4"/>
      <c r="S839" s="4"/>
      <c r="T839" s="4"/>
      <c r="U839" s="4"/>
      <c r="V839" s="4"/>
      <c r="W839" s="4">
        <v>0</v>
      </c>
      <c r="X839" s="4">
        <v>1</v>
      </c>
      <c r="Y839" s="4">
        <v>0</v>
      </c>
      <c r="Z839" s="4"/>
      <c r="AA839" s="4"/>
      <c r="AB839" s="4"/>
    </row>
    <row r="840" spans="1:206" x14ac:dyDescent="0.2">
      <c r="A840" s="4">
        <v>50</v>
      </c>
      <c r="B840" s="4">
        <v>0</v>
      </c>
      <c r="C840" s="4">
        <v>0</v>
      </c>
      <c r="D840" s="4">
        <v>1</v>
      </c>
      <c r="E840" s="4">
        <v>209</v>
      </c>
      <c r="F840" s="4">
        <f>ROUND(Source!W816,O840)</f>
        <v>0</v>
      </c>
      <c r="G840" s="4" t="s">
        <v>90</v>
      </c>
      <c r="H840" s="4" t="s">
        <v>91</v>
      </c>
      <c r="I840" s="4"/>
      <c r="J840" s="4"/>
      <c r="K840" s="4">
        <v>209</v>
      </c>
      <c r="L840" s="4">
        <v>23</v>
      </c>
      <c r="M840" s="4">
        <v>3</v>
      </c>
      <c r="N840" s="4" t="s">
        <v>3</v>
      </c>
      <c r="O840" s="4">
        <v>2</v>
      </c>
      <c r="P840" s="4"/>
      <c r="Q840" s="4"/>
      <c r="R840" s="4"/>
      <c r="S840" s="4"/>
      <c r="T840" s="4"/>
      <c r="U840" s="4"/>
      <c r="V840" s="4"/>
      <c r="W840" s="4">
        <v>0</v>
      </c>
      <c r="X840" s="4">
        <v>1</v>
      </c>
      <c r="Y840" s="4">
        <v>0</v>
      </c>
      <c r="Z840" s="4"/>
      <c r="AA840" s="4"/>
      <c r="AB840" s="4"/>
    </row>
    <row r="841" spans="1:206" x14ac:dyDescent="0.2">
      <c r="A841" s="4">
        <v>50</v>
      </c>
      <c r="B841" s="4">
        <v>0</v>
      </c>
      <c r="C841" s="4">
        <v>0</v>
      </c>
      <c r="D841" s="4">
        <v>1</v>
      </c>
      <c r="E841" s="4">
        <v>233</v>
      </c>
      <c r="F841" s="4">
        <f>ROUND(Source!BD816,O841)</f>
        <v>0</v>
      </c>
      <c r="G841" s="4" t="s">
        <v>92</v>
      </c>
      <c r="H841" s="4" t="s">
        <v>93</v>
      </c>
      <c r="I841" s="4"/>
      <c r="J841" s="4"/>
      <c r="K841" s="4">
        <v>233</v>
      </c>
      <c r="L841" s="4">
        <v>24</v>
      </c>
      <c r="M841" s="4">
        <v>3</v>
      </c>
      <c r="N841" s="4" t="s">
        <v>3</v>
      </c>
      <c r="O841" s="4">
        <v>2</v>
      </c>
      <c r="P841" s="4"/>
      <c r="Q841" s="4"/>
      <c r="R841" s="4"/>
      <c r="S841" s="4"/>
      <c r="T841" s="4"/>
      <c r="U841" s="4"/>
      <c r="V841" s="4"/>
      <c r="W841" s="4">
        <v>0</v>
      </c>
      <c r="X841" s="4">
        <v>1</v>
      </c>
      <c r="Y841" s="4">
        <v>0</v>
      </c>
      <c r="Z841" s="4"/>
      <c r="AA841" s="4"/>
      <c r="AB841" s="4"/>
    </row>
    <row r="842" spans="1:206" x14ac:dyDescent="0.2">
      <c r="A842" s="4">
        <v>50</v>
      </c>
      <c r="B842" s="4">
        <v>0</v>
      </c>
      <c r="C842" s="4">
        <v>0</v>
      </c>
      <c r="D842" s="4">
        <v>1</v>
      </c>
      <c r="E842" s="4">
        <v>210</v>
      </c>
      <c r="F842" s="4">
        <f>ROUND(Source!X816,O842)</f>
        <v>43633.96</v>
      </c>
      <c r="G842" s="4" t="s">
        <v>94</v>
      </c>
      <c r="H842" s="4" t="s">
        <v>95</v>
      </c>
      <c r="I842" s="4"/>
      <c r="J842" s="4"/>
      <c r="K842" s="4">
        <v>210</v>
      </c>
      <c r="L842" s="4">
        <v>25</v>
      </c>
      <c r="M842" s="4">
        <v>3</v>
      </c>
      <c r="N842" s="4" t="s">
        <v>3</v>
      </c>
      <c r="O842" s="4">
        <v>2</v>
      </c>
      <c r="P842" s="4"/>
      <c r="Q842" s="4"/>
      <c r="R842" s="4"/>
      <c r="S842" s="4"/>
      <c r="T842" s="4"/>
      <c r="U842" s="4"/>
      <c r="V842" s="4"/>
      <c r="W842" s="4">
        <v>29110.59</v>
      </c>
      <c r="X842" s="4">
        <v>1</v>
      </c>
      <c r="Y842" s="4">
        <v>29110.59</v>
      </c>
      <c r="Z842" s="4"/>
      <c r="AA842" s="4"/>
      <c r="AB842" s="4"/>
    </row>
    <row r="843" spans="1:206" x14ac:dyDescent="0.2">
      <c r="A843" s="4">
        <v>50</v>
      </c>
      <c r="B843" s="4">
        <v>0</v>
      </c>
      <c r="C843" s="4">
        <v>0</v>
      </c>
      <c r="D843" s="4">
        <v>1</v>
      </c>
      <c r="E843" s="4">
        <v>211</v>
      </c>
      <c r="F843" s="4">
        <f>ROUND(Source!Y816,O843)</f>
        <v>6233.43</v>
      </c>
      <c r="G843" s="4" t="s">
        <v>96</v>
      </c>
      <c r="H843" s="4" t="s">
        <v>97</v>
      </c>
      <c r="I843" s="4"/>
      <c r="J843" s="4"/>
      <c r="K843" s="4">
        <v>211</v>
      </c>
      <c r="L843" s="4">
        <v>26</v>
      </c>
      <c r="M843" s="4">
        <v>3</v>
      </c>
      <c r="N843" s="4" t="s">
        <v>3</v>
      </c>
      <c r="O843" s="4">
        <v>2</v>
      </c>
      <c r="P843" s="4"/>
      <c r="Q843" s="4"/>
      <c r="R843" s="4"/>
      <c r="S843" s="4"/>
      <c r="T843" s="4"/>
      <c r="U843" s="4"/>
      <c r="V843" s="4"/>
      <c r="W843" s="4">
        <v>4158.66</v>
      </c>
      <c r="X843" s="4">
        <v>1</v>
      </c>
      <c r="Y843" s="4">
        <v>4158.66</v>
      </c>
      <c r="Z843" s="4"/>
      <c r="AA843" s="4"/>
      <c r="AB843" s="4"/>
    </row>
    <row r="844" spans="1:206" x14ac:dyDescent="0.2">
      <c r="A844" s="4">
        <v>50</v>
      </c>
      <c r="B844" s="4">
        <v>0</v>
      </c>
      <c r="C844" s="4">
        <v>0</v>
      </c>
      <c r="D844" s="4">
        <v>1</v>
      </c>
      <c r="E844" s="4">
        <v>224</v>
      </c>
      <c r="F844" s="4">
        <f>ROUND(Source!AR816,O844)</f>
        <v>112705.79</v>
      </c>
      <c r="G844" s="4" t="s">
        <v>98</v>
      </c>
      <c r="H844" s="4" t="s">
        <v>99</v>
      </c>
      <c r="I844" s="4"/>
      <c r="J844" s="4"/>
      <c r="K844" s="4">
        <v>224</v>
      </c>
      <c r="L844" s="4">
        <v>27</v>
      </c>
      <c r="M844" s="4">
        <v>3</v>
      </c>
      <c r="N844" s="4" t="s">
        <v>3</v>
      </c>
      <c r="O844" s="4">
        <v>2</v>
      </c>
      <c r="P844" s="4"/>
      <c r="Q844" s="4"/>
      <c r="R844" s="4"/>
      <c r="S844" s="4"/>
      <c r="T844" s="4"/>
      <c r="U844" s="4"/>
      <c r="V844" s="4"/>
      <c r="W844" s="4">
        <v>75125.37</v>
      </c>
      <c r="X844" s="4">
        <v>1</v>
      </c>
      <c r="Y844" s="4">
        <v>75125.37</v>
      </c>
      <c r="Z844" s="4"/>
      <c r="AA844" s="4"/>
      <c r="AB844" s="4"/>
    </row>
    <row r="846" spans="1:206" x14ac:dyDescent="0.2">
      <c r="A846" s="1">
        <v>5</v>
      </c>
      <c r="B846" s="1">
        <v>1</v>
      </c>
      <c r="C846" s="1"/>
      <c r="D846" s="1">
        <f>ROW(A867)</f>
        <v>867</v>
      </c>
      <c r="E846" s="1"/>
      <c r="F846" s="1" t="s">
        <v>15</v>
      </c>
      <c r="G846" s="1" t="s">
        <v>606</v>
      </c>
      <c r="H846" s="1" t="s">
        <v>3</v>
      </c>
      <c r="I846" s="1">
        <v>0</v>
      </c>
      <c r="J846" s="1"/>
      <c r="K846" s="1">
        <v>0</v>
      </c>
      <c r="L846" s="1"/>
      <c r="M846" s="1" t="s">
        <v>3</v>
      </c>
      <c r="N846" s="1"/>
      <c r="O846" s="1"/>
      <c r="P846" s="1"/>
      <c r="Q846" s="1"/>
      <c r="R846" s="1"/>
      <c r="S846" s="1">
        <v>0</v>
      </c>
      <c r="T846" s="1"/>
      <c r="U846" s="1" t="s">
        <v>3</v>
      </c>
      <c r="V846" s="1">
        <v>0</v>
      </c>
      <c r="W846" s="1"/>
      <c r="X846" s="1"/>
      <c r="Y846" s="1"/>
      <c r="Z846" s="1"/>
      <c r="AA846" s="1"/>
      <c r="AB846" s="1" t="s">
        <v>3</v>
      </c>
      <c r="AC846" s="1" t="s">
        <v>3</v>
      </c>
      <c r="AD846" s="1" t="s">
        <v>3</v>
      </c>
      <c r="AE846" s="1" t="s">
        <v>3</v>
      </c>
      <c r="AF846" s="1" t="s">
        <v>3</v>
      </c>
      <c r="AG846" s="1" t="s">
        <v>3</v>
      </c>
      <c r="AH846" s="1"/>
      <c r="AI846" s="1"/>
      <c r="AJ846" s="1"/>
      <c r="AK846" s="1"/>
      <c r="AL846" s="1"/>
      <c r="AM846" s="1"/>
      <c r="AN846" s="1"/>
      <c r="AO846" s="1"/>
      <c r="AP846" s="1" t="s">
        <v>3</v>
      </c>
      <c r="AQ846" s="1" t="s">
        <v>3</v>
      </c>
      <c r="AR846" s="1" t="s">
        <v>3</v>
      </c>
      <c r="AS846" s="1"/>
      <c r="AT846" s="1"/>
      <c r="AU846" s="1"/>
      <c r="AV846" s="1"/>
      <c r="AW846" s="1"/>
      <c r="AX846" s="1"/>
      <c r="AY846" s="1"/>
      <c r="AZ846" s="1" t="s">
        <v>3</v>
      </c>
      <c r="BA846" s="1"/>
      <c r="BB846" s="1" t="s">
        <v>3</v>
      </c>
      <c r="BC846" s="1" t="s">
        <v>3</v>
      </c>
      <c r="BD846" s="1" t="s">
        <v>3</v>
      </c>
      <c r="BE846" s="1" t="s">
        <v>3</v>
      </c>
      <c r="BF846" s="1" t="s">
        <v>3</v>
      </c>
      <c r="BG846" s="1" t="s">
        <v>3</v>
      </c>
      <c r="BH846" s="1" t="s">
        <v>3</v>
      </c>
      <c r="BI846" s="1" t="s">
        <v>3</v>
      </c>
      <c r="BJ846" s="1" t="s">
        <v>3</v>
      </c>
      <c r="BK846" s="1" t="s">
        <v>3</v>
      </c>
      <c r="BL846" s="1" t="s">
        <v>3</v>
      </c>
      <c r="BM846" s="1" t="s">
        <v>3</v>
      </c>
      <c r="BN846" s="1" t="s">
        <v>3</v>
      </c>
      <c r="BO846" s="1" t="s">
        <v>3</v>
      </c>
      <c r="BP846" s="1" t="s">
        <v>3</v>
      </c>
      <c r="BQ846" s="1"/>
      <c r="BR846" s="1"/>
      <c r="BS846" s="1"/>
      <c r="BT846" s="1"/>
      <c r="BU846" s="1"/>
      <c r="BV846" s="1"/>
      <c r="BW846" s="1"/>
      <c r="BX846" s="1">
        <v>0</v>
      </c>
      <c r="BY846" s="1"/>
      <c r="BZ846" s="1"/>
      <c r="CA846" s="1"/>
      <c r="CB846" s="1"/>
      <c r="CC846" s="1"/>
      <c r="CD846" s="1"/>
      <c r="CE846" s="1"/>
      <c r="CF846" s="1"/>
      <c r="CG846" s="1"/>
      <c r="CH846" s="1"/>
      <c r="CI846" s="1"/>
      <c r="CJ846" s="1">
        <v>0</v>
      </c>
    </row>
    <row r="848" spans="1:206" x14ac:dyDescent="0.2">
      <c r="A848" s="2">
        <v>52</v>
      </c>
      <c r="B848" s="2">
        <f t="shared" ref="B848:G848" si="757">B867</f>
        <v>1</v>
      </c>
      <c r="C848" s="2">
        <f t="shared" si="757"/>
        <v>5</v>
      </c>
      <c r="D848" s="2">
        <f t="shared" si="757"/>
        <v>846</v>
      </c>
      <c r="E848" s="2">
        <f t="shared" si="757"/>
        <v>0</v>
      </c>
      <c r="F848" s="2" t="str">
        <f t="shared" si="757"/>
        <v>Новый подраздел</v>
      </c>
      <c r="G848" s="2" t="str">
        <f t="shared" si="757"/>
        <v>Электроснабжение ИТП</v>
      </c>
      <c r="H848" s="2"/>
      <c r="I848" s="2"/>
      <c r="J848" s="2"/>
      <c r="K848" s="2"/>
      <c r="L848" s="2"/>
      <c r="M848" s="2"/>
      <c r="N848" s="2"/>
      <c r="O848" s="2">
        <f t="shared" ref="O848:AT848" si="758">O867</f>
        <v>50099.9</v>
      </c>
      <c r="P848" s="2">
        <f t="shared" si="758"/>
        <v>658.26</v>
      </c>
      <c r="Q848" s="2">
        <f t="shared" si="758"/>
        <v>208.48</v>
      </c>
      <c r="R848" s="2">
        <f t="shared" si="758"/>
        <v>132.19999999999999</v>
      </c>
      <c r="S848" s="2">
        <f t="shared" si="758"/>
        <v>49233.16</v>
      </c>
      <c r="T848" s="2">
        <f t="shared" si="758"/>
        <v>0</v>
      </c>
      <c r="U848" s="2">
        <f t="shared" si="758"/>
        <v>80.243008000000003</v>
      </c>
      <c r="V848" s="2">
        <f t="shared" si="758"/>
        <v>0</v>
      </c>
      <c r="W848" s="2">
        <f t="shared" si="758"/>
        <v>0</v>
      </c>
      <c r="X848" s="2">
        <f t="shared" si="758"/>
        <v>34463.22</v>
      </c>
      <c r="Y848" s="2">
        <f t="shared" si="758"/>
        <v>4923.32</v>
      </c>
      <c r="Z848" s="2">
        <f t="shared" si="758"/>
        <v>0</v>
      </c>
      <c r="AA848" s="2">
        <f t="shared" si="758"/>
        <v>0</v>
      </c>
      <c r="AB848" s="2">
        <f t="shared" si="758"/>
        <v>50099.9</v>
      </c>
      <c r="AC848" s="2">
        <f t="shared" si="758"/>
        <v>658.26</v>
      </c>
      <c r="AD848" s="2">
        <f t="shared" si="758"/>
        <v>208.48</v>
      </c>
      <c r="AE848" s="2">
        <f t="shared" si="758"/>
        <v>132.19999999999999</v>
      </c>
      <c r="AF848" s="2">
        <f t="shared" si="758"/>
        <v>49233.16</v>
      </c>
      <c r="AG848" s="2">
        <f t="shared" si="758"/>
        <v>0</v>
      </c>
      <c r="AH848" s="2">
        <f t="shared" si="758"/>
        <v>80.243008000000003</v>
      </c>
      <c r="AI848" s="2">
        <f t="shared" si="758"/>
        <v>0</v>
      </c>
      <c r="AJ848" s="2">
        <f t="shared" si="758"/>
        <v>0</v>
      </c>
      <c r="AK848" s="2">
        <f t="shared" si="758"/>
        <v>34463.22</v>
      </c>
      <c r="AL848" s="2">
        <f t="shared" si="758"/>
        <v>4923.32</v>
      </c>
      <c r="AM848" s="2">
        <f t="shared" si="758"/>
        <v>0</v>
      </c>
      <c r="AN848" s="2">
        <f t="shared" si="758"/>
        <v>0</v>
      </c>
      <c r="AO848" s="2">
        <f t="shared" si="758"/>
        <v>0</v>
      </c>
      <c r="AP848" s="2">
        <f t="shared" si="758"/>
        <v>0</v>
      </c>
      <c r="AQ848" s="2">
        <f t="shared" si="758"/>
        <v>0</v>
      </c>
      <c r="AR848" s="2">
        <f t="shared" si="758"/>
        <v>89629.22</v>
      </c>
      <c r="AS848" s="2">
        <f t="shared" si="758"/>
        <v>0</v>
      </c>
      <c r="AT848" s="2">
        <f t="shared" si="758"/>
        <v>0</v>
      </c>
      <c r="AU848" s="2">
        <f t="shared" ref="AU848:BZ848" si="759">AU867</f>
        <v>89629.22</v>
      </c>
      <c r="AV848" s="2">
        <f t="shared" si="759"/>
        <v>658.26</v>
      </c>
      <c r="AW848" s="2">
        <f t="shared" si="759"/>
        <v>658.26</v>
      </c>
      <c r="AX848" s="2">
        <f t="shared" si="759"/>
        <v>0</v>
      </c>
      <c r="AY848" s="2">
        <f t="shared" si="759"/>
        <v>658.26</v>
      </c>
      <c r="AZ848" s="2">
        <f t="shared" si="759"/>
        <v>0</v>
      </c>
      <c r="BA848" s="2">
        <f t="shared" si="759"/>
        <v>0</v>
      </c>
      <c r="BB848" s="2">
        <f t="shared" si="759"/>
        <v>0</v>
      </c>
      <c r="BC848" s="2">
        <f t="shared" si="759"/>
        <v>0</v>
      </c>
      <c r="BD848" s="2">
        <f t="shared" si="759"/>
        <v>0</v>
      </c>
      <c r="BE848" s="2">
        <f t="shared" si="759"/>
        <v>0</v>
      </c>
      <c r="BF848" s="2">
        <f t="shared" si="759"/>
        <v>0</v>
      </c>
      <c r="BG848" s="2">
        <f t="shared" si="759"/>
        <v>0</v>
      </c>
      <c r="BH848" s="2">
        <f t="shared" si="759"/>
        <v>0</v>
      </c>
      <c r="BI848" s="2">
        <f t="shared" si="759"/>
        <v>0</v>
      </c>
      <c r="BJ848" s="2">
        <f t="shared" si="759"/>
        <v>0</v>
      </c>
      <c r="BK848" s="2">
        <f t="shared" si="759"/>
        <v>0</v>
      </c>
      <c r="BL848" s="2">
        <f t="shared" si="759"/>
        <v>0</v>
      </c>
      <c r="BM848" s="2">
        <f t="shared" si="759"/>
        <v>0</v>
      </c>
      <c r="BN848" s="2">
        <f t="shared" si="759"/>
        <v>0</v>
      </c>
      <c r="BO848" s="2">
        <f t="shared" si="759"/>
        <v>0</v>
      </c>
      <c r="BP848" s="2">
        <f t="shared" si="759"/>
        <v>0</v>
      </c>
      <c r="BQ848" s="2">
        <f t="shared" si="759"/>
        <v>0</v>
      </c>
      <c r="BR848" s="2">
        <f t="shared" si="759"/>
        <v>0</v>
      </c>
      <c r="BS848" s="2">
        <f t="shared" si="759"/>
        <v>0</v>
      </c>
      <c r="BT848" s="2">
        <f t="shared" si="759"/>
        <v>0</v>
      </c>
      <c r="BU848" s="2">
        <f t="shared" si="759"/>
        <v>0</v>
      </c>
      <c r="BV848" s="2">
        <f t="shared" si="759"/>
        <v>0</v>
      </c>
      <c r="BW848" s="2">
        <f t="shared" si="759"/>
        <v>0</v>
      </c>
      <c r="BX848" s="2">
        <f t="shared" si="759"/>
        <v>0</v>
      </c>
      <c r="BY848" s="2">
        <f t="shared" si="759"/>
        <v>0</v>
      </c>
      <c r="BZ848" s="2">
        <f t="shared" si="759"/>
        <v>0</v>
      </c>
      <c r="CA848" s="2">
        <f t="shared" ref="CA848:DF848" si="760">CA867</f>
        <v>89629.22</v>
      </c>
      <c r="CB848" s="2">
        <f t="shared" si="760"/>
        <v>0</v>
      </c>
      <c r="CC848" s="2">
        <f t="shared" si="760"/>
        <v>0</v>
      </c>
      <c r="CD848" s="2">
        <f t="shared" si="760"/>
        <v>89629.22</v>
      </c>
      <c r="CE848" s="2">
        <f t="shared" si="760"/>
        <v>658.26</v>
      </c>
      <c r="CF848" s="2">
        <f t="shared" si="760"/>
        <v>658.26</v>
      </c>
      <c r="CG848" s="2">
        <f t="shared" si="760"/>
        <v>0</v>
      </c>
      <c r="CH848" s="2">
        <f t="shared" si="760"/>
        <v>658.26</v>
      </c>
      <c r="CI848" s="2">
        <f t="shared" si="760"/>
        <v>0</v>
      </c>
      <c r="CJ848" s="2">
        <f t="shared" si="760"/>
        <v>0</v>
      </c>
      <c r="CK848" s="2">
        <f t="shared" si="760"/>
        <v>0</v>
      </c>
      <c r="CL848" s="2">
        <f t="shared" si="760"/>
        <v>0</v>
      </c>
      <c r="CM848" s="2">
        <f t="shared" si="760"/>
        <v>0</v>
      </c>
      <c r="CN848" s="2">
        <f t="shared" si="760"/>
        <v>0</v>
      </c>
      <c r="CO848" s="2">
        <f t="shared" si="760"/>
        <v>0</v>
      </c>
      <c r="CP848" s="2">
        <f t="shared" si="760"/>
        <v>0</v>
      </c>
      <c r="CQ848" s="2">
        <f t="shared" si="760"/>
        <v>0</v>
      </c>
      <c r="CR848" s="2">
        <f t="shared" si="760"/>
        <v>0</v>
      </c>
      <c r="CS848" s="2">
        <f t="shared" si="760"/>
        <v>0</v>
      </c>
      <c r="CT848" s="2">
        <f t="shared" si="760"/>
        <v>0</v>
      </c>
      <c r="CU848" s="2">
        <f t="shared" si="760"/>
        <v>0</v>
      </c>
      <c r="CV848" s="2">
        <f t="shared" si="760"/>
        <v>0</v>
      </c>
      <c r="CW848" s="2">
        <f t="shared" si="760"/>
        <v>0</v>
      </c>
      <c r="CX848" s="2">
        <f t="shared" si="760"/>
        <v>0</v>
      </c>
      <c r="CY848" s="2">
        <f t="shared" si="760"/>
        <v>0</v>
      </c>
      <c r="CZ848" s="2">
        <f t="shared" si="760"/>
        <v>0</v>
      </c>
      <c r="DA848" s="2">
        <f t="shared" si="760"/>
        <v>0</v>
      </c>
      <c r="DB848" s="2">
        <f t="shared" si="760"/>
        <v>0</v>
      </c>
      <c r="DC848" s="2">
        <f t="shared" si="760"/>
        <v>0</v>
      </c>
      <c r="DD848" s="2">
        <f t="shared" si="760"/>
        <v>0</v>
      </c>
      <c r="DE848" s="2">
        <f t="shared" si="760"/>
        <v>0</v>
      </c>
      <c r="DF848" s="2">
        <f t="shared" si="760"/>
        <v>0</v>
      </c>
      <c r="DG848" s="3">
        <f t="shared" ref="DG848:EL848" si="761">DG867</f>
        <v>0</v>
      </c>
      <c r="DH848" s="3">
        <f t="shared" si="761"/>
        <v>0</v>
      </c>
      <c r="DI848" s="3">
        <f t="shared" si="761"/>
        <v>0</v>
      </c>
      <c r="DJ848" s="3">
        <f t="shared" si="761"/>
        <v>0</v>
      </c>
      <c r="DK848" s="3">
        <f t="shared" si="761"/>
        <v>0</v>
      </c>
      <c r="DL848" s="3">
        <f t="shared" si="761"/>
        <v>0</v>
      </c>
      <c r="DM848" s="3">
        <f t="shared" si="761"/>
        <v>0</v>
      </c>
      <c r="DN848" s="3">
        <f t="shared" si="761"/>
        <v>0</v>
      </c>
      <c r="DO848" s="3">
        <f t="shared" si="761"/>
        <v>0</v>
      </c>
      <c r="DP848" s="3">
        <f t="shared" si="761"/>
        <v>0</v>
      </c>
      <c r="DQ848" s="3">
        <f t="shared" si="761"/>
        <v>0</v>
      </c>
      <c r="DR848" s="3">
        <f t="shared" si="761"/>
        <v>0</v>
      </c>
      <c r="DS848" s="3">
        <f t="shared" si="761"/>
        <v>0</v>
      </c>
      <c r="DT848" s="3">
        <f t="shared" si="761"/>
        <v>0</v>
      </c>
      <c r="DU848" s="3">
        <f t="shared" si="761"/>
        <v>0</v>
      </c>
      <c r="DV848" s="3">
        <f t="shared" si="761"/>
        <v>0</v>
      </c>
      <c r="DW848" s="3">
        <f t="shared" si="761"/>
        <v>0</v>
      </c>
      <c r="DX848" s="3">
        <f t="shared" si="761"/>
        <v>0</v>
      </c>
      <c r="DY848" s="3">
        <f t="shared" si="761"/>
        <v>0</v>
      </c>
      <c r="DZ848" s="3">
        <f t="shared" si="761"/>
        <v>0</v>
      </c>
      <c r="EA848" s="3">
        <f t="shared" si="761"/>
        <v>0</v>
      </c>
      <c r="EB848" s="3">
        <f t="shared" si="761"/>
        <v>0</v>
      </c>
      <c r="EC848" s="3">
        <f t="shared" si="761"/>
        <v>0</v>
      </c>
      <c r="ED848" s="3">
        <f t="shared" si="761"/>
        <v>0</v>
      </c>
      <c r="EE848" s="3">
        <f t="shared" si="761"/>
        <v>0</v>
      </c>
      <c r="EF848" s="3">
        <f t="shared" si="761"/>
        <v>0</v>
      </c>
      <c r="EG848" s="3">
        <f t="shared" si="761"/>
        <v>0</v>
      </c>
      <c r="EH848" s="3">
        <f t="shared" si="761"/>
        <v>0</v>
      </c>
      <c r="EI848" s="3">
        <f t="shared" si="761"/>
        <v>0</v>
      </c>
      <c r="EJ848" s="3">
        <f t="shared" si="761"/>
        <v>0</v>
      </c>
      <c r="EK848" s="3">
        <f t="shared" si="761"/>
        <v>0</v>
      </c>
      <c r="EL848" s="3">
        <f t="shared" si="761"/>
        <v>0</v>
      </c>
      <c r="EM848" s="3">
        <f t="shared" ref="EM848:FR848" si="762">EM867</f>
        <v>0</v>
      </c>
      <c r="EN848" s="3">
        <f t="shared" si="762"/>
        <v>0</v>
      </c>
      <c r="EO848" s="3">
        <f t="shared" si="762"/>
        <v>0</v>
      </c>
      <c r="EP848" s="3">
        <f t="shared" si="762"/>
        <v>0</v>
      </c>
      <c r="EQ848" s="3">
        <f t="shared" si="762"/>
        <v>0</v>
      </c>
      <c r="ER848" s="3">
        <f t="shared" si="762"/>
        <v>0</v>
      </c>
      <c r="ES848" s="3">
        <f t="shared" si="762"/>
        <v>0</v>
      </c>
      <c r="ET848" s="3">
        <f t="shared" si="762"/>
        <v>0</v>
      </c>
      <c r="EU848" s="3">
        <f t="shared" si="762"/>
        <v>0</v>
      </c>
      <c r="EV848" s="3">
        <f t="shared" si="762"/>
        <v>0</v>
      </c>
      <c r="EW848" s="3">
        <f t="shared" si="762"/>
        <v>0</v>
      </c>
      <c r="EX848" s="3">
        <f t="shared" si="762"/>
        <v>0</v>
      </c>
      <c r="EY848" s="3">
        <f t="shared" si="762"/>
        <v>0</v>
      </c>
      <c r="EZ848" s="3">
        <f t="shared" si="762"/>
        <v>0</v>
      </c>
      <c r="FA848" s="3">
        <f t="shared" si="762"/>
        <v>0</v>
      </c>
      <c r="FB848" s="3">
        <f t="shared" si="762"/>
        <v>0</v>
      </c>
      <c r="FC848" s="3">
        <f t="shared" si="762"/>
        <v>0</v>
      </c>
      <c r="FD848" s="3">
        <f t="shared" si="762"/>
        <v>0</v>
      </c>
      <c r="FE848" s="3">
        <f t="shared" si="762"/>
        <v>0</v>
      </c>
      <c r="FF848" s="3">
        <f t="shared" si="762"/>
        <v>0</v>
      </c>
      <c r="FG848" s="3">
        <f t="shared" si="762"/>
        <v>0</v>
      </c>
      <c r="FH848" s="3">
        <f t="shared" si="762"/>
        <v>0</v>
      </c>
      <c r="FI848" s="3">
        <f t="shared" si="762"/>
        <v>0</v>
      </c>
      <c r="FJ848" s="3">
        <f t="shared" si="762"/>
        <v>0</v>
      </c>
      <c r="FK848" s="3">
        <f t="shared" si="762"/>
        <v>0</v>
      </c>
      <c r="FL848" s="3">
        <f t="shared" si="762"/>
        <v>0</v>
      </c>
      <c r="FM848" s="3">
        <f t="shared" si="762"/>
        <v>0</v>
      </c>
      <c r="FN848" s="3">
        <f t="shared" si="762"/>
        <v>0</v>
      </c>
      <c r="FO848" s="3">
        <f t="shared" si="762"/>
        <v>0</v>
      </c>
      <c r="FP848" s="3">
        <f t="shared" si="762"/>
        <v>0</v>
      </c>
      <c r="FQ848" s="3">
        <f t="shared" si="762"/>
        <v>0</v>
      </c>
      <c r="FR848" s="3">
        <f t="shared" si="762"/>
        <v>0</v>
      </c>
      <c r="FS848" s="3">
        <f t="shared" ref="FS848:GX848" si="763">FS867</f>
        <v>0</v>
      </c>
      <c r="FT848" s="3">
        <f t="shared" si="763"/>
        <v>0</v>
      </c>
      <c r="FU848" s="3">
        <f t="shared" si="763"/>
        <v>0</v>
      </c>
      <c r="FV848" s="3">
        <f t="shared" si="763"/>
        <v>0</v>
      </c>
      <c r="FW848" s="3">
        <f t="shared" si="763"/>
        <v>0</v>
      </c>
      <c r="FX848" s="3">
        <f t="shared" si="763"/>
        <v>0</v>
      </c>
      <c r="FY848" s="3">
        <f t="shared" si="763"/>
        <v>0</v>
      </c>
      <c r="FZ848" s="3">
        <f t="shared" si="763"/>
        <v>0</v>
      </c>
      <c r="GA848" s="3">
        <f t="shared" si="763"/>
        <v>0</v>
      </c>
      <c r="GB848" s="3">
        <f t="shared" si="763"/>
        <v>0</v>
      </c>
      <c r="GC848" s="3">
        <f t="shared" si="763"/>
        <v>0</v>
      </c>
      <c r="GD848" s="3">
        <f t="shared" si="763"/>
        <v>0</v>
      </c>
      <c r="GE848" s="3">
        <f t="shared" si="763"/>
        <v>0</v>
      </c>
      <c r="GF848" s="3">
        <f t="shared" si="763"/>
        <v>0</v>
      </c>
      <c r="GG848" s="3">
        <f t="shared" si="763"/>
        <v>0</v>
      </c>
      <c r="GH848" s="3">
        <f t="shared" si="763"/>
        <v>0</v>
      </c>
      <c r="GI848" s="3">
        <f t="shared" si="763"/>
        <v>0</v>
      </c>
      <c r="GJ848" s="3">
        <f t="shared" si="763"/>
        <v>0</v>
      </c>
      <c r="GK848" s="3">
        <f t="shared" si="763"/>
        <v>0</v>
      </c>
      <c r="GL848" s="3">
        <f t="shared" si="763"/>
        <v>0</v>
      </c>
      <c r="GM848" s="3">
        <f t="shared" si="763"/>
        <v>0</v>
      </c>
      <c r="GN848" s="3">
        <f t="shared" si="763"/>
        <v>0</v>
      </c>
      <c r="GO848" s="3">
        <f t="shared" si="763"/>
        <v>0</v>
      </c>
      <c r="GP848" s="3">
        <f t="shared" si="763"/>
        <v>0</v>
      </c>
      <c r="GQ848" s="3">
        <f t="shared" si="763"/>
        <v>0</v>
      </c>
      <c r="GR848" s="3">
        <f t="shared" si="763"/>
        <v>0</v>
      </c>
      <c r="GS848" s="3">
        <f t="shared" si="763"/>
        <v>0</v>
      </c>
      <c r="GT848" s="3">
        <f t="shared" si="763"/>
        <v>0</v>
      </c>
      <c r="GU848" s="3">
        <f t="shared" si="763"/>
        <v>0</v>
      </c>
      <c r="GV848" s="3">
        <f t="shared" si="763"/>
        <v>0</v>
      </c>
      <c r="GW848" s="3">
        <f t="shared" si="763"/>
        <v>0</v>
      </c>
      <c r="GX848" s="3">
        <f t="shared" si="763"/>
        <v>0</v>
      </c>
    </row>
    <row r="850" spans="1:245" x14ac:dyDescent="0.2">
      <c r="A850">
        <v>19</v>
      </c>
      <c r="B850">
        <v>1</v>
      </c>
      <c r="F850" t="s">
        <v>3</v>
      </c>
      <c r="G850" t="s">
        <v>574</v>
      </c>
      <c r="H850" t="s">
        <v>3</v>
      </c>
      <c r="AA850">
        <v>1</v>
      </c>
      <c r="IK850">
        <v>0</v>
      </c>
    </row>
    <row r="851" spans="1:245" x14ac:dyDescent="0.2">
      <c r="A851">
        <v>17</v>
      </c>
      <c r="B851">
        <v>1</v>
      </c>
      <c r="D851">
        <f>ROW(EtalonRes!A639)</f>
        <v>639</v>
      </c>
      <c r="E851" t="s">
        <v>607</v>
      </c>
      <c r="F851" t="s">
        <v>431</v>
      </c>
      <c r="G851" t="s">
        <v>608</v>
      </c>
      <c r="H851" t="s">
        <v>32</v>
      </c>
      <c r="I851">
        <f>ROUND(ROUND(1+1+1+1,9),9)</f>
        <v>4</v>
      </c>
      <c r="J851">
        <v>0</v>
      </c>
      <c r="K851">
        <f>ROUND(ROUND(1+1+1+1,9),9)</f>
        <v>4</v>
      </c>
      <c r="O851">
        <f t="shared" ref="O851:O865" si="764">ROUND(CP851,2)</f>
        <v>45075.839999999997</v>
      </c>
      <c r="P851">
        <f t="shared" ref="P851:P865" si="765">ROUND(CQ851*I851,2)</f>
        <v>616.55999999999995</v>
      </c>
      <c r="Q851">
        <f t="shared" ref="Q851:Q865" si="766">ROUND(CR851*I851,2)</f>
        <v>0</v>
      </c>
      <c r="R851">
        <f t="shared" ref="R851:R865" si="767">ROUND(CS851*I851,2)</f>
        <v>0</v>
      </c>
      <c r="S851">
        <f t="shared" ref="S851:S865" si="768">ROUND(CT851*I851,2)</f>
        <v>44459.28</v>
      </c>
      <c r="T851">
        <f t="shared" ref="T851:T865" si="769">ROUND(CU851*I851,2)</f>
        <v>0</v>
      </c>
      <c r="U851">
        <f t="shared" ref="U851:U865" si="770">CV851*I851</f>
        <v>72</v>
      </c>
      <c r="V851">
        <f t="shared" ref="V851:V865" si="771">CW851*I851</f>
        <v>0</v>
      </c>
      <c r="W851">
        <f t="shared" ref="W851:W865" si="772">ROUND(CX851*I851,2)</f>
        <v>0</v>
      </c>
      <c r="X851">
        <f t="shared" ref="X851:X865" si="773">ROUND(CY851,2)</f>
        <v>31121.5</v>
      </c>
      <c r="Y851">
        <f t="shared" ref="Y851:Y865" si="774">ROUND(CZ851,2)</f>
        <v>4445.93</v>
      </c>
      <c r="AA851">
        <v>1472224561</v>
      </c>
      <c r="AB851">
        <f t="shared" ref="AB851:AB865" si="775">ROUND((AC851+AD851+AF851),6)</f>
        <v>11268.96</v>
      </c>
      <c r="AC851">
        <f>ROUND((ES851),6)</f>
        <v>154.13999999999999</v>
      </c>
      <c r="AD851">
        <f>ROUND((((ET851)-(EU851))+AE851),6)</f>
        <v>0</v>
      </c>
      <c r="AE851">
        <f>ROUND((EU851),6)</f>
        <v>0</v>
      </c>
      <c r="AF851">
        <f>ROUND((EV851),6)</f>
        <v>11114.82</v>
      </c>
      <c r="AG851">
        <f t="shared" ref="AG851:AG865" si="776">ROUND((AP851),6)</f>
        <v>0</v>
      </c>
      <c r="AH851">
        <f>(EW851)</f>
        <v>18</v>
      </c>
      <c r="AI851">
        <f>(EX851)</f>
        <v>0</v>
      </c>
      <c r="AJ851">
        <f t="shared" ref="AJ851:AJ865" si="777">(AS851)</f>
        <v>0</v>
      </c>
      <c r="AK851">
        <v>11268.96</v>
      </c>
      <c r="AL851">
        <v>154.13999999999999</v>
      </c>
      <c r="AM851">
        <v>0</v>
      </c>
      <c r="AN851">
        <v>0</v>
      </c>
      <c r="AO851">
        <v>11114.82</v>
      </c>
      <c r="AP851">
        <v>0</v>
      </c>
      <c r="AQ851">
        <v>18</v>
      </c>
      <c r="AR851">
        <v>0</v>
      </c>
      <c r="AS851">
        <v>0</v>
      </c>
      <c r="AT851">
        <v>70</v>
      </c>
      <c r="AU851">
        <v>10</v>
      </c>
      <c r="AV851">
        <v>1</v>
      </c>
      <c r="AW851">
        <v>1</v>
      </c>
      <c r="AZ851">
        <v>1</v>
      </c>
      <c r="BA851">
        <v>1</v>
      </c>
      <c r="BB851">
        <v>1</v>
      </c>
      <c r="BC851">
        <v>1</v>
      </c>
      <c r="BD851" t="s">
        <v>3</v>
      </c>
      <c r="BE851" t="s">
        <v>3</v>
      </c>
      <c r="BF851" t="s">
        <v>3</v>
      </c>
      <c r="BG851" t="s">
        <v>3</v>
      </c>
      <c r="BH851">
        <v>0</v>
      </c>
      <c r="BI851">
        <v>4</v>
      </c>
      <c r="BJ851" t="s">
        <v>433</v>
      </c>
      <c r="BM851">
        <v>0</v>
      </c>
      <c r="BN851">
        <v>0</v>
      </c>
      <c r="BO851" t="s">
        <v>3</v>
      </c>
      <c r="BP851">
        <v>0</v>
      </c>
      <c r="BQ851">
        <v>1</v>
      </c>
      <c r="BR851">
        <v>0</v>
      </c>
      <c r="BS851">
        <v>1</v>
      </c>
      <c r="BT851">
        <v>1</v>
      </c>
      <c r="BU851">
        <v>1</v>
      </c>
      <c r="BV851">
        <v>1</v>
      </c>
      <c r="BW851">
        <v>1</v>
      </c>
      <c r="BX851">
        <v>1</v>
      </c>
      <c r="BY851" t="s">
        <v>3</v>
      </c>
      <c r="BZ851">
        <v>70</v>
      </c>
      <c r="CA851">
        <v>10</v>
      </c>
      <c r="CB851" t="s">
        <v>3</v>
      </c>
      <c r="CE851">
        <v>0</v>
      </c>
      <c r="CF851">
        <v>0</v>
      </c>
      <c r="CG851">
        <v>0</v>
      </c>
      <c r="CM851">
        <v>0</v>
      </c>
      <c r="CN851" t="s">
        <v>3</v>
      </c>
      <c r="CO851">
        <v>0</v>
      </c>
      <c r="CP851">
        <f t="shared" ref="CP851:CP865" si="778">(P851+Q851+S851)</f>
        <v>45075.839999999997</v>
      </c>
      <c r="CQ851">
        <f t="shared" ref="CQ851:CQ865" si="779">(AC851*BC851*AW851)</f>
        <v>154.13999999999999</v>
      </c>
      <c r="CR851">
        <f>((((ET851)*BB851-(EU851)*BS851)+AE851*BS851)*AV851)</f>
        <v>0</v>
      </c>
      <c r="CS851">
        <f t="shared" ref="CS851:CS865" si="780">(AE851*BS851*AV851)</f>
        <v>0</v>
      </c>
      <c r="CT851">
        <f t="shared" ref="CT851:CT865" si="781">(AF851*BA851*AV851)</f>
        <v>11114.82</v>
      </c>
      <c r="CU851">
        <f t="shared" ref="CU851:CU865" si="782">AG851</f>
        <v>0</v>
      </c>
      <c r="CV851">
        <f t="shared" ref="CV851:CV865" si="783">(AH851*AV851)</f>
        <v>18</v>
      </c>
      <c r="CW851">
        <f t="shared" ref="CW851:CW865" si="784">AI851</f>
        <v>0</v>
      </c>
      <c r="CX851">
        <f t="shared" ref="CX851:CX865" si="785">AJ851</f>
        <v>0</v>
      </c>
      <c r="CY851">
        <f t="shared" ref="CY851:CY865" si="786">((S851*BZ851)/100)</f>
        <v>31121.495999999999</v>
      </c>
      <c r="CZ851">
        <f t="shared" ref="CZ851:CZ865" si="787">((S851*CA851)/100)</f>
        <v>4445.9279999999999</v>
      </c>
      <c r="DC851" t="s">
        <v>3</v>
      </c>
      <c r="DD851" t="s">
        <v>3</v>
      </c>
      <c r="DE851" t="s">
        <v>3</v>
      </c>
      <c r="DF851" t="s">
        <v>3</v>
      </c>
      <c r="DG851" t="s">
        <v>3</v>
      </c>
      <c r="DH851" t="s">
        <v>3</v>
      </c>
      <c r="DI851" t="s">
        <v>3</v>
      </c>
      <c r="DJ851" t="s">
        <v>3</v>
      </c>
      <c r="DK851" t="s">
        <v>3</v>
      </c>
      <c r="DL851" t="s">
        <v>3</v>
      </c>
      <c r="DM851" t="s">
        <v>3</v>
      </c>
      <c r="DN851">
        <v>0</v>
      </c>
      <c r="DO851">
        <v>0</v>
      </c>
      <c r="DP851">
        <v>1</v>
      </c>
      <c r="DQ851">
        <v>1</v>
      </c>
      <c r="DU851">
        <v>16987630</v>
      </c>
      <c r="DV851" t="s">
        <v>32</v>
      </c>
      <c r="DW851" t="s">
        <v>32</v>
      </c>
      <c r="DX851">
        <v>1</v>
      </c>
      <c r="DZ851" t="s">
        <v>3</v>
      </c>
      <c r="EA851" t="s">
        <v>3</v>
      </c>
      <c r="EB851" t="s">
        <v>3</v>
      </c>
      <c r="EC851" t="s">
        <v>3</v>
      </c>
      <c r="EE851">
        <v>1441815344</v>
      </c>
      <c r="EF851">
        <v>1</v>
      </c>
      <c r="EG851" t="s">
        <v>23</v>
      </c>
      <c r="EH851">
        <v>0</v>
      </c>
      <c r="EI851" t="s">
        <v>3</v>
      </c>
      <c r="EJ851">
        <v>4</v>
      </c>
      <c r="EK851">
        <v>0</v>
      </c>
      <c r="EL851" t="s">
        <v>24</v>
      </c>
      <c r="EM851" t="s">
        <v>25</v>
      </c>
      <c r="EO851" t="s">
        <v>3</v>
      </c>
      <c r="EQ851">
        <v>0</v>
      </c>
      <c r="ER851">
        <v>11268.96</v>
      </c>
      <c r="ES851">
        <v>154.13999999999999</v>
      </c>
      <c r="ET851">
        <v>0</v>
      </c>
      <c r="EU851">
        <v>0</v>
      </c>
      <c r="EV851">
        <v>11114.82</v>
      </c>
      <c r="EW851">
        <v>18</v>
      </c>
      <c r="EX851">
        <v>0</v>
      </c>
      <c r="EY851">
        <v>0</v>
      </c>
      <c r="FQ851">
        <v>0</v>
      </c>
      <c r="FR851">
        <f t="shared" ref="FR851:FR865" si="788">ROUND(IF(BI851=3,GM851,0),2)</f>
        <v>0</v>
      </c>
      <c r="FS851">
        <v>0</v>
      </c>
      <c r="FX851">
        <v>70</v>
      </c>
      <c r="FY851">
        <v>10</v>
      </c>
      <c r="GA851" t="s">
        <v>3</v>
      </c>
      <c r="GD851">
        <v>0</v>
      </c>
      <c r="GF851">
        <v>457690233</v>
      </c>
      <c r="GG851">
        <v>2</v>
      </c>
      <c r="GH851">
        <v>1</v>
      </c>
      <c r="GI851">
        <v>-2</v>
      </c>
      <c r="GJ851">
        <v>0</v>
      </c>
      <c r="GK851">
        <f>ROUND(R851*(R12)/100,2)</f>
        <v>0</v>
      </c>
      <c r="GL851">
        <f t="shared" ref="GL851:GL865" si="789">ROUND(IF(AND(BH851=3,BI851=3,FS851&lt;&gt;0),P851,0),2)</f>
        <v>0</v>
      </c>
      <c r="GM851">
        <f t="shared" ref="GM851:GM865" si="790">ROUND(O851+X851+Y851+GK851,2)+GX851</f>
        <v>80643.27</v>
      </c>
      <c r="GN851">
        <f t="shared" ref="GN851:GN865" si="791">IF(OR(BI851=0,BI851=1),GM851-GX851,0)</f>
        <v>0</v>
      </c>
      <c r="GO851">
        <f t="shared" ref="GO851:GO865" si="792">IF(BI851=2,GM851-GX851,0)</f>
        <v>0</v>
      </c>
      <c r="GP851">
        <f t="shared" ref="GP851:GP865" si="793">IF(BI851=4,GM851-GX851,0)</f>
        <v>80643.27</v>
      </c>
      <c r="GR851">
        <v>0</v>
      </c>
      <c r="GS851">
        <v>3</v>
      </c>
      <c r="GT851">
        <v>0</v>
      </c>
      <c r="GU851" t="s">
        <v>3</v>
      </c>
      <c r="GV851">
        <f t="shared" ref="GV851:GV865" si="794">ROUND((GT851),6)</f>
        <v>0</v>
      </c>
      <c r="GW851">
        <v>1</v>
      </c>
      <c r="GX851">
        <f t="shared" ref="GX851:GX865" si="795">ROUND(HC851*I851,2)</f>
        <v>0</v>
      </c>
      <c r="HA851">
        <v>0</v>
      </c>
      <c r="HB851">
        <v>0</v>
      </c>
      <c r="HC851">
        <f t="shared" ref="HC851:HC865" si="796">GV851*GW851</f>
        <v>0</v>
      </c>
      <c r="HE851" t="s">
        <v>3</v>
      </c>
      <c r="HF851" t="s">
        <v>3</v>
      </c>
      <c r="HM851" t="s">
        <v>3</v>
      </c>
      <c r="HN851" t="s">
        <v>3</v>
      </c>
      <c r="HO851" t="s">
        <v>3</v>
      </c>
      <c r="HP851" t="s">
        <v>3</v>
      </c>
      <c r="HQ851" t="s">
        <v>3</v>
      </c>
      <c r="IK851">
        <v>0</v>
      </c>
    </row>
    <row r="852" spans="1:245" x14ac:dyDescent="0.2">
      <c r="A852">
        <v>17</v>
      </c>
      <c r="B852">
        <v>1</v>
      </c>
      <c r="D852">
        <f>ROW(EtalonRes!A641)</f>
        <v>641</v>
      </c>
      <c r="E852" t="s">
        <v>3</v>
      </c>
      <c r="F852" t="s">
        <v>434</v>
      </c>
      <c r="G852" t="s">
        <v>609</v>
      </c>
      <c r="H852" t="s">
        <v>32</v>
      </c>
      <c r="I852">
        <f>ROUND(ROUND(1+1+1+1,9),9)</f>
        <v>4</v>
      </c>
      <c r="J852">
        <v>0</v>
      </c>
      <c r="K852">
        <f>ROUND(ROUND(1+1+1+1,9),9)</f>
        <v>4</v>
      </c>
      <c r="O852">
        <f t="shared" si="764"/>
        <v>23758.720000000001</v>
      </c>
      <c r="P852">
        <f t="shared" si="765"/>
        <v>47.36</v>
      </c>
      <c r="Q852">
        <f t="shared" si="766"/>
        <v>0</v>
      </c>
      <c r="R852">
        <f t="shared" si="767"/>
        <v>0</v>
      </c>
      <c r="S852">
        <f t="shared" si="768"/>
        <v>23711.360000000001</v>
      </c>
      <c r="T852">
        <f t="shared" si="769"/>
        <v>0</v>
      </c>
      <c r="U852">
        <f t="shared" si="770"/>
        <v>38.4</v>
      </c>
      <c r="V852">
        <f t="shared" si="771"/>
        <v>0</v>
      </c>
      <c r="W852">
        <f t="shared" si="772"/>
        <v>0</v>
      </c>
      <c r="X852">
        <f t="shared" si="773"/>
        <v>16597.95</v>
      </c>
      <c r="Y852">
        <f t="shared" si="774"/>
        <v>2371.14</v>
      </c>
      <c r="AA852">
        <v>-1</v>
      </c>
      <c r="AB852">
        <f t="shared" si="775"/>
        <v>5939.68</v>
      </c>
      <c r="AC852">
        <f>ROUND(((ES852*16)),6)</f>
        <v>11.84</v>
      </c>
      <c r="AD852">
        <f>ROUND(((((ET852*16))-((EU852*16)))+AE852),6)</f>
        <v>0</v>
      </c>
      <c r="AE852">
        <f>ROUND(((EU852*16)),6)</f>
        <v>0</v>
      </c>
      <c r="AF852">
        <f>ROUND(((EV852*16)),6)</f>
        <v>5927.84</v>
      </c>
      <c r="AG852">
        <f t="shared" si="776"/>
        <v>0</v>
      </c>
      <c r="AH852">
        <f>((EW852*16))</f>
        <v>9.6</v>
      </c>
      <c r="AI852">
        <f>((EX852*16))</f>
        <v>0</v>
      </c>
      <c r="AJ852">
        <f t="shared" si="777"/>
        <v>0</v>
      </c>
      <c r="AK852">
        <v>371.23</v>
      </c>
      <c r="AL852">
        <v>0.74</v>
      </c>
      <c r="AM852">
        <v>0</v>
      </c>
      <c r="AN852">
        <v>0</v>
      </c>
      <c r="AO852">
        <v>370.49</v>
      </c>
      <c r="AP852">
        <v>0</v>
      </c>
      <c r="AQ852">
        <v>0.6</v>
      </c>
      <c r="AR852">
        <v>0</v>
      </c>
      <c r="AS852">
        <v>0</v>
      </c>
      <c r="AT852">
        <v>70</v>
      </c>
      <c r="AU852">
        <v>10</v>
      </c>
      <c r="AV852">
        <v>1</v>
      </c>
      <c r="AW852">
        <v>1</v>
      </c>
      <c r="AZ852">
        <v>1</v>
      </c>
      <c r="BA852">
        <v>1</v>
      </c>
      <c r="BB852">
        <v>1</v>
      </c>
      <c r="BC852">
        <v>1</v>
      </c>
      <c r="BD852" t="s">
        <v>3</v>
      </c>
      <c r="BE852" t="s">
        <v>3</v>
      </c>
      <c r="BF852" t="s">
        <v>3</v>
      </c>
      <c r="BG852" t="s">
        <v>3</v>
      </c>
      <c r="BH852">
        <v>0</v>
      </c>
      <c r="BI852">
        <v>4</v>
      </c>
      <c r="BJ852" t="s">
        <v>436</v>
      </c>
      <c r="BM852">
        <v>0</v>
      </c>
      <c r="BN852">
        <v>0</v>
      </c>
      <c r="BO852" t="s">
        <v>3</v>
      </c>
      <c r="BP852">
        <v>0</v>
      </c>
      <c r="BQ852">
        <v>1</v>
      </c>
      <c r="BR852">
        <v>0</v>
      </c>
      <c r="BS852">
        <v>1</v>
      </c>
      <c r="BT852">
        <v>1</v>
      </c>
      <c r="BU852">
        <v>1</v>
      </c>
      <c r="BV852">
        <v>1</v>
      </c>
      <c r="BW852">
        <v>1</v>
      </c>
      <c r="BX852">
        <v>1</v>
      </c>
      <c r="BY852" t="s">
        <v>3</v>
      </c>
      <c r="BZ852">
        <v>70</v>
      </c>
      <c r="CA852">
        <v>10</v>
      </c>
      <c r="CB852" t="s">
        <v>3</v>
      </c>
      <c r="CE852">
        <v>0</v>
      </c>
      <c r="CF852">
        <v>0</v>
      </c>
      <c r="CG852">
        <v>0</v>
      </c>
      <c r="CM852">
        <v>0</v>
      </c>
      <c r="CN852" t="s">
        <v>3</v>
      </c>
      <c r="CO852">
        <v>0</v>
      </c>
      <c r="CP852">
        <f t="shared" si="778"/>
        <v>23758.720000000001</v>
      </c>
      <c r="CQ852">
        <f t="shared" si="779"/>
        <v>11.84</v>
      </c>
      <c r="CR852">
        <f>(((((ET852*16))*BB852-((EU852*16))*BS852)+AE852*BS852)*AV852)</f>
        <v>0</v>
      </c>
      <c r="CS852">
        <f t="shared" si="780"/>
        <v>0</v>
      </c>
      <c r="CT852">
        <f t="shared" si="781"/>
        <v>5927.84</v>
      </c>
      <c r="CU852">
        <f t="shared" si="782"/>
        <v>0</v>
      </c>
      <c r="CV852">
        <f t="shared" si="783"/>
        <v>9.6</v>
      </c>
      <c r="CW852">
        <f t="shared" si="784"/>
        <v>0</v>
      </c>
      <c r="CX852">
        <f t="shared" si="785"/>
        <v>0</v>
      </c>
      <c r="CY852">
        <f t="shared" si="786"/>
        <v>16597.952000000001</v>
      </c>
      <c r="CZ852">
        <f t="shared" si="787"/>
        <v>2371.136</v>
      </c>
      <c r="DC852" t="s">
        <v>3</v>
      </c>
      <c r="DD852" t="s">
        <v>437</v>
      </c>
      <c r="DE852" t="s">
        <v>437</v>
      </c>
      <c r="DF852" t="s">
        <v>437</v>
      </c>
      <c r="DG852" t="s">
        <v>437</v>
      </c>
      <c r="DH852" t="s">
        <v>3</v>
      </c>
      <c r="DI852" t="s">
        <v>437</v>
      </c>
      <c r="DJ852" t="s">
        <v>437</v>
      </c>
      <c r="DK852" t="s">
        <v>3</v>
      </c>
      <c r="DL852" t="s">
        <v>3</v>
      </c>
      <c r="DM852" t="s">
        <v>3</v>
      </c>
      <c r="DN852">
        <v>0</v>
      </c>
      <c r="DO852">
        <v>0</v>
      </c>
      <c r="DP852">
        <v>1</v>
      </c>
      <c r="DQ852">
        <v>1</v>
      </c>
      <c r="DU852">
        <v>16987630</v>
      </c>
      <c r="DV852" t="s">
        <v>32</v>
      </c>
      <c r="DW852" t="s">
        <v>32</v>
      </c>
      <c r="DX852">
        <v>1</v>
      </c>
      <c r="DZ852" t="s">
        <v>3</v>
      </c>
      <c r="EA852" t="s">
        <v>3</v>
      </c>
      <c r="EB852" t="s">
        <v>3</v>
      </c>
      <c r="EC852" t="s">
        <v>3</v>
      </c>
      <c r="EE852">
        <v>1441815344</v>
      </c>
      <c r="EF852">
        <v>1</v>
      </c>
      <c r="EG852" t="s">
        <v>23</v>
      </c>
      <c r="EH852">
        <v>0</v>
      </c>
      <c r="EI852" t="s">
        <v>3</v>
      </c>
      <c r="EJ852">
        <v>4</v>
      </c>
      <c r="EK852">
        <v>0</v>
      </c>
      <c r="EL852" t="s">
        <v>24</v>
      </c>
      <c r="EM852" t="s">
        <v>25</v>
      </c>
      <c r="EO852" t="s">
        <v>3</v>
      </c>
      <c r="EQ852">
        <v>1024</v>
      </c>
      <c r="ER852">
        <v>371.23</v>
      </c>
      <c r="ES852">
        <v>0.74</v>
      </c>
      <c r="ET852">
        <v>0</v>
      </c>
      <c r="EU852">
        <v>0</v>
      </c>
      <c r="EV852">
        <v>370.49</v>
      </c>
      <c r="EW852">
        <v>0.6</v>
      </c>
      <c r="EX852">
        <v>0</v>
      </c>
      <c r="EY852">
        <v>0</v>
      </c>
      <c r="FQ852">
        <v>0</v>
      </c>
      <c r="FR852">
        <f t="shared" si="788"/>
        <v>0</v>
      </c>
      <c r="FS852">
        <v>0</v>
      </c>
      <c r="FX852">
        <v>70</v>
      </c>
      <c r="FY852">
        <v>10</v>
      </c>
      <c r="GA852" t="s">
        <v>3</v>
      </c>
      <c r="GD852">
        <v>0</v>
      </c>
      <c r="GF852">
        <v>-1534836832</v>
      </c>
      <c r="GG852">
        <v>2</v>
      </c>
      <c r="GH852">
        <v>1</v>
      </c>
      <c r="GI852">
        <v>-2</v>
      </c>
      <c r="GJ852">
        <v>0</v>
      </c>
      <c r="GK852">
        <f>ROUND(R852*(R12)/100,2)</f>
        <v>0</v>
      </c>
      <c r="GL852">
        <f t="shared" si="789"/>
        <v>0</v>
      </c>
      <c r="GM852">
        <f t="shared" si="790"/>
        <v>42727.81</v>
      </c>
      <c r="GN852">
        <f t="shared" si="791"/>
        <v>0</v>
      </c>
      <c r="GO852">
        <f t="shared" si="792"/>
        <v>0</v>
      </c>
      <c r="GP852">
        <f t="shared" si="793"/>
        <v>42727.81</v>
      </c>
      <c r="GR852">
        <v>0</v>
      </c>
      <c r="GS852">
        <v>3</v>
      </c>
      <c r="GT852">
        <v>0</v>
      </c>
      <c r="GU852" t="s">
        <v>3</v>
      </c>
      <c r="GV852">
        <f t="shared" si="794"/>
        <v>0</v>
      </c>
      <c r="GW852">
        <v>1</v>
      </c>
      <c r="GX852">
        <f t="shared" si="795"/>
        <v>0</v>
      </c>
      <c r="HA852">
        <v>0</v>
      </c>
      <c r="HB852">
        <v>0</v>
      </c>
      <c r="HC852">
        <f t="shared" si="796"/>
        <v>0</v>
      </c>
      <c r="HE852" t="s">
        <v>3</v>
      </c>
      <c r="HF852" t="s">
        <v>3</v>
      </c>
      <c r="HM852" t="s">
        <v>3</v>
      </c>
      <c r="HN852" t="s">
        <v>3</v>
      </c>
      <c r="HO852" t="s">
        <v>3</v>
      </c>
      <c r="HP852" t="s">
        <v>3</v>
      </c>
      <c r="HQ852" t="s">
        <v>3</v>
      </c>
      <c r="IK852">
        <v>0</v>
      </c>
    </row>
    <row r="853" spans="1:245" x14ac:dyDescent="0.2">
      <c r="A853">
        <v>17</v>
      </c>
      <c r="B853">
        <v>1</v>
      </c>
      <c r="D853">
        <f>ROW(EtalonRes!A644)</f>
        <v>644</v>
      </c>
      <c r="E853" t="s">
        <v>610</v>
      </c>
      <c r="F853" t="s">
        <v>594</v>
      </c>
      <c r="G853" t="s">
        <v>595</v>
      </c>
      <c r="H853" t="s">
        <v>37</v>
      </c>
      <c r="I853">
        <f>ROUND(ROUND((1+1+1+1)/10,9),9)</f>
        <v>0.4</v>
      </c>
      <c r="J853">
        <v>0</v>
      </c>
      <c r="K853">
        <f>ROUND(ROUND((1+1+1+1)/10,9),9)</f>
        <v>0.4</v>
      </c>
      <c r="O853">
        <f t="shared" si="764"/>
        <v>713.54</v>
      </c>
      <c r="P853">
        <f t="shared" si="765"/>
        <v>32.270000000000003</v>
      </c>
      <c r="Q853">
        <f t="shared" si="766"/>
        <v>0</v>
      </c>
      <c r="R853">
        <f t="shared" si="767"/>
        <v>0</v>
      </c>
      <c r="S853">
        <f t="shared" si="768"/>
        <v>681.27</v>
      </c>
      <c r="T853">
        <f t="shared" si="769"/>
        <v>0</v>
      </c>
      <c r="U853">
        <f t="shared" si="770"/>
        <v>0.96</v>
      </c>
      <c r="V853">
        <f t="shared" si="771"/>
        <v>0</v>
      </c>
      <c r="W853">
        <f t="shared" si="772"/>
        <v>0</v>
      </c>
      <c r="X853">
        <f t="shared" si="773"/>
        <v>476.89</v>
      </c>
      <c r="Y853">
        <f t="shared" si="774"/>
        <v>68.13</v>
      </c>
      <c r="AA853">
        <v>1472224561</v>
      </c>
      <c r="AB853">
        <f t="shared" si="775"/>
        <v>1783.85</v>
      </c>
      <c r="AC853">
        <f>ROUND((ES853),6)</f>
        <v>80.67</v>
      </c>
      <c r="AD853">
        <f>ROUND((((ET853)-(EU853))+AE853),6)</f>
        <v>0</v>
      </c>
      <c r="AE853">
        <f>ROUND((EU853),6)</f>
        <v>0</v>
      </c>
      <c r="AF853">
        <f>ROUND((EV853),6)</f>
        <v>1703.18</v>
      </c>
      <c r="AG853">
        <f t="shared" si="776"/>
        <v>0</v>
      </c>
      <c r="AH853">
        <f>(EW853)</f>
        <v>2.4</v>
      </c>
      <c r="AI853">
        <f>(EX853)</f>
        <v>0</v>
      </c>
      <c r="AJ853">
        <f t="shared" si="777"/>
        <v>0</v>
      </c>
      <c r="AK853">
        <v>1783.85</v>
      </c>
      <c r="AL853">
        <v>80.67</v>
      </c>
      <c r="AM853">
        <v>0</v>
      </c>
      <c r="AN853">
        <v>0</v>
      </c>
      <c r="AO853">
        <v>1703.18</v>
      </c>
      <c r="AP853">
        <v>0</v>
      </c>
      <c r="AQ853">
        <v>2.4</v>
      </c>
      <c r="AR853">
        <v>0</v>
      </c>
      <c r="AS853">
        <v>0</v>
      </c>
      <c r="AT853">
        <v>70</v>
      </c>
      <c r="AU853">
        <v>10</v>
      </c>
      <c r="AV853">
        <v>1</v>
      </c>
      <c r="AW853">
        <v>1</v>
      </c>
      <c r="AZ853">
        <v>1</v>
      </c>
      <c r="BA853">
        <v>1</v>
      </c>
      <c r="BB853">
        <v>1</v>
      </c>
      <c r="BC853">
        <v>1</v>
      </c>
      <c r="BD853" t="s">
        <v>3</v>
      </c>
      <c r="BE853" t="s">
        <v>3</v>
      </c>
      <c r="BF853" t="s">
        <v>3</v>
      </c>
      <c r="BG853" t="s">
        <v>3</v>
      </c>
      <c r="BH853">
        <v>0</v>
      </c>
      <c r="BI853">
        <v>4</v>
      </c>
      <c r="BJ853" t="s">
        <v>596</v>
      </c>
      <c r="BM853">
        <v>0</v>
      </c>
      <c r="BN853">
        <v>0</v>
      </c>
      <c r="BO853" t="s">
        <v>3</v>
      </c>
      <c r="BP853">
        <v>0</v>
      </c>
      <c r="BQ853">
        <v>1</v>
      </c>
      <c r="BR853">
        <v>0</v>
      </c>
      <c r="BS853">
        <v>1</v>
      </c>
      <c r="BT853">
        <v>1</v>
      </c>
      <c r="BU853">
        <v>1</v>
      </c>
      <c r="BV853">
        <v>1</v>
      </c>
      <c r="BW853">
        <v>1</v>
      </c>
      <c r="BX853">
        <v>1</v>
      </c>
      <c r="BY853" t="s">
        <v>3</v>
      </c>
      <c r="BZ853">
        <v>70</v>
      </c>
      <c r="CA853">
        <v>10</v>
      </c>
      <c r="CB853" t="s">
        <v>3</v>
      </c>
      <c r="CE853">
        <v>0</v>
      </c>
      <c r="CF853">
        <v>0</v>
      </c>
      <c r="CG853">
        <v>0</v>
      </c>
      <c r="CM853">
        <v>0</v>
      </c>
      <c r="CN853" t="s">
        <v>3</v>
      </c>
      <c r="CO853">
        <v>0</v>
      </c>
      <c r="CP853">
        <f t="shared" si="778"/>
        <v>713.54</v>
      </c>
      <c r="CQ853">
        <f t="shared" si="779"/>
        <v>80.67</v>
      </c>
      <c r="CR853">
        <f>((((ET853)*BB853-(EU853)*BS853)+AE853*BS853)*AV853)</f>
        <v>0</v>
      </c>
      <c r="CS853">
        <f t="shared" si="780"/>
        <v>0</v>
      </c>
      <c r="CT853">
        <f t="shared" si="781"/>
        <v>1703.18</v>
      </c>
      <c r="CU853">
        <f t="shared" si="782"/>
        <v>0</v>
      </c>
      <c r="CV853">
        <f t="shared" si="783"/>
        <v>2.4</v>
      </c>
      <c r="CW853">
        <f t="shared" si="784"/>
        <v>0</v>
      </c>
      <c r="CX853">
        <f t="shared" si="785"/>
        <v>0</v>
      </c>
      <c r="CY853">
        <f t="shared" si="786"/>
        <v>476.88900000000001</v>
      </c>
      <c r="CZ853">
        <f t="shared" si="787"/>
        <v>68.126999999999995</v>
      </c>
      <c r="DC853" t="s">
        <v>3</v>
      </c>
      <c r="DD853" t="s">
        <v>3</v>
      </c>
      <c r="DE853" t="s">
        <v>3</v>
      </c>
      <c r="DF853" t="s">
        <v>3</v>
      </c>
      <c r="DG853" t="s">
        <v>3</v>
      </c>
      <c r="DH853" t="s">
        <v>3</v>
      </c>
      <c r="DI853" t="s">
        <v>3</v>
      </c>
      <c r="DJ853" t="s">
        <v>3</v>
      </c>
      <c r="DK853" t="s">
        <v>3</v>
      </c>
      <c r="DL853" t="s">
        <v>3</v>
      </c>
      <c r="DM853" t="s">
        <v>3</v>
      </c>
      <c r="DN853">
        <v>0</v>
      </c>
      <c r="DO853">
        <v>0</v>
      </c>
      <c r="DP853">
        <v>1</v>
      </c>
      <c r="DQ853">
        <v>1</v>
      </c>
      <c r="DU853">
        <v>16987630</v>
      </c>
      <c r="DV853" t="s">
        <v>37</v>
      </c>
      <c r="DW853" t="s">
        <v>37</v>
      </c>
      <c r="DX853">
        <v>10</v>
      </c>
      <c r="DZ853" t="s">
        <v>3</v>
      </c>
      <c r="EA853" t="s">
        <v>3</v>
      </c>
      <c r="EB853" t="s">
        <v>3</v>
      </c>
      <c r="EC853" t="s">
        <v>3</v>
      </c>
      <c r="EE853">
        <v>1441815344</v>
      </c>
      <c r="EF853">
        <v>1</v>
      </c>
      <c r="EG853" t="s">
        <v>23</v>
      </c>
      <c r="EH853">
        <v>0</v>
      </c>
      <c r="EI853" t="s">
        <v>3</v>
      </c>
      <c r="EJ853">
        <v>4</v>
      </c>
      <c r="EK853">
        <v>0</v>
      </c>
      <c r="EL853" t="s">
        <v>24</v>
      </c>
      <c r="EM853" t="s">
        <v>25</v>
      </c>
      <c r="EO853" t="s">
        <v>3</v>
      </c>
      <c r="EQ853">
        <v>0</v>
      </c>
      <c r="ER853">
        <v>1783.85</v>
      </c>
      <c r="ES853">
        <v>80.67</v>
      </c>
      <c r="ET853">
        <v>0</v>
      </c>
      <c r="EU853">
        <v>0</v>
      </c>
      <c r="EV853">
        <v>1703.18</v>
      </c>
      <c r="EW853">
        <v>2.4</v>
      </c>
      <c r="EX853">
        <v>0</v>
      </c>
      <c r="EY853">
        <v>0</v>
      </c>
      <c r="FQ853">
        <v>0</v>
      </c>
      <c r="FR853">
        <f t="shared" si="788"/>
        <v>0</v>
      </c>
      <c r="FS853">
        <v>0</v>
      </c>
      <c r="FX853">
        <v>70</v>
      </c>
      <c r="FY853">
        <v>10</v>
      </c>
      <c r="GA853" t="s">
        <v>3</v>
      </c>
      <c r="GD853">
        <v>0</v>
      </c>
      <c r="GF853">
        <v>275629574</v>
      </c>
      <c r="GG853">
        <v>2</v>
      </c>
      <c r="GH853">
        <v>1</v>
      </c>
      <c r="GI853">
        <v>-2</v>
      </c>
      <c r="GJ853">
        <v>0</v>
      </c>
      <c r="GK853">
        <f>ROUND(R853*(R12)/100,2)</f>
        <v>0</v>
      </c>
      <c r="GL853">
        <f t="shared" si="789"/>
        <v>0</v>
      </c>
      <c r="GM853">
        <f t="shared" si="790"/>
        <v>1258.56</v>
      </c>
      <c r="GN853">
        <f t="shared" si="791"/>
        <v>0</v>
      </c>
      <c r="GO853">
        <f t="shared" si="792"/>
        <v>0</v>
      </c>
      <c r="GP853">
        <f t="shared" si="793"/>
        <v>1258.56</v>
      </c>
      <c r="GR853">
        <v>0</v>
      </c>
      <c r="GS853">
        <v>3</v>
      </c>
      <c r="GT853">
        <v>0</v>
      </c>
      <c r="GU853" t="s">
        <v>3</v>
      </c>
      <c r="GV853">
        <f t="shared" si="794"/>
        <v>0</v>
      </c>
      <c r="GW853">
        <v>1</v>
      </c>
      <c r="GX853">
        <f t="shared" si="795"/>
        <v>0</v>
      </c>
      <c r="HA853">
        <v>0</v>
      </c>
      <c r="HB853">
        <v>0</v>
      </c>
      <c r="HC853">
        <f t="shared" si="796"/>
        <v>0</v>
      </c>
      <c r="HE853" t="s">
        <v>3</v>
      </c>
      <c r="HF853" t="s">
        <v>3</v>
      </c>
      <c r="HM853" t="s">
        <v>3</v>
      </c>
      <c r="HN853" t="s">
        <v>3</v>
      </c>
      <c r="HO853" t="s">
        <v>3</v>
      </c>
      <c r="HP853" t="s">
        <v>3</v>
      </c>
      <c r="HQ853" t="s">
        <v>3</v>
      </c>
      <c r="IK853">
        <v>0</v>
      </c>
    </row>
    <row r="854" spans="1:245" x14ac:dyDescent="0.2">
      <c r="A854">
        <v>17</v>
      </c>
      <c r="B854">
        <v>1</v>
      </c>
      <c r="D854">
        <f>ROW(EtalonRes!A647)</f>
        <v>647</v>
      </c>
      <c r="E854" t="s">
        <v>611</v>
      </c>
      <c r="F854" t="s">
        <v>612</v>
      </c>
      <c r="G854" t="s">
        <v>613</v>
      </c>
      <c r="H854" t="s">
        <v>32</v>
      </c>
      <c r="I854">
        <f>ROUND(ROUND(1+1+1+1,9),9)</f>
        <v>4</v>
      </c>
      <c r="J854">
        <v>0</v>
      </c>
      <c r="K854">
        <f>ROUND(ROUND(1+1+1+1,9),9)</f>
        <v>4</v>
      </c>
      <c r="O854">
        <f t="shared" si="764"/>
        <v>1485.44</v>
      </c>
      <c r="P854">
        <f t="shared" si="765"/>
        <v>3.48</v>
      </c>
      <c r="Q854">
        <f t="shared" si="766"/>
        <v>0</v>
      </c>
      <c r="R854">
        <f t="shared" si="767"/>
        <v>0</v>
      </c>
      <c r="S854">
        <f t="shared" si="768"/>
        <v>1481.96</v>
      </c>
      <c r="T854">
        <f t="shared" si="769"/>
        <v>0</v>
      </c>
      <c r="U854">
        <f t="shared" si="770"/>
        <v>2.4</v>
      </c>
      <c r="V854">
        <f t="shared" si="771"/>
        <v>0</v>
      </c>
      <c r="W854">
        <f t="shared" si="772"/>
        <v>0</v>
      </c>
      <c r="X854">
        <f t="shared" si="773"/>
        <v>1037.3699999999999</v>
      </c>
      <c r="Y854">
        <f t="shared" si="774"/>
        <v>148.19999999999999</v>
      </c>
      <c r="AA854">
        <v>1472224561</v>
      </c>
      <c r="AB854">
        <f t="shared" si="775"/>
        <v>371.36</v>
      </c>
      <c r="AC854">
        <f>ROUND((ES854),6)</f>
        <v>0.87</v>
      </c>
      <c r="AD854">
        <f>ROUND((((ET854)-(EU854))+AE854),6)</f>
        <v>0</v>
      </c>
      <c r="AE854">
        <f>ROUND((EU854),6)</f>
        <v>0</v>
      </c>
      <c r="AF854">
        <f>ROUND((EV854),6)</f>
        <v>370.49</v>
      </c>
      <c r="AG854">
        <f t="shared" si="776"/>
        <v>0</v>
      </c>
      <c r="AH854">
        <f>(EW854)</f>
        <v>0.6</v>
      </c>
      <c r="AI854">
        <f>(EX854)</f>
        <v>0</v>
      </c>
      <c r="AJ854">
        <f t="shared" si="777"/>
        <v>0</v>
      </c>
      <c r="AK854">
        <v>371.36</v>
      </c>
      <c r="AL854">
        <v>0.87</v>
      </c>
      <c r="AM854">
        <v>0</v>
      </c>
      <c r="AN854">
        <v>0</v>
      </c>
      <c r="AO854">
        <v>370.49</v>
      </c>
      <c r="AP854">
        <v>0</v>
      </c>
      <c r="AQ854">
        <v>0.6</v>
      </c>
      <c r="AR854">
        <v>0</v>
      </c>
      <c r="AS854">
        <v>0</v>
      </c>
      <c r="AT854">
        <v>70</v>
      </c>
      <c r="AU854">
        <v>10</v>
      </c>
      <c r="AV854">
        <v>1</v>
      </c>
      <c r="AW854">
        <v>1</v>
      </c>
      <c r="AZ854">
        <v>1</v>
      </c>
      <c r="BA854">
        <v>1</v>
      </c>
      <c r="BB854">
        <v>1</v>
      </c>
      <c r="BC854">
        <v>1</v>
      </c>
      <c r="BD854" t="s">
        <v>3</v>
      </c>
      <c r="BE854" t="s">
        <v>3</v>
      </c>
      <c r="BF854" t="s">
        <v>3</v>
      </c>
      <c r="BG854" t="s">
        <v>3</v>
      </c>
      <c r="BH854">
        <v>0</v>
      </c>
      <c r="BI854">
        <v>4</v>
      </c>
      <c r="BJ854" t="s">
        <v>614</v>
      </c>
      <c r="BM854">
        <v>0</v>
      </c>
      <c r="BN854">
        <v>0</v>
      </c>
      <c r="BO854" t="s">
        <v>3</v>
      </c>
      <c r="BP854">
        <v>0</v>
      </c>
      <c r="BQ854">
        <v>1</v>
      </c>
      <c r="BR854">
        <v>0</v>
      </c>
      <c r="BS854">
        <v>1</v>
      </c>
      <c r="BT854">
        <v>1</v>
      </c>
      <c r="BU854">
        <v>1</v>
      </c>
      <c r="BV854">
        <v>1</v>
      </c>
      <c r="BW854">
        <v>1</v>
      </c>
      <c r="BX854">
        <v>1</v>
      </c>
      <c r="BY854" t="s">
        <v>3</v>
      </c>
      <c r="BZ854">
        <v>70</v>
      </c>
      <c r="CA854">
        <v>10</v>
      </c>
      <c r="CB854" t="s">
        <v>3</v>
      </c>
      <c r="CE854">
        <v>0</v>
      </c>
      <c r="CF854">
        <v>0</v>
      </c>
      <c r="CG854">
        <v>0</v>
      </c>
      <c r="CM854">
        <v>0</v>
      </c>
      <c r="CN854" t="s">
        <v>3</v>
      </c>
      <c r="CO854">
        <v>0</v>
      </c>
      <c r="CP854">
        <f t="shared" si="778"/>
        <v>1485.44</v>
      </c>
      <c r="CQ854">
        <f t="shared" si="779"/>
        <v>0.87</v>
      </c>
      <c r="CR854">
        <f>((((ET854)*BB854-(EU854)*BS854)+AE854*BS854)*AV854)</f>
        <v>0</v>
      </c>
      <c r="CS854">
        <f t="shared" si="780"/>
        <v>0</v>
      </c>
      <c r="CT854">
        <f t="shared" si="781"/>
        <v>370.49</v>
      </c>
      <c r="CU854">
        <f t="shared" si="782"/>
        <v>0</v>
      </c>
      <c r="CV854">
        <f t="shared" si="783"/>
        <v>0.6</v>
      </c>
      <c r="CW854">
        <f t="shared" si="784"/>
        <v>0</v>
      </c>
      <c r="CX854">
        <f t="shared" si="785"/>
        <v>0</v>
      </c>
      <c r="CY854">
        <f t="shared" si="786"/>
        <v>1037.3720000000001</v>
      </c>
      <c r="CZ854">
        <f t="shared" si="787"/>
        <v>148.196</v>
      </c>
      <c r="DC854" t="s">
        <v>3</v>
      </c>
      <c r="DD854" t="s">
        <v>3</v>
      </c>
      <c r="DE854" t="s">
        <v>3</v>
      </c>
      <c r="DF854" t="s">
        <v>3</v>
      </c>
      <c r="DG854" t="s">
        <v>3</v>
      </c>
      <c r="DH854" t="s">
        <v>3</v>
      </c>
      <c r="DI854" t="s">
        <v>3</v>
      </c>
      <c r="DJ854" t="s">
        <v>3</v>
      </c>
      <c r="DK854" t="s">
        <v>3</v>
      </c>
      <c r="DL854" t="s">
        <v>3</v>
      </c>
      <c r="DM854" t="s">
        <v>3</v>
      </c>
      <c r="DN854">
        <v>0</v>
      </c>
      <c r="DO854">
        <v>0</v>
      </c>
      <c r="DP854">
        <v>1</v>
      </c>
      <c r="DQ854">
        <v>1</v>
      </c>
      <c r="DU854">
        <v>16987630</v>
      </c>
      <c r="DV854" t="s">
        <v>32</v>
      </c>
      <c r="DW854" t="s">
        <v>32</v>
      </c>
      <c r="DX854">
        <v>1</v>
      </c>
      <c r="DZ854" t="s">
        <v>3</v>
      </c>
      <c r="EA854" t="s">
        <v>3</v>
      </c>
      <c r="EB854" t="s">
        <v>3</v>
      </c>
      <c r="EC854" t="s">
        <v>3</v>
      </c>
      <c r="EE854">
        <v>1441815344</v>
      </c>
      <c r="EF854">
        <v>1</v>
      </c>
      <c r="EG854" t="s">
        <v>23</v>
      </c>
      <c r="EH854">
        <v>0</v>
      </c>
      <c r="EI854" t="s">
        <v>3</v>
      </c>
      <c r="EJ854">
        <v>4</v>
      </c>
      <c r="EK854">
        <v>0</v>
      </c>
      <c r="EL854" t="s">
        <v>24</v>
      </c>
      <c r="EM854" t="s">
        <v>25</v>
      </c>
      <c r="EO854" t="s">
        <v>3</v>
      </c>
      <c r="EQ854">
        <v>0</v>
      </c>
      <c r="ER854">
        <v>371.36</v>
      </c>
      <c r="ES854">
        <v>0.87</v>
      </c>
      <c r="ET854">
        <v>0</v>
      </c>
      <c r="EU854">
        <v>0</v>
      </c>
      <c r="EV854">
        <v>370.49</v>
      </c>
      <c r="EW854">
        <v>0.6</v>
      </c>
      <c r="EX854">
        <v>0</v>
      </c>
      <c r="EY854">
        <v>0</v>
      </c>
      <c r="FQ854">
        <v>0</v>
      </c>
      <c r="FR854">
        <f t="shared" si="788"/>
        <v>0</v>
      </c>
      <c r="FS854">
        <v>0</v>
      </c>
      <c r="FX854">
        <v>70</v>
      </c>
      <c r="FY854">
        <v>10</v>
      </c>
      <c r="GA854" t="s">
        <v>3</v>
      </c>
      <c r="GD854">
        <v>0</v>
      </c>
      <c r="GF854">
        <v>-1103270734</v>
      </c>
      <c r="GG854">
        <v>2</v>
      </c>
      <c r="GH854">
        <v>1</v>
      </c>
      <c r="GI854">
        <v>-2</v>
      </c>
      <c r="GJ854">
        <v>0</v>
      </c>
      <c r="GK854">
        <f>ROUND(R854*(R12)/100,2)</f>
        <v>0</v>
      </c>
      <c r="GL854">
        <f t="shared" si="789"/>
        <v>0</v>
      </c>
      <c r="GM854">
        <f t="shared" si="790"/>
        <v>2671.01</v>
      </c>
      <c r="GN854">
        <f t="shared" si="791"/>
        <v>0</v>
      </c>
      <c r="GO854">
        <f t="shared" si="792"/>
        <v>0</v>
      </c>
      <c r="GP854">
        <f t="shared" si="793"/>
        <v>2671.01</v>
      </c>
      <c r="GR854">
        <v>0</v>
      </c>
      <c r="GS854">
        <v>3</v>
      </c>
      <c r="GT854">
        <v>0</v>
      </c>
      <c r="GU854" t="s">
        <v>3</v>
      </c>
      <c r="GV854">
        <f t="shared" si="794"/>
        <v>0</v>
      </c>
      <c r="GW854">
        <v>1</v>
      </c>
      <c r="GX854">
        <f t="shared" si="795"/>
        <v>0</v>
      </c>
      <c r="HA854">
        <v>0</v>
      </c>
      <c r="HB854">
        <v>0</v>
      </c>
      <c r="HC854">
        <f t="shared" si="796"/>
        <v>0</v>
      </c>
      <c r="HE854" t="s">
        <v>3</v>
      </c>
      <c r="HF854" t="s">
        <v>3</v>
      </c>
      <c r="HM854" t="s">
        <v>3</v>
      </c>
      <c r="HN854" t="s">
        <v>3</v>
      </c>
      <c r="HO854" t="s">
        <v>3</v>
      </c>
      <c r="HP854" t="s">
        <v>3</v>
      </c>
      <c r="HQ854" t="s">
        <v>3</v>
      </c>
      <c r="IK854">
        <v>0</v>
      </c>
    </row>
    <row r="855" spans="1:245" x14ac:dyDescent="0.2">
      <c r="A855">
        <v>17</v>
      </c>
      <c r="B855">
        <v>1</v>
      </c>
      <c r="D855">
        <f>ROW(EtalonRes!A649)</f>
        <v>649</v>
      </c>
      <c r="E855" t="s">
        <v>3</v>
      </c>
      <c r="F855" t="s">
        <v>615</v>
      </c>
      <c r="G855" t="s">
        <v>616</v>
      </c>
      <c r="H855" t="s">
        <v>32</v>
      </c>
      <c r="I855">
        <f>ROUND(ROUND(1+1+1+1,9),9)</f>
        <v>4</v>
      </c>
      <c r="J855">
        <v>0</v>
      </c>
      <c r="K855">
        <f>ROUND(ROUND(1+1+1+1,9),9)</f>
        <v>4</v>
      </c>
      <c r="O855">
        <f t="shared" si="764"/>
        <v>148.19999999999999</v>
      </c>
      <c r="P855">
        <f t="shared" si="765"/>
        <v>0</v>
      </c>
      <c r="Q855">
        <f t="shared" si="766"/>
        <v>0</v>
      </c>
      <c r="R855">
        <f t="shared" si="767"/>
        <v>0</v>
      </c>
      <c r="S855">
        <f t="shared" si="768"/>
        <v>148.19999999999999</v>
      </c>
      <c r="T855">
        <f t="shared" si="769"/>
        <v>0</v>
      </c>
      <c r="U855">
        <f t="shared" si="770"/>
        <v>0.24</v>
      </c>
      <c r="V855">
        <f t="shared" si="771"/>
        <v>0</v>
      </c>
      <c r="W855">
        <f t="shared" si="772"/>
        <v>0</v>
      </c>
      <c r="X855">
        <f t="shared" si="773"/>
        <v>103.74</v>
      </c>
      <c r="Y855">
        <f t="shared" si="774"/>
        <v>14.82</v>
      </c>
      <c r="AA855">
        <v>-1</v>
      </c>
      <c r="AB855">
        <f t="shared" si="775"/>
        <v>37.049999999999997</v>
      </c>
      <c r="AC855">
        <f>ROUND(((ES855*3)),6)</f>
        <v>0</v>
      </c>
      <c r="AD855">
        <f>ROUND(((((ET855*3))-((EU855*3)))+AE855),6)</f>
        <v>0</v>
      </c>
      <c r="AE855">
        <f>ROUND(((EU855*3)),6)</f>
        <v>0</v>
      </c>
      <c r="AF855">
        <f>ROUND(((EV855*3)),6)</f>
        <v>37.049999999999997</v>
      </c>
      <c r="AG855">
        <f t="shared" si="776"/>
        <v>0</v>
      </c>
      <c r="AH855">
        <f>((EW855*3))</f>
        <v>0.06</v>
      </c>
      <c r="AI855">
        <f>((EX855*3))</f>
        <v>0</v>
      </c>
      <c r="AJ855">
        <f t="shared" si="777"/>
        <v>0</v>
      </c>
      <c r="AK855">
        <v>12.35</v>
      </c>
      <c r="AL855">
        <v>0</v>
      </c>
      <c r="AM855">
        <v>0</v>
      </c>
      <c r="AN855">
        <v>0</v>
      </c>
      <c r="AO855">
        <v>12.35</v>
      </c>
      <c r="AP855">
        <v>0</v>
      </c>
      <c r="AQ855">
        <v>0.02</v>
      </c>
      <c r="AR855">
        <v>0</v>
      </c>
      <c r="AS855">
        <v>0</v>
      </c>
      <c r="AT855">
        <v>70</v>
      </c>
      <c r="AU855">
        <v>10</v>
      </c>
      <c r="AV855">
        <v>1</v>
      </c>
      <c r="AW855">
        <v>1</v>
      </c>
      <c r="AZ855">
        <v>1</v>
      </c>
      <c r="BA855">
        <v>1</v>
      </c>
      <c r="BB855">
        <v>1</v>
      </c>
      <c r="BC855">
        <v>1</v>
      </c>
      <c r="BD855" t="s">
        <v>3</v>
      </c>
      <c r="BE855" t="s">
        <v>3</v>
      </c>
      <c r="BF855" t="s">
        <v>3</v>
      </c>
      <c r="BG855" t="s">
        <v>3</v>
      </c>
      <c r="BH855">
        <v>0</v>
      </c>
      <c r="BI855">
        <v>4</v>
      </c>
      <c r="BJ855" t="s">
        <v>617</v>
      </c>
      <c r="BM855">
        <v>0</v>
      </c>
      <c r="BN855">
        <v>0</v>
      </c>
      <c r="BO855" t="s">
        <v>3</v>
      </c>
      <c r="BP855">
        <v>0</v>
      </c>
      <c r="BQ855">
        <v>1</v>
      </c>
      <c r="BR855">
        <v>0</v>
      </c>
      <c r="BS855">
        <v>1</v>
      </c>
      <c r="BT855">
        <v>1</v>
      </c>
      <c r="BU855">
        <v>1</v>
      </c>
      <c r="BV855">
        <v>1</v>
      </c>
      <c r="BW855">
        <v>1</v>
      </c>
      <c r="BX855">
        <v>1</v>
      </c>
      <c r="BY855" t="s">
        <v>3</v>
      </c>
      <c r="BZ855">
        <v>70</v>
      </c>
      <c r="CA855">
        <v>10</v>
      </c>
      <c r="CB855" t="s">
        <v>3</v>
      </c>
      <c r="CE855">
        <v>0</v>
      </c>
      <c r="CF855">
        <v>0</v>
      </c>
      <c r="CG855">
        <v>0</v>
      </c>
      <c r="CM855">
        <v>0</v>
      </c>
      <c r="CN855" t="s">
        <v>3</v>
      </c>
      <c r="CO855">
        <v>0</v>
      </c>
      <c r="CP855">
        <f t="shared" si="778"/>
        <v>148.19999999999999</v>
      </c>
      <c r="CQ855">
        <f t="shared" si="779"/>
        <v>0</v>
      </c>
      <c r="CR855">
        <f>(((((ET855*3))*BB855-((EU855*3))*BS855)+AE855*BS855)*AV855)</f>
        <v>0</v>
      </c>
      <c r="CS855">
        <f t="shared" si="780"/>
        <v>0</v>
      </c>
      <c r="CT855">
        <f t="shared" si="781"/>
        <v>37.049999999999997</v>
      </c>
      <c r="CU855">
        <f t="shared" si="782"/>
        <v>0</v>
      </c>
      <c r="CV855">
        <f t="shared" si="783"/>
        <v>0.06</v>
      </c>
      <c r="CW855">
        <f t="shared" si="784"/>
        <v>0</v>
      </c>
      <c r="CX855">
        <f t="shared" si="785"/>
        <v>0</v>
      </c>
      <c r="CY855">
        <f t="shared" si="786"/>
        <v>103.74</v>
      </c>
      <c r="CZ855">
        <f t="shared" si="787"/>
        <v>14.82</v>
      </c>
      <c r="DC855" t="s">
        <v>3</v>
      </c>
      <c r="DD855" t="s">
        <v>290</v>
      </c>
      <c r="DE855" t="s">
        <v>290</v>
      </c>
      <c r="DF855" t="s">
        <v>290</v>
      </c>
      <c r="DG855" t="s">
        <v>290</v>
      </c>
      <c r="DH855" t="s">
        <v>3</v>
      </c>
      <c r="DI855" t="s">
        <v>290</v>
      </c>
      <c r="DJ855" t="s">
        <v>290</v>
      </c>
      <c r="DK855" t="s">
        <v>3</v>
      </c>
      <c r="DL855" t="s">
        <v>3</v>
      </c>
      <c r="DM855" t="s">
        <v>3</v>
      </c>
      <c r="DN855">
        <v>0</v>
      </c>
      <c r="DO855">
        <v>0</v>
      </c>
      <c r="DP855">
        <v>1</v>
      </c>
      <c r="DQ855">
        <v>1</v>
      </c>
      <c r="DU855">
        <v>16987630</v>
      </c>
      <c r="DV855" t="s">
        <v>32</v>
      </c>
      <c r="DW855" t="s">
        <v>32</v>
      </c>
      <c r="DX855">
        <v>1</v>
      </c>
      <c r="DZ855" t="s">
        <v>3</v>
      </c>
      <c r="EA855" t="s">
        <v>3</v>
      </c>
      <c r="EB855" t="s">
        <v>3</v>
      </c>
      <c r="EC855" t="s">
        <v>3</v>
      </c>
      <c r="EE855">
        <v>1441815344</v>
      </c>
      <c r="EF855">
        <v>1</v>
      </c>
      <c r="EG855" t="s">
        <v>23</v>
      </c>
      <c r="EH855">
        <v>0</v>
      </c>
      <c r="EI855" t="s">
        <v>3</v>
      </c>
      <c r="EJ855">
        <v>4</v>
      </c>
      <c r="EK855">
        <v>0</v>
      </c>
      <c r="EL855" t="s">
        <v>24</v>
      </c>
      <c r="EM855" t="s">
        <v>25</v>
      </c>
      <c r="EO855" t="s">
        <v>3</v>
      </c>
      <c r="EQ855">
        <v>1024</v>
      </c>
      <c r="ER855">
        <v>12.35</v>
      </c>
      <c r="ES855">
        <v>0</v>
      </c>
      <c r="ET855">
        <v>0</v>
      </c>
      <c r="EU855">
        <v>0</v>
      </c>
      <c r="EV855">
        <v>12.35</v>
      </c>
      <c r="EW855">
        <v>0.02</v>
      </c>
      <c r="EX855">
        <v>0</v>
      </c>
      <c r="EY855">
        <v>0</v>
      </c>
      <c r="FQ855">
        <v>0</v>
      </c>
      <c r="FR855">
        <f t="shared" si="788"/>
        <v>0</v>
      </c>
      <c r="FS855">
        <v>0</v>
      </c>
      <c r="FX855">
        <v>70</v>
      </c>
      <c r="FY855">
        <v>10</v>
      </c>
      <c r="GA855" t="s">
        <v>3</v>
      </c>
      <c r="GD855">
        <v>0</v>
      </c>
      <c r="GF855">
        <v>2012518240</v>
      </c>
      <c r="GG855">
        <v>2</v>
      </c>
      <c r="GH855">
        <v>1</v>
      </c>
      <c r="GI855">
        <v>-2</v>
      </c>
      <c r="GJ855">
        <v>0</v>
      </c>
      <c r="GK855">
        <f>ROUND(R855*(R12)/100,2)</f>
        <v>0</v>
      </c>
      <c r="GL855">
        <f t="shared" si="789"/>
        <v>0</v>
      </c>
      <c r="GM855">
        <f t="shared" si="790"/>
        <v>266.76</v>
      </c>
      <c r="GN855">
        <f t="shared" si="791"/>
        <v>0</v>
      </c>
      <c r="GO855">
        <f t="shared" si="792"/>
        <v>0</v>
      </c>
      <c r="GP855">
        <f t="shared" si="793"/>
        <v>266.76</v>
      </c>
      <c r="GR855">
        <v>0</v>
      </c>
      <c r="GS855">
        <v>3</v>
      </c>
      <c r="GT855">
        <v>0</v>
      </c>
      <c r="GU855" t="s">
        <v>3</v>
      </c>
      <c r="GV855">
        <f t="shared" si="794"/>
        <v>0</v>
      </c>
      <c r="GW855">
        <v>1</v>
      </c>
      <c r="GX855">
        <f t="shared" si="795"/>
        <v>0</v>
      </c>
      <c r="HA855">
        <v>0</v>
      </c>
      <c r="HB855">
        <v>0</v>
      </c>
      <c r="HC855">
        <f t="shared" si="796"/>
        <v>0</v>
      </c>
      <c r="HE855" t="s">
        <v>3</v>
      </c>
      <c r="HF855" t="s">
        <v>3</v>
      </c>
      <c r="HM855" t="s">
        <v>3</v>
      </c>
      <c r="HN855" t="s">
        <v>3</v>
      </c>
      <c r="HO855" t="s">
        <v>3</v>
      </c>
      <c r="HP855" t="s">
        <v>3</v>
      </c>
      <c r="HQ855" t="s">
        <v>3</v>
      </c>
      <c r="IK855">
        <v>0</v>
      </c>
    </row>
    <row r="856" spans="1:245" x14ac:dyDescent="0.2">
      <c r="A856">
        <v>17</v>
      </c>
      <c r="B856">
        <v>1</v>
      </c>
      <c r="D856">
        <f>ROW(EtalonRes!A652)</f>
        <v>652</v>
      </c>
      <c r="E856" t="s">
        <v>618</v>
      </c>
      <c r="F856" t="s">
        <v>619</v>
      </c>
      <c r="G856" t="s">
        <v>620</v>
      </c>
      <c r="H856" t="s">
        <v>32</v>
      </c>
      <c r="I856">
        <f>ROUND(ROUND(1+1+1+1,9),9)</f>
        <v>4</v>
      </c>
      <c r="J856">
        <v>0</v>
      </c>
      <c r="K856">
        <f>ROUND(ROUND(1+1+1+1,9),9)</f>
        <v>4</v>
      </c>
      <c r="O856">
        <f t="shared" si="764"/>
        <v>1383.4</v>
      </c>
      <c r="P856">
        <f t="shared" si="765"/>
        <v>0.52</v>
      </c>
      <c r="Q856">
        <f t="shared" si="766"/>
        <v>208.48</v>
      </c>
      <c r="R856">
        <f t="shared" si="767"/>
        <v>132.19999999999999</v>
      </c>
      <c r="S856">
        <f t="shared" si="768"/>
        <v>1174.4000000000001</v>
      </c>
      <c r="T856">
        <f t="shared" si="769"/>
        <v>0</v>
      </c>
      <c r="U856">
        <f t="shared" si="770"/>
        <v>2.2000000000000002</v>
      </c>
      <c r="V856">
        <f t="shared" si="771"/>
        <v>0</v>
      </c>
      <c r="W856">
        <f t="shared" si="772"/>
        <v>0</v>
      </c>
      <c r="X856">
        <f t="shared" si="773"/>
        <v>822.08</v>
      </c>
      <c r="Y856">
        <f t="shared" si="774"/>
        <v>117.44</v>
      </c>
      <c r="AA856">
        <v>1472224561</v>
      </c>
      <c r="AB856">
        <f t="shared" si="775"/>
        <v>345.85</v>
      </c>
      <c r="AC856">
        <f>ROUND((ES856),6)</f>
        <v>0.13</v>
      </c>
      <c r="AD856">
        <f>ROUND((((ET856)-(EU856))+AE856),6)</f>
        <v>52.12</v>
      </c>
      <c r="AE856">
        <f>ROUND((EU856),6)</f>
        <v>33.049999999999997</v>
      </c>
      <c r="AF856">
        <f>ROUND((EV856),6)</f>
        <v>293.60000000000002</v>
      </c>
      <c r="AG856">
        <f t="shared" si="776"/>
        <v>0</v>
      </c>
      <c r="AH856">
        <f>(EW856)</f>
        <v>0.55000000000000004</v>
      </c>
      <c r="AI856">
        <f>(EX856)</f>
        <v>0</v>
      </c>
      <c r="AJ856">
        <f t="shared" si="777"/>
        <v>0</v>
      </c>
      <c r="AK856">
        <v>345.85</v>
      </c>
      <c r="AL856">
        <v>0.13</v>
      </c>
      <c r="AM856">
        <v>52.12</v>
      </c>
      <c r="AN856">
        <v>33.049999999999997</v>
      </c>
      <c r="AO856">
        <v>293.60000000000002</v>
      </c>
      <c r="AP856">
        <v>0</v>
      </c>
      <c r="AQ856">
        <v>0.55000000000000004</v>
      </c>
      <c r="AR856">
        <v>0</v>
      </c>
      <c r="AS856">
        <v>0</v>
      </c>
      <c r="AT856">
        <v>70</v>
      </c>
      <c r="AU856">
        <v>10</v>
      </c>
      <c r="AV856">
        <v>1</v>
      </c>
      <c r="AW856">
        <v>1</v>
      </c>
      <c r="AZ856">
        <v>1</v>
      </c>
      <c r="BA856">
        <v>1</v>
      </c>
      <c r="BB856">
        <v>1</v>
      </c>
      <c r="BC856">
        <v>1</v>
      </c>
      <c r="BD856" t="s">
        <v>3</v>
      </c>
      <c r="BE856" t="s">
        <v>3</v>
      </c>
      <c r="BF856" t="s">
        <v>3</v>
      </c>
      <c r="BG856" t="s">
        <v>3</v>
      </c>
      <c r="BH856">
        <v>0</v>
      </c>
      <c r="BI856">
        <v>4</v>
      </c>
      <c r="BJ856" t="s">
        <v>621</v>
      </c>
      <c r="BM856">
        <v>0</v>
      </c>
      <c r="BN856">
        <v>0</v>
      </c>
      <c r="BO856" t="s">
        <v>3</v>
      </c>
      <c r="BP856">
        <v>0</v>
      </c>
      <c r="BQ856">
        <v>1</v>
      </c>
      <c r="BR856">
        <v>0</v>
      </c>
      <c r="BS856">
        <v>1</v>
      </c>
      <c r="BT856">
        <v>1</v>
      </c>
      <c r="BU856">
        <v>1</v>
      </c>
      <c r="BV856">
        <v>1</v>
      </c>
      <c r="BW856">
        <v>1</v>
      </c>
      <c r="BX856">
        <v>1</v>
      </c>
      <c r="BY856" t="s">
        <v>3</v>
      </c>
      <c r="BZ856">
        <v>70</v>
      </c>
      <c r="CA856">
        <v>10</v>
      </c>
      <c r="CB856" t="s">
        <v>3</v>
      </c>
      <c r="CE856">
        <v>0</v>
      </c>
      <c r="CF856">
        <v>0</v>
      </c>
      <c r="CG856">
        <v>0</v>
      </c>
      <c r="CM856">
        <v>0</v>
      </c>
      <c r="CN856" t="s">
        <v>3</v>
      </c>
      <c r="CO856">
        <v>0</v>
      </c>
      <c r="CP856">
        <f t="shared" si="778"/>
        <v>1383.4</v>
      </c>
      <c r="CQ856">
        <f t="shared" si="779"/>
        <v>0.13</v>
      </c>
      <c r="CR856">
        <f>((((ET856)*BB856-(EU856)*BS856)+AE856*BS856)*AV856)</f>
        <v>52.12</v>
      </c>
      <c r="CS856">
        <f t="shared" si="780"/>
        <v>33.049999999999997</v>
      </c>
      <c r="CT856">
        <f t="shared" si="781"/>
        <v>293.60000000000002</v>
      </c>
      <c r="CU856">
        <f t="shared" si="782"/>
        <v>0</v>
      </c>
      <c r="CV856">
        <f t="shared" si="783"/>
        <v>0.55000000000000004</v>
      </c>
      <c r="CW856">
        <f t="shared" si="784"/>
        <v>0</v>
      </c>
      <c r="CX856">
        <f t="shared" si="785"/>
        <v>0</v>
      </c>
      <c r="CY856">
        <f t="shared" si="786"/>
        <v>822.08</v>
      </c>
      <c r="CZ856">
        <f t="shared" si="787"/>
        <v>117.44</v>
      </c>
      <c r="DC856" t="s">
        <v>3</v>
      </c>
      <c r="DD856" t="s">
        <v>3</v>
      </c>
      <c r="DE856" t="s">
        <v>3</v>
      </c>
      <c r="DF856" t="s">
        <v>3</v>
      </c>
      <c r="DG856" t="s">
        <v>3</v>
      </c>
      <c r="DH856" t="s">
        <v>3</v>
      </c>
      <c r="DI856" t="s">
        <v>3</v>
      </c>
      <c r="DJ856" t="s">
        <v>3</v>
      </c>
      <c r="DK856" t="s">
        <v>3</v>
      </c>
      <c r="DL856" t="s">
        <v>3</v>
      </c>
      <c r="DM856" t="s">
        <v>3</v>
      </c>
      <c r="DN856">
        <v>0</v>
      </c>
      <c r="DO856">
        <v>0</v>
      </c>
      <c r="DP856">
        <v>1</v>
      </c>
      <c r="DQ856">
        <v>1</v>
      </c>
      <c r="DU856">
        <v>16987630</v>
      </c>
      <c r="DV856" t="s">
        <v>32</v>
      </c>
      <c r="DW856" t="s">
        <v>32</v>
      </c>
      <c r="DX856">
        <v>1</v>
      </c>
      <c r="DZ856" t="s">
        <v>3</v>
      </c>
      <c r="EA856" t="s">
        <v>3</v>
      </c>
      <c r="EB856" t="s">
        <v>3</v>
      </c>
      <c r="EC856" t="s">
        <v>3</v>
      </c>
      <c r="EE856">
        <v>1441815344</v>
      </c>
      <c r="EF856">
        <v>1</v>
      </c>
      <c r="EG856" t="s">
        <v>23</v>
      </c>
      <c r="EH856">
        <v>0</v>
      </c>
      <c r="EI856" t="s">
        <v>3</v>
      </c>
      <c r="EJ856">
        <v>4</v>
      </c>
      <c r="EK856">
        <v>0</v>
      </c>
      <c r="EL856" t="s">
        <v>24</v>
      </c>
      <c r="EM856" t="s">
        <v>25</v>
      </c>
      <c r="EO856" t="s">
        <v>3</v>
      </c>
      <c r="EQ856">
        <v>0</v>
      </c>
      <c r="ER856">
        <v>345.85</v>
      </c>
      <c r="ES856">
        <v>0.13</v>
      </c>
      <c r="ET856">
        <v>52.12</v>
      </c>
      <c r="EU856">
        <v>33.049999999999997</v>
      </c>
      <c r="EV856">
        <v>293.60000000000002</v>
      </c>
      <c r="EW856">
        <v>0.55000000000000004</v>
      </c>
      <c r="EX856">
        <v>0</v>
      </c>
      <c r="EY856">
        <v>0</v>
      </c>
      <c r="FQ856">
        <v>0</v>
      </c>
      <c r="FR856">
        <f t="shared" si="788"/>
        <v>0</v>
      </c>
      <c r="FS856">
        <v>0</v>
      </c>
      <c r="FX856">
        <v>70</v>
      </c>
      <c r="FY856">
        <v>10</v>
      </c>
      <c r="GA856" t="s">
        <v>3</v>
      </c>
      <c r="GD856">
        <v>0</v>
      </c>
      <c r="GF856">
        <v>-1486342814</v>
      </c>
      <c r="GG856">
        <v>2</v>
      </c>
      <c r="GH856">
        <v>1</v>
      </c>
      <c r="GI856">
        <v>-2</v>
      </c>
      <c r="GJ856">
        <v>0</v>
      </c>
      <c r="GK856">
        <f>ROUND(R856*(R12)/100,2)</f>
        <v>142.78</v>
      </c>
      <c r="GL856">
        <f t="shared" si="789"/>
        <v>0</v>
      </c>
      <c r="GM856">
        <f t="shared" si="790"/>
        <v>2465.6999999999998</v>
      </c>
      <c r="GN856">
        <f t="shared" si="791"/>
        <v>0</v>
      </c>
      <c r="GO856">
        <f t="shared" si="792"/>
        <v>0</v>
      </c>
      <c r="GP856">
        <f t="shared" si="793"/>
        <v>2465.6999999999998</v>
      </c>
      <c r="GR856">
        <v>0</v>
      </c>
      <c r="GS856">
        <v>3</v>
      </c>
      <c r="GT856">
        <v>0</v>
      </c>
      <c r="GU856" t="s">
        <v>3</v>
      </c>
      <c r="GV856">
        <f t="shared" si="794"/>
        <v>0</v>
      </c>
      <c r="GW856">
        <v>1</v>
      </c>
      <c r="GX856">
        <f t="shared" si="795"/>
        <v>0</v>
      </c>
      <c r="HA856">
        <v>0</v>
      </c>
      <c r="HB856">
        <v>0</v>
      </c>
      <c r="HC856">
        <f t="shared" si="796"/>
        <v>0</v>
      </c>
      <c r="HE856" t="s">
        <v>3</v>
      </c>
      <c r="HF856" t="s">
        <v>3</v>
      </c>
      <c r="HM856" t="s">
        <v>3</v>
      </c>
      <c r="HN856" t="s">
        <v>3</v>
      </c>
      <c r="HO856" t="s">
        <v>3</v>
      </c>
      <c r="HP856" t="s">
        <v>3</v>
      </c>
      <c r="HQ856" t="s">
        <v>3</v>
      </c>
      <c r="IK856">
        <v>0</v>
      </c>
    </row>
    <row r="857" spans="1:245" x14ac:dyDescent="0.2">
      <c r="A857">
        <v>17</v>
      </c>
      <c r="B857">
        <v>1</v>
      </c>
      <c r="D857">
        <f>ROW(EtalonRes!A653)</f>
        <v>653</v>
      </c>
      <c r="E857" t="s">
        <v>3</v>
      </c>
      <c r="F857" t="s">
        <v>622</v>
      </c>
      <c r="G857" t="s">
        <v>623</v>
      </c>
      <c r="H857" t="s">
        <v>32</v>
      </c>
      <c r="I857">
        <f>ROUND(ROUND(1+1+1+1,9),9)</f>
        <v>4</v>
      </c>
      <c r="J857">
        <v>0</v>
      </c>
      <c r="K857">
        <f>ROUND(ROUND(1+1+1+1,9),9)</f>
        <v>4</v>
      </c>
      <c r="O857">
        <f t="shared" si="764"/>
        <v>1704.24</v>
      </c>
      <c r="P857">
        <f t="shared" si="765"/>
        <v>0</v>
      </c>
      <c r="Q857">
        <f t="shared" si="766"/>
        <v>0</v>
      </c>
      <c r="R857">
        <f t="shared" si="767"/>
        <v>0</v>
      </c>
      <c r="S857">
        <f t="shared" si="768"/>
        <v>1704.24</v>
      </c>
      <c r="T857">
        <f t="shared" si="769"/>
        <v>0</v>
      </c>
      <c r="U857">
        <f t="shared" si="770"/>
        <v>2.7600000000000002</v>
      </c>
      <c r="V857">
        <f t="shared" si="771"/>
        <v>0</v>
      </c>
      <c r="W857">
        <f t="shared" si="772"/>
        <v>0</v>
      </c>
      <c r="X857">
        <f t="shared" si="773"/>
        <v>1192.97</v>
      </c>
      <c r="Y857">
        <f t="shared" si="774"/>
        <v>170.42</v>
      </c>
      <c r="AA857">
        <v>-1</v>
      </c>
      <c r="AB857">
        <f t="shared" si="775"/>
        <v>426.06</v>
      </c>
      <c r="AC857">
        <f>ROUND(((ES857*3)),6)</f>
        <v>0</v>
      </c>
      <c r="AD857">
        <f>ROUND(((((ET857*3))-((EU857*3)))+AE857),6)</f>
        <v>0</v>
      </c>
      <c r="AE857">
        <f>ROUND(((EU857*3)),6)</f>
        <v>0</v>
      </c>
      <c r="AF857">
        <f>ROUND(((EV857*3)),6)</f>
        <v>426.06</v>
      </c>
      <c r="AG857">
        <f t="shared" si="776"/>
        <v>0</v>
      </c>
      <c r="AH857">
        <f>((EW857*3))</f>
        <v>0.69000000000000006</v>
      </c>
      <c r="AI857">
        <f>((EX857*3))</f>
        <v>0</v>
      </c>
      <c r="AJ857">
        <f t="shared" si="777"/>
        <v>0</v>
      </c>
      <c r="AK857">
        <v>142.02000000000001</v>
      </c>
      <c r="AL857">
        <v>0</v>
      </c>
      <c r="AM857">
        <v>0</v>
      </c>
      <c r="AN857">
        <v>0</v>
      </c>
      <c r="AO857">
        <v>142.02000000000001</v>
      </c>
      <c r="AP857">
        <v>0</v>
      </c>
      <c r="AQ857">
        <v>0.23</v>
      </c>
      <c r="AR857">
        <v>0</v>
      </c>
      <c r="AS857">
        <v>0</v>
      </c>
      <c r="AT857">
        <v>70</v>
      </c>
      <c r="AU857">
        <v>10</v>
      </c>
      <c r="AV857">
        <v>1</v>
      </c>
      <c r="AW857">
        <v>1</v>
      </c>
      <c r="AZ857">
        <v>1</v>
      </c>
      <c r="BA857">
        <v>1</v>
      </c>
      <c r="BB857">
        <v>1</v>
      </c>
      <c r="BC857">
        <v>1</v>
      </c>
      <c r="BD857" t="s">
        <v>3</v>
      </c>
      <c r="BE857" t="s">
        <v>3</v>
      </c>
      <c r="BF857" t="s">
        <v>3</v>
      </c>
      <c r="BG857" t="s">
        <v>3</v>
      </c>
      <c r="BH857">
        <v>0</v>
      </c>
      <c r="BI857">
        <v>4</v>
      </c>
      <c r="BJ857" t="s">
        <v>624</v>
      </c>
      <c r="BM857">
        <v>0</v>
      </c>
      <c r="BN857">
        <v>0</v>
      </c>
      <c r="BO857" t="s">
        <v>3</v>
      </c>
      <c r="BP857">
        <v>0</v>
      </c>
      <c r="BQ857">
        <v>1</v>
      </c>
      <c r="BR857">
        <v>0</v>
      </c>
      <c r="BS857">
        <v>1</v>
      </c>
      <c r="BT857">
        <v>1</v>
      </c>
      <c r="BU857">
        <v>1</v>
      </c>
      <c r="BV857">
        <v>1</v>
      </c>
      <c r="BW857">
        <v>1</v>
      </c>
      <c r="BX857">
        <v>1</v>
      </c>
      <c r="BY857" t="s">
        <v>3</v>
      </c>
      <c r="BZ857">
        <v>70</v>
      </c>
      <c r="CA857">
        <v>10</v>
      </c>
      <c r="CB857" t="s">
        <v>3</v>
      </c>
      <c r="CE857">
        <v>0</v>
      </c>
      <c r="CF857">
        <v>0</v>
      </c>
      <c r="CG857">
        <v>0</v>
      </c>
      <c r="CM857">
        <v>0</v>
      </c>
      <c r="CN857" t="s">
        <v>3</v>
      </c>
      <c r="CO857">
        <v>0</v>
      </c>
      <c r="CP857">
        <f t="shared" si="778"/>
        <v>1704.24</v>
      </c>
      <c r="CQ857">
        <f t="shared" si="779"/>
        <v>0</v>
      </c>
      <c r="CR857">
        <f>(((((ET857*3))*BB857-((EU857*3))*BS857)+AE857*BS857)*AV857)</f>
        <v>0</v>
      </c>
      <c r="CS857">
        <f t="shared" si="780"/>
        <v>0</v>
      </c>
      <c r="CT857">
        <f t="shared" si="781"/>
        <v>426.06</v>
      </c>
      <c r="CU857">
        <f t="shared" si="782"/>
        <v>0</v>
      </c>
      <c r="CV857">
        <f t="shared" si="783"/>
        <v>0.69000000000000006</v>
      </c>
      <c r="CW857">
        <f t="shared" si="784"/>
        <v>0</v>
      </c>
      <c r="CX857">
        <f t="shared" si="785"/>
        <v>0</v>
      </c>
      <c r="CY857">
        <f t="shared" si="786"/>
        <v>1192.9680000000001</v>
      </c>
      <c r="CZ857">
        <f t="shared" si="787"/>
        <v>170.42400000000001</v>
      </c>
      <c r="DC857" t="s">
        <v>3</v>
      </c>
      <c r="DD857" t="s">
        <v>290</v>
      </c>
      <c r="DE857" t="s">
        <v>290</v>
      </c>
      <c r="DF857" t="s">
        <v>290</v>
      </c>
      <c r="DG857" t="s">
        <v>290</v>
      </c>
      <c r="DH857" t="s">
        <v>3</v>
      </c>
      <c r="DI857" t="s">
        <v>290</v>
      </c>
      <c r="DJ857" t="s">
        <v>290</v>
      </c>
      <c r="DK857" t="s">
        <v>3</v>
      </c>
      <c r="DL857" t="s">
        <v>3</v>
      </c>
      <c r="DM857" t="s">
        <v>3</v>
      </c>
      <c r="DN857">
        <v>0</v>
      </c>
      <c r="DO857">
        <v>0</v>
      </c>
      <c r="DP857">
        <v>1</v>
      </c>
      <c r="DQ857">
        <v>1</v>
      </c>
      <c r="DU857">
        <v>16987630</v>
      </c>
      <c r="DV857" t="s">
        <v>32</v>
      </c>
      <c r="DW857" t="s">
        <v>32</v>
      </c>
      <c r="DX857">
        <v>1</v>
      </c>
      <c r="DZ857" t="s">
        <v>3</v>
      </c>
      <c r="EA857" t="s">
        <v>3</v>
      </c>
      <c r="EB857" t="s">
        <v>3</v>
      </c>
      <c r="EC857" t="s">
        <v>3</v>
      </c>
      <c r="EE857">
        <v>1441815344</v>
      </c>
      <c r="EF857">
        <v>1</v>
      </c>
      <c r="EG857" t="s">
        <v>23</v>
      </c>
      <c r="EH857">
        <v>0</v>
      </c>
      <c r="EI857" t="s">
        <v>3</v>
      </c>
      <c r="EJ857">
        <v>4</v>
      </c>
      <c r="EK857">
        <v>0</v>
      </c>
      <c r="EL857" t="s">
        <v>24</v>
      </c>
      <c r="EM857" t="s">
        <v>25</v>
      </c>
      <c r="EO857" t="s">
        <v>3</v>
      </c>
      <c r="EQ857">
        <v>1024</v>
      </c>
      <c r="ER857">
        <v>142.02000000000001</v>
      </c>
      <c r="ES857">
        <v>0</v>
      </c>
      <c r="ET857">
        <v>0</v>
      </c>
      <c r="EU857">
        <v>0</v>
      </c>
      <c r="EV857">
        <v>142.02000000000001</v>
      </c>
      <c r="EW857">
        <v>0.23</v>
      </c>
      <c r="EX857">
        <v>0</v>
      </c>
      <c r="EY857">
        <v>0</v>
      </c>
      <c r="FQ857">
        <v>0</v>
      </c>
      <c r="FR857">
        <f t="shared" si="788"/>
        <v>0</v>
      </c>
      <c r="FS857">
        <v>0</v>
      </c>
      <c r="FX857">
        <v>70</v>
      </c>
      <c r="FY857">
        <v>10</v>
      </c>
      <c r="GA857" t="s">
        <v>3</v>
      </c>
      <c r="GD857">
        <v>0</v>
      </c>
      <c r="GF857">
        <v>833916228</v>
      </c>
      <c r="GG857">
        <v>2</v>
      </c>
      <c r="GH857">
        <v>1</v>
      </c>
      <c r="GI857">
        <v>-2</v>
      </c>
      <c r="GJ857">
        <v>0</v>
      </c>
      <c r="GK857">
        <f>ROUND(R857*(R12)/100,2)</f>
        <v>0</v>
      </c>
      <c r="GL857">
        <f t="shared" si="789"/>
        <v>0</v>
      </c>
      <c r="GM857">
        <f t="shared" si="790"/>
        <v>3067.63</v>
      </c>
      <c r="GN857">
        <f t="shared" si="791"/>
        <v>0</v>
      </c>
      <c r="GO857">
        <f t="shared" si="792"/>
        <v>0</v>
      </c>
      <c r="GP857">
        <f t="shared" si="793"/>
        <v>3067.63</v>
      </c>
      <c r="GR857">
        <v>0</v>
      </c>
      <c r="GS857">
        <v>3</v>
      </c>
      <c r="GT857">
        <v>0</v>
      </c>
      <c r="GU857" t="s">
        <v>3</v>
      </c>
      <c r="GV857">
        <f t="shared" si="794"/>
        <v>0</v>
      </c>
      <c r="GW857">
        <v>1</v>
      </c>
      <c r="GX857">
        <f t="shared" si="795"/>
        <v>0</v>
      </c>
      <c r="HA857">
        <v>0</v>
      </c>
      <c r="HB857">
        <v>0</v>
      </c>
      <c r="HC857">
        <f t="shared" si="796"/>
        <v>0</v>
      </c>
      <c r="HE857" t="s">
        <v>3</v>
      </c>
      <c r="HF857" t="s">
        <v>3</v>
      </c>
      <c r="HM857" t="s">
        <v>3</v>
      </c>
      <c r="HN857" t="s">
        <v>3</v>
      </c>
      <c r="HO857" t="s">
        <v>3</v>
      </c>
      <c r="HP857" t="s">
        <v>3</v>
      </c>
      <c r="HQ857" t="s">
        <v>3</v>
      </c>
      <c r="IK857">
        <v>0</v>
      </c>
    </row>
    <row r="858" spans="1:245" x14ac:dyDescent="0.2">
      <c r="A858">
        <v>17</v>
      </c>
      <c r="B858">
        <v>1</v>
      </c>
      <c r="D858">
        <f>ROW(EtalonRes!A655)</f>
        <v>655</v>
      </c>
      <c r="E858" t="s">
        <v>625</v>
      </c>
      <c r="F858" t="s">
        <v>626</v>
      </c>
      <c r="G858" t="s">
        <v>627</v>
      </c>
      <c r="H858" t="s">
        <v>20</v>
      </c>
      <c r="I858">
        <f>ROUND(ROUND((33+33+33+33)*0.2*0.1/100,9),9)</f>
        <v>2.64E-2</v>
      </c>
      <c r="J858">
        <v>0</v>
      </c>
      <c r="K858">
        <f>ROUND(ROUND((33+33+33+33)*0.2*0.1/100,9),9)</f>
        <v>2.64E-2</v>
      </c>
      <c r="O858">
        <f t="shared" si="764"/>
        <v>101.49</v>
      </c>
      <c r="P858">
        <f t="shared" si="765"/>
        <v>0.59</v>
      </c>
      <c r="Q858">
        <f t="shared" si="766"/>
        <v>0</v>
      </c>
      <c r="R858">
        <f t="shared" si="767"/>
        <v>0</v>
      </c>
      <c r="S858">
        <f t="shared" si="768"/>
        <v>100.9</v>
      </c>
      <c r="T858">
        <f t="shared" si="769"/>
        <v>0</v>
      </c>
      <c r="U858">
        <f t="shared" si="770"/>
        <v>0.188496</v>
      </c>
      <c r="V858">
        <f t="shared" si="771"/>
        <v>0</v>
      </c>
      <c r="W858">
        <f t="shared" si="772"/>
        <v>0</v>
      </c>
      <c r="X858">
        <f t="shared" si="773"/>
        <v>70.63</v>
      </c>
      <c r="Y858">
        <f t="shared" si="774"/>
        <v>10.09</v>
      </c>
      <c r="AA858">
        <v>1472224561</v>
      </c>
      <c r="AB858">
        <f t="shared" si="775"/>
        <v>3844.66</v>
      </c>
      <c r="AC858">
        <f t="shared" ref="AC858:AC865" si="797">ROUND((ES858),6)</f>
        <v>22.51</v>
      </c>
      <c r="AD858">
        <f t="shared" ref="AD858:AD865" si="798">ROUND((((ET858)-(EU858))+AE858),6)</f>
        <v>0</v>
      </c>
      <c r="AE858">
        <f t="shared" ref="AE858:AF865" si="799">ROUND((EU858),6)</f>
        <v>0</v>
      </c>
      <c r="AF858">
        <f t="shared" si="799"/>
        <v>3822.15</v>
      </c>
      <c r="AG858">
        <f t="shared" si="776"/>
        <v>0</v>
      </c>
      <c r="AH858">
        <f t="shared" ref="AH858:AI865" si="800">(EW858)</f>
        <v>7.14</v>
      </c>
      <c r="AI858">
        <f t="shared" si="800"/>
        <v>0</v>
      </c>
      <c r="AJ858">
        <f t="shared" si="777"/>
        <v>0</v>
      </c>
      <c r="AK858">
        <v>3844.66</v>
      </c>
      <c r="AL858">
        <v>22.51</v>
      </c>
      <c r="AM858">
        <v>0</v>
      </c>
      <c r="AN858">
        <v>0</v>
      </c>
      <c r="AO858">
        <v>3822.15</v>
      </c>
      <c r="AP858">
        <v>0</v>
      </c>
      <c r="AQ858">
        <v>7.14</v>
      </c>
      <c r="AR858">
        <v>0</v>
      </c>
      <c r="AS858">
        <v>0</v>
      </c>
      <c r="AT858">
        <v>70</v>
      </c>
      <c r="AU858">
        <v>10</v>
      </c>
      <c r="AV858">
        <v>1</v>
      </c>
      <c r="AW858">
        <v>1</v>
      </c>
      <c r="AZ858">
        <v>1</v>
      </c>
      <c r="BA858">
        <v>1</v>
      </c>
      <c r="BB858">
        <v>1</v>
      </c>
      <c r="BC858">
        <v>1</v>
      </c>
      <c r="BD858" t="s">
        <v>3</v>
      </c>
      <c r="BE858" t="s">
        <v>3</v>
      </c>
      <c r="BF858" t="s">
        <v>3</v>
      </c>
      <c r="BG858" t="s">
        <v>3</v>
      </c>
      <c r="BH858">
        <v>0</v>
      </c>
      <c r="BI858">
        <v>4</v>
      </c>
      <c r="BJ858" t="s">
        <v>628</v>
      </c>
      <c r="BM858">
        <v>0</v>
      </c>
      <c r="BN858">
        <v>0</v>
      </c>
      <c r="BO858" t="s">
        <v>3</v>
      </c>
      <c r="BP858">
        <v>0</v>
      </c>
      <c r="BQ858">
        <v>1</v>
      </c>
      <c r="BR858">
        <v>0</v>
      </c>
      <c r="BS858">
        <v>1</v>
      </c>
      <c r="BT858">
        <v>1</v>
      </c>
      <c r="BU858">
        <v>1</v>
      </c>
      <c r="BV858">
        <v>1</v>
      </c>
      <c r="BW858">
        <v>1</v>
      </c>
      <c r="BX858">
        <v>1</v>
      </c>
      <c r="BY858" t="s">
        <v>3</v>
      </c>
      <c r="BZ858">
        <v>70</v>
      </c>
      <c r="CA858">
        <v>10</v>
      </c>
      <c r="CB858" t="s">
        <v>3</v>
      </c>
      <c r="CE858">
        <v>0</v>
      </c>
      <c r="CF858">
        <v>0</v>
      </c>
      <c r="CG858">
        <v>0</v>
      </c>
      <c r="CM858">
        <v>0</v>
      </c>
      <c r="CN858" t="s">
        <v>3</v>
      </c>
      <c r="CO858">
        <v>0</v>
      </c>
      <c r="CP858">
        <f t="shared" si="778"/>
        <v>101.49000000000001</v>
      </c>
      <c r="CQ858">
        <f t="shared" si="779"/>
        <v>22.51</v>
      </c>
      <c r="CR858">
        <f t="shared" ref="CR858:CR865" si="801">((((ET858)*BB858-(EU858)*BS858)+AE858*BS858)*AV858)</f>
        <v>0</v>
      </c>
      <c r="CS858">
        <f t="shared" si="780"/>
        <v>0</v>
      </c>
      <c r="CT858">
        <f t="shared" si="781"/>
        <v>3822.15</v>
      </c>
      <c r="CU858">
        <f t="shared" si="782"/>
        <v>0</v>
      </c>
      <c r="CV858">
        <f t="shared" si="783"/>
        <v>7.14</v>
      </c>
      <c r="CW858">
        <f t="shared" si="784"/>
        <v>0</v>
      </c>
      <c r="CX858">
        <f t="shared" si="785"/>
        <v>0</v>
      </c>
      <c r="CY858">
        <f t="shared" si="786"/>
        <v>70.63</v>
      </c>
      <c r="CZ858">
        <f t="shared" si="787"/>
        <v>10.09</v>
      </c>
      <c r="DC858" t="s">
        <v>3</v>
      </c>
      <c r="DD858" t="s">
        <v>3</v>
      </c>
      <c r="DE858" t="s">
        <v>3</v>
      </c>
      <c r="DF858" t="s">
        <v>3</v>
      </c>
      <c r="DG858" t="s">
        <v>3</v>
      </c>
      <c r="DH858" t="s">
        <v>3</v>
      </c>
      <c r="DI858" t="s">
        <v>3</v>
      </c>
      <c r="DJ858" t="s">
        <v>3</v>
      </c>
      <c r="DK858" t="s">
        <v>3</v>
      </c>
      <c r="DL858" t="s">
        <v>3</v>
      </c>
      <c r="DM858" t="s">
        <v>3</v>
      </c>
      <c r="DN858">
        <v>0</v>
      </c>
      <c r="DO858">
        <v>0</v>
      </c>
      <c r="DP858">
        <v>1</v>
      </c>
      <c r="DQ858">
        <v>1</v>
      </c>
      <c r="DU858">
        <v>1003</v>
      </c>
      <c r="DV858" t="s">
        <v>20</v>
      </c>
      <c r="DW858" t="s">
        <v>20</v>
      </c>
      <c r="DX858">
        <v>100</v>
      </c>
      <c r="DZ858" t="s">
        <v>3</v>
      </c>
      <c r="EA858" t="s">
        <v>3</v>
      </c>
      <c r="EB858" t="s">
        <v>3</v>
      </c>
      <c r="EC858" t="s">
        <v>3</v>
      </c>
      <c r="EE858">
        <v>1441815344</v>
      </c>
      <c r="EF858">
        <v>1</v>
      </c>
      <c r="EG858" t="s">
        <v>23</v>
      </c>
      <c r="EH858">
        <v>0</v>
      </c>
      <c r="EI858" t="s">
        <v>3</v>
      </c>
      <c r="EJ858">
        <v>4</v>
      </c>
      <c r="EK858">
        <v>0</v>
      </c>
      <c r="EL858" t="s">
        <v>24</v>
      </c>
      <c r="EM858" t="s">
        <v>25</v>
      </c>
      <c r="EO858" t="s">
        <v>3</v>
      </c>
      <c r="EQ858">
        <v>0</v>
      </c>
      <c r="ER858">
        <v>3844.66</v>
      </c>
      <c r="ES858">
        <v>22.51</v>
      </c>
      <c r="ET858">
        <v>0</v>
      </c>
      <c r="EU858">
        <v>0</v>
      </c>
      <c r="EV858">
        <v>3822.15</v>
      </c>
      <c r="EW858">
        <v>7.14</v>
      </c>
      <c r="EX858">
        <v>0</v>
      </c>
      <c r="EY858">
        <v>0</v>
      </c>
      <c r="FQ858">
        <v>0</v>
      </c>
      <c r="FR858">
        <f t="shared" si="788"/>
        <v>0</v>
      </c>
      <c r="FS858">
        <v>0</v>
      </c>
      <c r="FX858">
        <v>70</v>
      </c>
      <c r="FY858">
        <v>10</v>
      </c>
      <c r="GA858" t="s">
        <v>3</v>
      </c>
      <c r="GD858">
        <v>0</v>
      </c>
      <c r="GF858">
        <v>795463706</v>
      </c>
      <c r="GG858">
        <v>2</v>
      </c>
      <c r="GH858">
        <v>1</v>
      </c>
      <c r="GI858">
        <v>-2</v>
      </c>
      <c r="GJ858">
        <v>0</v>
      </c>
      <c r="GK858">
        <f>ROUND(R858*(R12)/100,2)</f>
        <v>0</v>
      </c>
      <c r="GL858">
        <f t="shared" si="789"/>
        <v>0</v>
      </c>
      <c r="GM858">
        <f t="shared" si="790"/>
        <v>182.21</v>
      </c>
      <c r="GN858">
        <f t="shared" si="791"/>
        <v>0</v>
      </c>
      <c r="GO858">
        <f t="shared" si="792"/>
        <v>0</v>
      </c>
      <c r="GP858">
        <f t="shared" si="793"/>
        <v>182.21</v>
      </c>
      <c r="GR858">
        <v>0</v>
      </c>
      <c r="GS858">
        <v>3</v>
      </c>
      <c r="GT858">
        <v>0</v>
      </c>
      <c r="GU858" t="s">
        <v>3</v>
      </c>
      <c r="GV858">
        <f t="shared" si="794"/>
        <v>0</v>
      </c>
      <c r="GW858">
        <v>1</v>
      </c>
      <c r="GX858">
        <f t="shared" si="795"/>
        <v>0</v>
      </c>
      <c r="HA858">
        <v>0</v>
      </c>
      <c r="HB858">
        <v>0</v>
      </c>
      <c r="HC858">
        <f t="shared" si="796"/>
        <v>0</v>
      </c>
      <c r="HE858" t="s">
        <v>3</v>
      </c>
      <c r="HF858" t="s">
        <v>3</v>
      </c>
      <c r="HM858" t="s">
        <v>3</v>
      </c>
      <c r="HN858" t="s">
        <v>3</v>
      </c>
      <c r="HO858" t="s">
        <v>3</v>
      </c>
      <c r="HP858" t="s">
        <v>3</v>
      </c>
      <c r="HQ858" t="s">
        <v>3</v>
      </c>
      <c r="IK858">
        <v>0</v>
      </c>
    </row>
    <row r="859" spans="1:245" x14ac:dyDescent="0.2">
      <c r="A859">
        <v>17</v>
      </c>
      <c r="B859">
        <v>1</v>
      </c>
      <c r="D859">
        <f>ROW(EtalonRes!A656)</f>
        <v>656</v>
      </c>
      <c r="E859" t="s">
        <v>3</v>
      </c>
      <c r="F859" t="s">
        <v>629</v>
      </c>
      <c r="G859" t="s">
        <v>630</v>
      </c>
      <c r="H859" t="s">
        <v>20</v>
      </c>
      <c r="I859">
        <f>ROUND(ROUND((33+33+33+33)*0.1/100,9),9)</f>
        <v>0.13200000000000001</v>
      </c>
      <c r="J859">
        <v>0</v>
      </c>
      <c r="K859">
        <f>ROUND(ROUND((33+33+33+33)*0.1/100,9),9)</f>
        <v>0.13200000000000001</v>
      </c>
      <c r="O859">
        <f t="shared" si="764"/>
        <v>16.96</v>
      </c>
      <c r="P859">
        <f t="shared" si="765"/>
        <v>0</v>
      </c>
      <c r="Q859">
        <f t="shared" si="766"/>
        <v>0</v>
      </c>
      <c r="R859">
        <f t="shared" si="767"/>
        <v>0</v>
      </c>
      <c r="S859">
        <f t="shared" si="768"/>
        <v>16.96</v>
      </c>
      <c r="T859">
        <f t="shared" si="769"/>
        <v>0</v>
      </c>
      <c r="U859">
        <f t="shared" si="770"/>
        <v>3.168E-2</v>
      </c>
      <c r="V859">
        <f t="shared" si="771"/>
        <v>0</v>
      </c>
      <c r="W859">
        <f t="shared" si="772"/>
        <v>0</v>
      </c>
      <c r="X859">
        <f t="shared" si="773"/>
        <v>11.87</v>
      </c>
      <c r="Y859">
        <f t="shared" si="774"/>
        <v>1.7</v>
      </c>
      <c r="AA859">
        <v>-1</v>
      </c>
      <c r="AB859">
        <f t="shared" si="775"/>
        <v>128.47999999999999</v>
      </c>
      <c r="AC859">
        <f t="shared" si="797"/>
        <v>0</v>
      </c>
      <c r="AD859">
        <f t="shared" si="798"/>
        <v>0</v>
      </c>
      <c r="AE859">
        <f t="shared" si="799"/>
        <v>0</v>
      </c>
      <c r="AF859">
        <f t="shared" si="799"/>
        <v>128.47999999999999</v>
      </c>
      <c r="AG859">
        <f t="shared" si="776"/>
        <v>0</v>
      </c>
      <c r="AH859">
        <f t="shared" si="800"/>
        <v>0.24</v>
      </c>
      <c r="AI859">
        <f t="shared" si="800"/>
        <v>0</v>
      </c>
      <c r="AJ859">
        <f t="shared" si="777"/>
        <v>0</v>
      </c>
      <c r="AK859">
        <v>128.47999999999999</v>
      </c>
      <c r="AL859">
        <v>0</v>
      </c>
      <c r="AM859">
        <v>0</v>
      </c>
      <c r="AN859">
        <v>0</v>
      </c>
      <c r="AO859">
        <v>128.47999999999999</v>
      </c>
      <c r="AP859">
        <v>0</v>
      </c>
      <c r="AQ859">
        <v>0.24</v>
      </c>
      <c r="AR859">
        <v>0</v>
      </c>
      <c r="AS859">
        <v>0</v>
      </c>
      <c r="AT859">
        <v>70</v>
      </c>
      <c r="AU859">
        <v>10</v>
      </c>
      <c r="AV859">
        <v>1</v>
      </c>
      <c r="AW859">
        <v>1</v>
      </c>
      <c r="AZ859">
        <v>1</v>
      </c>
      <c r="BA859">
        <v>1</v>
      </c>
      <c r="BB859">
        <v>1</v>
      </c>
      <c r="BC859">
        <v>1</v>
      </c>
      <c r="BD859" t="s">
        <v>3</v>
      </c>
      <c r="BE859" t="s">
        <v>3</v>
      </c>
      <c r="BF859" t="s">
        <v>3</v>
      </c>
      <c r="BG859" t="s">
        <v>3</v>
      </c>
      <c r="BH859">
        <v>0</v>
      </c>
      <c r="BI859">
        <v>4</v>
      </c>
      <c r="BJ859" t="s">
        <v>631</v>
      </c>
      <c r="BM859">
        <v>0</v>
      </c>
      <c r="BN859">
        <v>0</v>
      </c>
      <c r="BO859" t="s">
        <v>3</v>
      </c>
      <c r="BP859">
        <v>0</v>
      </c>
      <c r="BQ859">
        <v>1</v>
      </c>
      <c r="BR859">
        <v>0</v>
      </c>
      <c r="BS859">
        <v>1</v>
      </c>
      <c r="BT859">
        <v>1</v>
      </c>
      <c r="BU859">
        <v>1</v>
      </c>
      <c r="BV859">
        <v>1</v>
      </c>
      <c r="BW859">
        <v>1</v>
      </c>
      <c r="BX859">
        <v>1</v>
      </c>
      <c r="BY859" t="s">
        <v>3</v>
      </c>
      <c r="BZ859">
        <v>70</v>
      </c>
      <c r="CA859">
        <v>10</v>
      </c>
      <c r="CB859" t="s">
        <v>3</v>
      </c>
      <c r="CE859">
        <v>0</v>
      </c>
      <c r="CF859">
        <v>0</v>
      </c>
      <c r="CG859">
        <v>0</v>
      </c>
      <c r="CM859">
        <v>0</v>
      </c>
      <c r="CN859" t="s">
        <v>3</v>
      </c>
      <c r="CO859">
        <v>0</v>
      </c>
      <c r="CP859">
        <f t="shared" si="778"/>
        <v>16.96</v>
      </c>
      <c r="CQ859">
        <f t="shared" si="779"/>
        <v>0</v>
      </c>
      <c r="CR859">
        <f t="shared" si="801"/>
        <v>0</v>
      </c>
      <c r="CS859">
        <f t="shared" si="780"/>
        <v>0</v>
      </c>
      <c r="CT859">
        <f t="shared" si="781"/>
        <v>128.47999999999999</v>
      </c>
      <c r="CU859">
        <f t="shared" si="782"/>
        <v>0</v>
      </c>
      <c r="CV859">
        <f t="shared" si="783"/>
        <v>0.24</v>
      </c>
      <c r="CW859">
        <f t="shared" si="784"/>
        <v>0</v>
      </c>
      <c r="CX859">
        <f t="shared" si="785"/>
        <v>0</v>
      </c>
      <c r="CY859">
        <f t="shared" si="786"/>
        <v>11.872</v>
      </c>
      <c r="CZ859">
        <f t="shared" si="787"/>
        <v>1.6960000000000002</v>
      </c>
      <c r="DC859" t="s">
        <v>3</v>
      </c>
      <c r="DD859" t="s">
        <v>3</v>
      </c>
      <c r="DE859" t="s">
        <v>3</v>
      </c>
      <c r="DF859" t="s">
        <v>3</v>
      </c>
      <c r="DG859" t="s">
        <v>3</v>
      </c>
      <c r="DH859" t="s">
        <v>3</v>
      </c>
      <c r="DI859" t="s">
        <v>3</v>
      </c>
      <c r="DJ859" t="s">
        <v>3</v>
      </c>
      <c r="DK859" t="s">
        <v>3</v>
      </c>
      <c r="DL859" t="s">
        <v>3</v>
      </c>
      <c r="DM859" t="s">
        <v>3</v>
      </c>
      <c r="DN859">
        <v>0</v>
      </c>
      <c r="DO859">
        <v>0</v>
      </c>
      <c r="DP859">
        <v>1</v>
      </c>
      <c r="DQ859">
        <v>1</v>
      </c>
      <c r="DU859">
        <v>1003</v>
      </c>
      <c r="DV859" t="s">
        <v>20</v>
      </c>
      <c r="DW859" t="s">
        <v>20</v>
      </c>
      <c r="DX859">
        <v>100</v>
      </c>
      <c r="DZ859" t="s">
        <v>3</v>
      </c>
      <c r="EA859" t="s">
        <v>3</v>
      </c>
      <c r="EB859" t="s">
        <v>3</v>
      </c>
      <c r="EC859" t="s">
        <v>3</v>
      </c>
      <c r="EE859">
        <v>1441815344</v>
      </c>
      <c r="EF859">
        <v>1</v>
      </c>
      <c r="EG859" t="s">
        <v>23</v>
      </c>
      <c r="EH859">
        <v>0</v>
      </c>
      <c r="EI859" t="s">
        <v>3</v>
      </c>
      <c r="EJ859">
        <v>4</v>
      </c>
      <c r="EK859">
        <v>0</v>
      </c>
      <c r="EL859" t="s">
        <v>24</v>
      </c>
      <c r="EM859" t="s">
        <v>25</v>
      </c>
      <c r="EO859" t="s">
        <v>3</v>
      </c>
      <c r="EQ859">
        <v>1024</v>
      </c>
      <c r="ER859">
        <v>128.47999999999999</v>
      </c>
      <c r="ES859">
        <v>0</v>
      </c>
      <c r="ET859">
        <v>0</v>
      </c>
      <c r="EU859">
        <v>0</v>
      </c>
      <c r="EV859">
        <v>128.47999999999999</v>
      </c>
      <c r="EW859">
        <v>0.24</v>
      </c>
      <c r="EX859">
        <v>0</v>
      </c>
      <c r="EY859">
        <v>0</v>
      </c>
      <c r="FQ859">
        <v>0</v>
      </c>
      <c r="FR859">
        <f t="shared" si="788"/>
        <v>0</v>
      </c>
      <c r="FS859">
        <v>0</v>
      </c>
      <c r="FX859">
        <v>70</v>
      </c>
      <c r="FY859">
        <v>10</v>
      </c>
      <c r="GA859" t="s">
        <v>3</v>
      </c>
      <c r="GD859">
        <v>0</v>
      </c>
      <c r="GF859">
        <v>-711825031</v>
      </c>
      <c r="GG859">
        <v>2</v>
      </c>
      <c r="GH859">
        <v>1</v>
      </c>
      <c r="GI859">
        <v>-2</v>
      </c>
      <c r="GJ859">
        <v>0</v>
      </c>
      <c r="GK859">
        <f>ROUND(R859*(R12)/100,2)</f>
        <v>0</v>
      </c>
      <c r="GL859">
        <f t="shared" si="789"/>
        <v>0</v>
      </c>
      <c r="GM859">
        <f t="shared" si="790"/>
        <v>30.53</v>
      </c>
      <c r="GN859">
        <f t="shared" si="791"/>
        <v>0</v>
      </c>
      <c r="GO859">
        <f t="shared" si="792"/>
        <v>0</v>
      </c>
      <c r="GP859">
        <f t="shared" si="793"/>
        <v>30.53</v>
      </c>
      <c r="GR859">
        <v>0</v>
      </c>
      <c r="GS859">
        <v>3</v>
      </c>
      <c r="GT859">
        <v>0</v>
      </c>
      <c r="GU859" t="s">
        <v>3</v>
      </c>
      <c r="GV859">
        <f t="shared" si="794"/>
        <v>0</v>
      </c>
      <c r="GW859">
        <v>1</v>
      </c>
      <c r="GX859">
        <f t="shared" si="795"/>
        <v>0</v>
      </c>
      <c r="HA859">
        <v>0</v>
      </c>
      <c r="HB859">
        <v>0</v>
      </c>
      <c r="HC859">
        <f t="shared" si="796"/>
        <v>0</v>
      </c>
      <c r="HE859" t="s">
        <v>3</v>
      </c>
      <c r="HF859" t="s">
        <v>3</v>
      </c>
      <c r="HM859" t="s">
        <v>3</v>
      </c>
      <c r="HN859" t="s">
        <v>3</v>
      </c>
      <c r="HO859" t="s">
        <v>3</v>
      </c>
      <c r="HP859" t="s">
        <v>3</v>
      </c>
      <c r="HQ859" t="s">
        <v>3</v>
      </c>
      <c r="IK859">
        <v>0</v>
      </c>
    </row>
    <row r="860" spans="1:245" x14ac:dyDescent="0.2">
      <c r="A860">
        <v>17</v>
      </c>
      <c r="B860">
        <v>1</v>
      </c>
      <c r="D860">
        <f>ROW(EtalonRes!A658)</f>
        <v>658</v>
      </c>
      <c r="E860" t="s">
        <v>632</v>
      </c>
      <c r="F860" t="s">
        <v>475</v>
      </c>
      <c r="G860" t="s">
        <v>476</v>
      </c>
      <c r="H860" t="s">
        <v>20</v>
      </c>
      <c r="I860">
        <f>ROUND(ROUND((15+15+15+15)*0.2*0.1/100,9),9)</f>
        <v>1.2E-2</v>
      </c>
      <c r="J860">
        <v>0</v>
      </c>
      <c r="K860">
        <f>ROUND(ROUND((15+15+15+15)*0.2*0.1/100,9),9)</f>
        <v>1.2E-2</v>
      </c>
      <c r="O860">
        <f t="shared" si="764"/>
        <v>64.510000000000005</v>
      </c>
      <c r="P860">
        <f t="shared" si="765"/>
        <v>0.27</v>
      </c>
      <c r="Q860">
        <f t="shared" si="766"/>
        <v>0</v>
      </c>
      <c r="R860">
        <f t="shared" si="767"/>
        <v>0</v>
      </c>
      <c r="S860">
        <f t="shared" si="768"/>
        <v>64.239999999999995</v>
      </c>
      <c r="T860">
        <f t="shared" si="769"/>
        <v>0</v>
      </c>
      <c r="U860">
        <f t="shared" si="770"/>
        <v>0.12</v>
      </c>
      <c r="V860">
        <f t="shared" si="771"/>
        <v>0</v>
      </c>
      <c r="W860">
        <f t="shared" si="772"/>
        <v>0</v>
      </c>
      <c r="X860">
        <f t="shared" si="773"/>
        <v>44.97</v>
      </c>
      <c r="Y860">
        <f t="shared" si="774"/>
        <v>6.42</v>
      </c>
      <c r="AA860">
        <v>1472224561</v>
      </c>
      <c r="AB860">
        <f t="shared" si="775"/>
        <v>5375.66</v>
      </c>
      <c r="AC860">
        <f t="shared" si="797"/>
        <v>22.51</v>
      </c>
      <c r="AD860">
        <f t="shared" si="798"/>
        <v>0</v>
      </c>
      <c r="AE860">
        <f t="shared" si="799"/>
        <v>0</v>
      </c>
      <c r="AF860">
        <f t="shared" si="799"/>
        <v>5353.15</v>
      </c>
      <c r="AG860">
        <f t="shared" si="776"/>
        <v>0</v>
      </c>
      <c r="AH860">
        <f t="shared" si="800"/>
        <v>10</v>
      </c>
      <c r="AI860">
        <f t="shared" si="800"/>
        <v>0</v>
      </c>
      <c r="AJ860">
        <f t="shared" si="777"/>
        <v>0</v>
      </c>
      <c r="AK860">
        <v>5375.66</v>
      </c>
      <c r="AL860">
        <v>22.51</v>
      </c>
      <c r="AM860">
        <v>0</v>
      </c>
      <c r="AN860">
        <v>0</v>
      </c>
      <c r="AO860">
        <v>5353.15</v>
      </c>
      <c r="AP860">
        <v>0</v>
      </c>
      <c r="AQ860">
        <v>10</v>
      </c>
      <c r="AR860">
        <v>0</v>
      </c>
      <c r="AS860">
        <v>0</v>
      </c>
      <c r="AT860">
        <v>70</v>
      </c>
      <c r="AU860">
        <v>10</v>
      </c>
      <c r="AV860">
        <v>1</v>
      </c>
      <c r="AW860">
        <v>1</v>
      </c>
      <c r="AZ860">
        <v>1</v>
      </c>
      <c r="BA860">
        <v>1</v>
      </c>
      <c r="BB860">
        <v>1</v>
      </c>
      <c r="BC860">
        <v>1</v>
      </c>
      <c r="BD860" t="s">
        <v>3</v>
      </c>
      <c r="BE860" t="s">
        <v>3</v>
      </c>
      <c r="BF860" t="s">
        <v>3</v>
      </c>
      <c r="BG860" t="s">
        <v>3</v>
      </c>
      <c r="BH860">
        <v>0</v>
      </c>
      <c r="BI860">
        <v>4</v>
      </c>
      <c r="BJ860" t="s">
        <v>477</v>
      </c>
      <c r="BM860">
        <v>0</v>
      </c>
      <c r="BN860">
        <v>0</v>
      </c>
      <c r="BO860" t="s">
        <v>3</v>
      </c>
      <c r="BP860">
        <v>0</v>
      </c>
      <c r="BQ860">
        <v>1</v>
      </c>
      <c r="BR860">
        <v>0</v>
      </c>
      <c r="BS860">
        <v>1</v>
      </c>
      <c r="BT860">
        <v>1</v>
      </c>
      <c r="BU860">
        <v>1</v>
      </c>
      <c r="BV860">
        <v>1</v>
      </c>
      <c r="BW860">
        <v>1</v>
      </c>
      <c r="BX860">
        <v>1</v>
      </c>
      <c r="BY860" t="s">
        <v>3</v>
      </c>
      <c r="BZ860">
        <v>70</v>
      </c>
      <c r="CA860">
        <v>10</v>
      </c>
      <c r="CB860" t="s">
        <v>3</v>
      </c>
      <c r="CE860">
        <v>0</v>
      </c>
      <c r="CF860">
        <v>0</v>
      </c>
      <c r="CG860">
        <v>0</v>
      </c>
      <c r="CM860">
        <v>0</v>
      </c>
      <c r="CN860" t="s">
        <v>3</v>
      </c>
      <c r="CO860">
        <v>0</v>
      </c>
      <c r="CP860">
        <f t="shared" si="778"/>
        <v>64.509999999999991</v>
      </c>
      <c r="CQ860">
        <f t="shared" si="779"/>
        <v>22.51</v>
      </c>
      <c r="CR860">
        <f t="shared" si="801"/>
        <v>0</v>
      </c>
      <c r="CS860">
        <f t="shared" si="780"/>
        <v>0</v>
      </c>
      <c r="CT860">
        <f t="shared" si="781"/>
        <v>5353.15</v>
      </c>
      <c r="CU860">
        <f t="shared" si="782"/>
        <v>0</v>
      </c>
      <c r="CV860">
        <f t="shared" si="783"/>
        <v>10</v>
      </c>
      <c r="CW860">
        <f t="shared" si="784"/>
        <v>0</v>
      </c>
      <c r="CX860">
        <f t="shared" si="785"/>
        <v>0</v>
      </c>
      <c r="CY860">
        <f t="shared" si="786"/>
        <v>44.967999999999989</v>
      </c>
      <c r="CZ860">
        <f t="shared" si="787"/>
        <v>6.4239999999999995</v>
      </c>
      <c r="DC860" t="s">
        <v>3</v>
      </c>
      <c r="DD860" t="s">
        <v>3</v>
      </c>
      <c r="DE860" t="s">
        <v>3</v>
      </c>
      <c r="DF860" t="s">
        <v>3</v>
      </c>
      <c r="DG860" t="s">
        <v>3</v>
      </c>
      <c r="DH860" t="s">
        <v>3</v>
      </c>
      <c r="DI860" t="s">
        <v>3</v>
      </c>
      <c r="DJ860" t="s">
        <v>3</v>
      </c>
      <c r="DK860" t="s">
        <v>3</v>
      </c>
      <c r="DL860" t="s">
        <v>3</v>
      </c>
      <c r="DM860" t="s">
        <v>3</v>
      </c>
      <c r="DN860">
        <v>0</v>
      </c>
      <c r="DO860">
        <v>0</v>
      </c>
      <c r="DP860">
        <v>1</v>
      </c>
      <c r="DQ860">
        <v>1</v>
      </c>
      <c r="DU860">
        <v>1003</v>
      </c>
      <c r="DV860" t="s">
        <v>20</v>
      </c>
      <c r="DW860" t="s">
        <v>20</v>
      </c>
      <c r="DX860">
        <v>100</v>
      </c>
      <c r="DZ860" t="s">
        <v>3</v>
      </c>
      <c r="EA860" t="s">
        <v>3</v>
      </c>
      <c r="EB860" t="s">
        <v>3</v>
      </c>
      <c r="EC860" t="s">
        <v>3</v>
      </c>
      <c r="EE860">
        <v>1441815344</v>
      </c>
      <c r="EF860">
        <v>1</v>
      </c>
      <c r="EG860" t="s">
        <v>23</v>
      </c>
      <c r="EH860">
        <v>0</v>
      </c>
      <c r="EI860" t="s">
        <v>3</v>
      </c>
      <c r="EJ860">
        <v>4</v>
      </c>
      <c r="EK860">
        <v>0</v>
      </c>
      <c r="EL860" t="s">
        <v>24</v>
      </c>
      <c r="EM860" t="s">
        <v>25</v>
      </c>
      <c r="EO860" t="s">
        <v>3</v>
      </c>
      <c r="EQ860">
        <v>0</v>
      </c>
      <c r="ER860">
        <v>5375.66</v>
      </c>
      <c r="ES860">
        <v>22.51</v>
      </c>
      <c r="ET860">
        <v>0</v>
      </c>
      <c r="EU860">
        <v>0</v>
      </c>
      <c r="EV860">
        <v>5353.15</v>
      </c>
      <c r="EW860">
        <v>10</v>
      </c>
      <c r="EX860">
        <v>0</v>
      </c>
      <c r="EY860">
        <v>0</v>
      </c>
      <c r="FQ860">
        <v>0</v>
      </c>
      <c r="FR860">
        <f t="shared" si="788"/>
        <v>0</v>
      </c>
      <c r="FS860">
        <v>0</v>
      </c>
      <c r="FX860">
        <v>70</v>
      </c>
      <c r="FY860">
        <v>10</v>
      </c>
      <c r="GA860" t="s">
        <v>3</v>
      </c>
      <c r="GD860">
        <v>0</v>
      </c>
      <c r="GF860">
        <v>409781007</v>
      </c>
      <c r="GG860">
        <v>2</v>
      </c>
      <c r="GH860">
        <v>1</v>
      </c>
      <c r="GI860">
        <v>-2</v>
      </c>
      <c r="GJ860">
        <v>0</v>
      </c>
      <c r="GK860">
        <f>ROUND(R860*(R12)/100,2)</f>
        <v>0</v>
      </c>
      <c r="GL860">
        <f t="shared" si="789"/>
        <v>0</v>
      </c>
      <c r="GM860">
        <f t="shared" si="790"/>
        <v>115.9</v>
      </c>
      <c r="GN860">
        <f t="shared" si="791"/>
        <v>0</v>
      </c>
      <c r="GO860">
        <f t="shared" si="792"/>
        <v>0</v>
      </c>
      <c r="GP860">
        <f t="shared" si="793"/>
        <v>115.9</v>
      </c>
      <c r="GR860">
        <v>0</v>
      </c>
      <c r="GS860">
        <v>3</v>
      </c>
      <c r="GT860">
        <v>0</v>
      </c>
      <c r="GU860" t="s">
        <v>3</v>
      </c>
      <c r="GV860">
        <f t="shared" si="794"/>
        <v>0</v>
      </c>
      <c r="GW860">
        <v>1</v>
      </c>
      <c r="GX860">
        <f t="shared" si="795"/>
        <v>0</v>
      </c>
      <c r="HA860">
        <v>0</v>
      </c>
      <c r="HB860">
        <v>0</v>
      </c>
      <c r="HC860">
        <f t="shared" si="796"/>
        <v>0</v>
      </c>
      <c r="HE860" t="s">
        <v>3</v>
      </c>
      <c r="HF860" t="s">
        <v>3</v>
      </c>
      <c r="HM860" t="s">
        <v>3</v>
      </c>
      <c r="HN860" t="s">
        <v>3</v>
      </c>
      <c r="HO860" t="s">
        <v>3</v>
      </c>
      <c r="HP860" t="s">
        <v>3</v>
      </c>
      <c r="HQ860" t="s">
        <v>3</v>
      </c>
      <c r="IK860">
        <v>0</v>
      </c>
    </row>
    <row r="861" spans="1:245" x14ac:dyDescent="0.2">
      <c r="A861">
        <v>17</v>
      </c>
      <c r="B861">
        <v>1</v>
      </c>
      <c r="D861">
        <f>ROW(EtalonRes!A659)</f>
        <v>659</v>
      </c>
      <c r="E861" t="s">
        <v>3</v>
      </c>
      <c r="F861" t="s">
        <v>478</v>
      </c>
      <c r="G861" t="s">
        <v>479</v>
      </c>
      <c r="H861" t="s">
        <v>20</v>
      </c>
      <c r="I861">
        <f>ROUND(ROUND((15+15+15+15)*0.1/100,9),9)</f>
        <v>0.06</v>
      </c>
      <c r="J861">
        <v>0</v>
      </c>
      <c r="K861">
        <f>ROUND(ROUND((15+15+15+15)*0.1/100,9),9)</f>
        <v>0.06</v>
      </c>
      <c r="O861">
        <f t="shared" si="764"/>
        <v>10.6</v>
      </c>
      <c r="P861">
        <f t="shared" si="765"/>
        <v>0</v>
      </c>
      <c r="Q861">
        <f t="shared" si="766"/>
        <v>0</v>
      </c>
      <c r="R861">
        <f t="shared" si="767"/>
        <v>0</v>
      </c>
      <c r="S861">
        <f t="shared" si="768"/>
        <v>10.6</v>
      </c>
      <c r="T861">
        <f t="shared" si="769"/>
        <v>0</v>
      </c>
      <c r="U861">
        <f t="shared" si="770"/>
        <v>1.9800000000000002E-2</v>
      </c>
      <c r="V861">
        <f t="shared" si="771"/>
        <v>0</v>
      </c>
      <c r="W861">
        <f t="shared" si="772"/>
        <v>0</v>
      </c>
      <c r="X861">
        <f t="shared" si="773"/>
        <v>7.42</v>
      </c>
      <c r="Y861">
        <f t="shared" si="774"/>
        <v>1.06</v>
      </c>
      <c r="AA861">
        <v>-1</v>
      </c>
      <c r="AB861">
        <f t="shared" si="775"/>
        <v>176.66</v>
      </c>
      <c r="AC861">
        <f t="shared" si="797"/>
        <v>0</v>
      </c>
      <c r="AD861">
        <f t="shared" si="798"/>
        <v>0</v>
      </c>
      <c r="AE861">
        <f t="shared" si="799"/>
        <v>0</v>
      </c>
      <c r="AF861">
        <f t="shared" si="799"/>
        <v>176.66</v>
      </c>
      <c r="AG861">
        <f t="shared" si="776"/>
        <v>0</v>
      </c>
      <c r="AH861">
        <f t="shared" si="800"/>
        <v>0.33</v>
      </c>
      <c r="AI861">
        <f t="shared" si="800"/>
        <v>0</v>
      </c>
      <c r="AJ861">
        <f t="shared" si="777"/>
        <v>0</v>
      </c>
      <c r="AK861">
        <v>176.66</v>
      </c>
      <c r="AL861">
        <v>0</v>
      </c>
      <c r="AM861">
        <v>0</v>
      </c>
      <c r="AN861">
        <v>0</v>
      </c>
      <c r="AO861">
        <v>176.66</v>
      </c>
      <c r="AP861">
        <v>0</v>
      </c>
      <c r="AQ861">
        <v>0.33</v>
      </c>
      <c r="AR861">
        <v>0</v>
      </c>
      <c r="AS861">
        <v>0</v>
      </c>
      <c r="AT861">
        <v>70</v>
      </c>
      <c r="AU861">
        <v>10</v>
      </c>
      <c r="AV861">
        <v>1</v>
      </c>
      <c r="AW861">
        <v>1</v>
      </c>
      <c r="AZ861">
        <v>1</v>
      </c>
      <c r="BA861">
        <v>1</v>
      </c>
      <c r="BB861">
        <v>1</v>
      </c>
      <c r="BC861">
        <v>1</v>
      </c>
      <c r="BD861" t="s">
        <v>3</v>
      </c>
      <c r="BE861" t="s">
        <v>3</v>
      </c>
      <c r="BF861" t="s">
        <v>3</v>
      </c>
      <c r="BG861" t="s">
        <v>3</v>
      </c>
      <c r="BH861">
        <v>0</v>
      </c>
      <c r="BI861">
        <v>4</v>
      </c>
      <c r="BJ861" t="s">
        <v>480</v>
      </c>
      <c r="BM861">
        <v>0</v>
      </c>
      <c r="BN861">
        <v>0</v>
      </c>
      <c r="BO861" t="s">
        <v>3</v>
      </c>
      <c r="BP861">
        <v>0</v>
      </c>
      <c r="BQ861">
        <v>1</v>
      </c>
      <c r="BR861">
        <v>0</v>
      </c>
      <c r="BS861">
        <v>1</v>
      </c>
      <c r="BT861">
        <v>1</v>
      </c>
      <c r="BU861">
        <v>1</v>
      </c>
      <c r="BV861">
        <v>1</v>
      </c>
      <c r="BW861">
        <v>1</v>
      </c>
      <c r="BX861">
        <v>1</v>
      </c>
      <c r="BY861" t="s">
        <v>3</v>
      </c>
      <c r="BZ861">
        <v>70</v>
      </c>
      <c r="CA861">
        <v>10</v>
      </c>
      <c r="CB861" t="s">
        <v>3</v>
      </c>
      <c r="CE861">
        <v>0</v>
      </c>
      <c r="CF861">
        <v>0</v>
      </c>
      <c r="CG861">
        <v>0</v>
      </c>
      <c r="CM861">
        <v>0</v>
      </c>
      <c r="CN861" t="s">
        <v>3</v>
      </c>
      <c r="CO861">
        <v>0</v>
      </c>
      <c r="CP861">
        <f t="shared" si="778"/>
        <v>10.6</v>
      </c>
      <c r="CQ861">
        <f t="shared" si="779"/>
        <v>0</v>
      </c>
      <c r="CR861">
        <f t="shared" si="801"/>
        <v>0</v>
      </c>
      <c r="CS861">
        <f t="shared" si="780"/>
        <v>0</v>
      </c>
      <c r="CT861">
        <f t="shared" si="781"/>
        <v>176.66</v>
      </c>
      <c r="CU861">
        <f t="shared" si="782"/>
        <v>0</v>
      </c>
      <c r="CV861">
        <f t="shared" si="783"/>
        <v>0.33</v>
      </c>
      <c r="CW861">
        <f t="shared" si="784"/>
        <v>0</v>
      </c>
      <c r="CX861">
        <f t="shared" si="785"/>
        <v>0</v>
      </c>
      <c r="CY861">
        <f t="shared" si="786"/>
        <v>7.42</v>
      </c>
      <c r="CZ861">
        <f t="shared" si="787"/>
        <v>1.06</v>
      </c>
      <c r="DC861" t="s">
        <v>3</v>
      </c>
      <c r="DD861" t="s">
        <v>3</v>
      </c>
      <c r="DE861" t="s">
        <v>3</v>
      </c>
      <c r="DF861" t="s">
        <v>3</v>
      </c>
      <c r="DG861" t="s">
        <v>3</v>
      </c>
      <c r="DH861" t="s">
        <v>3</v>
      </c>
      <c r="DI861" t="s">
        <v>3</v>
      </c>
      <c r="DJ861" t="s">
        <v>3</v>
      </c>
      <c r="DK861" t="s">
        <v>3</v>
      </c>
      <c r="DL861" t="s">
        <v>3</v>
      </c>
      <c r="DM861" t="s">
        <v>3</v>
      </c>
      <c r="DN861">
        <v>0</v>
      </c>
      <c r="DO861">
        <v>0</v>
      </c>
      <c r="DP861">
        <v>1</v>
      </c>
      <c r="DQ861">
        <v>1</v>
      </c>
      <c r="DU861">
        <v>1003</v>
      </c>
      <c r="DV861" t="s">
        <v>20</v>
      </c>
      <c r="DW861" t="s">
        <v>20</v>
      </c>
      <c r="DX861">
        <v>100</v>
      </c>
      <c r="DZ861" t="s">
        <v>3</v>
      </c>
      <c r="EA861" t="s">
        <v>3</v>
      </c>
      <c r="EB861" t="s">
        <v>3</v>
      </c>
      <c r="EC861" t="s">
        <v>3</v>
      </c>
      <c r="EE861">
        <v>1441815344</v>
      </c>
      <c r="EF861">
        <v>1</v>
      </c>
      <c r="EG861" t="s">
        <v>23</v>
      </c>
      <c r="EH861">
        <v>0</v>
      </c>
      <c r="EI861" t="s">
        <v>3</v>
      </c>
      <c r="EJ861">
        <v>4</v>
      </c>
      <c r="EK861">
        <v>0</v>
      </c>
      <c r="EL861" t="s">
        <v>24</v>
      </c>
      <c r="EM861" t="s">
        <v>25</v>
      </c>
      <c r="EO861" t="s">
        <v>3</v>
      </c>
      <c r="EQ861">
        <v>1024</v>
      </c>
      <c r="ER861">
        <v>176.66</v>
      </c>
      <c r="ES861">
        <v>0</v>
      </c>
      <c r="ET861">
        <v>0</v>
      </c>
      <c r="EU861">
        <v>0</v>
      </c>
      <c r="EV861">
        <v>176.66</v>
      </c>
      <c r="EW861">
        <v>0.33</v>
      </c>
      <c r="EX861">
        <v>0</v>
      </c>
      <c r="EY861">
        <v>0</v>
      </c>
      <c r="FQ861">
        <v>0</v>
      </c>
      <c r="FR861">
        <f t="shared" si="788"/>
        <v>0</v>
      </c>
      <c r="FS861">
        <v>0</v>
      </c>
      <c r="FX861">
        <v>70</v>
      </c>
      <c r="FY861">
        <v>10</v>
      </c>
      <c r="GA861" t="s">
        <v>3</v>
      </c>
      <c r="GD861">
        <v>0</v>
      </c>
      <c r="GF861">
        <v>-89122687</v>
      </c>
      <c r="GG861">
        <v>2</v>
      </c>
      <c r="GH861">
        <v>1</v>
      </c>
      <c r="GI861">
        <v>-2</v>
      </c>
      <c r="GJ861">
        <v>0</v>
      </c>
      <c r="GK861">
        <f>ROUND(R861*(R12)/100,2)</f>
        <v>0</v>
      </c>
      <c r="GL861">
        <f t="shared" si="789"/>
        <v>0</v>
      </c>
      <c r="GM861">
        <f t="shared" si="790"/>
        <v>19.079999999999998</v>
      </c>
      <c r="GN861">
        <f t="shared" si="791"/>
        <v>0</v>
      </c>
      <c r="GO861">
        <f t="shared" si="792"/>
        <v>0</v>
      </c>
      <c r="GP861">
        <f t="shared" si="793"/>
        <v>19.079999999999998</v>
      </c>
      <c r="GR861">
        <v>0</v>
      </c>
      <c r="GS861">
        <v>3</v>
      </c>
      <c r="GT861">
        <v>0</v>
      </c>
      <c r="GU861" t="s">
        <v>3</v>
      </c>
      <c r="GV861">
        <f t="shared" si="794"/>
        <v>0</v>
      </c>
      <c r="GW861">
        <v>1</v>
      </c>
      <c r="GX861">
        <f t="shared" si="795"/>
        <v>0</v>
      </c>
      <c r="HA861">
        <v>0</v>
      </c>
      <c r="HB861">
        <v>0</v>
      </c>
      <c r="HC861">
        <f t="shared" si="796"/>
        <v>0</v>
      </c>
      <c r="HE861" t="s">
        <v>3</v>
      </c>
      <c r="HF861" t="s">
        <v>3</v>
      </c>
      <c r="HM861" t="s">
        <v>3</v>
      </c>
      <c r="HN861" t="s">
        <v>3</v>
      </c>
      <c r="HO861" t="s">
        <v>3</v>
      </c>
      <c r="HP861" t="s">
        <v>3</v>
      </c>
      <c r="HQ861" t="s">
        <v>3</v>
      </c>
      <c r="IK861">
        <v>0</v>
      </c>
    </row>
    <row r="862" spans="1:245" x14ac:dyDescent="0.2">
      <c r="A862">
        <v>17</v>
      </c>
      <c r="B862">
        <v>1</v>
      </c>
      <c r="D862">
        <f>ROW(EtalonRes!A661)</f>
        <v>661</v>
      </c>
      <c r="E862" t="s">
        <v>633</v>
      </c>
      <c r="F862" t="s">
        <v>506</v>
      </c>
      <c r="G862" t="s">
        <v>634</v>
      </c>
      <c r="H862" t="s">
        <v>20</v>
      </c>
      <c r="I862">
        <f>ROUND(ROUND((33+4+33+4+33+4+33+4)*0.2*0.1/100,9),9)</f>
        <v>2.9600000000000001E-2</v>
      </c>
      <c r="J862">
        <v>0</v>
      </c>
      <c r="K862">
        <f>ROUND(ROUND((33+4+33+4+33+4+33+4)*0.2*0.1/100,9),9)</f>
        <v>2.9600000000000001E-2</v>
      </c>
      <c r="O862">
        <f t="shared" si="764"/>
        <v>178.21</v>
      </c>
      <c r="P862">
        <f t="shared" si="765"/>
        <v>0.43</v>
      </c>
      <c r="Q862">
        <f t="shared" si="766"/>
        <v>0</v>
      </c>
      <c r="R862">
        <f t="shared" si="767"/>
        <v>0</v>
      </c>
      <c r="S862">
        <f t="shared" si="768"/>
        <v>177.78</v>
      </c>
      <c r="T862">
        <f t="shared" si="769"/>
        <v>0</v>
      </c>
      <c r="U862">
        <f t="shared" si="770"/>
        <v>0.33211200000000002</v>
      </c>
      <c r="V862">
        <f t="shared" si="771"/>
        <v>0</v>
      </c>
      <c r="W862">
        <f t="shared" si="772"/>
        <v>0</v>
      </c>
      <c r="X862">
        <f t="shared" si="773"/>
        <v>124.45</v>
      </c>
      <c r="Y862">
        <f t="shared" si="774"/>
        <v>17.78</v>
      </c>
      <c r="AA862">
        <v>1472224561</v>
      </c>
      <c r="AB862">
        <f t="shared" si="775"/>
        <v>6020.87</v>
      </c>
      <c r="AC862">
        <f t="shared" si="797"/>
        <v>14.63</v>
      </c>
      <c r="AD862">
        <f t="shared" si="798"/>
        <v>0</v>
      </c>
      <c r="AE862">
        <f t="shared" si="799"/>
        <v>0</v>
      </c>
      <c r="AF862">
        <f t="shared" si="799"/>
        <v>6006.24</v>
      </c>
      <c r="AG862">
        <f t="shared" si="776"/>
        <v>0</v>
      </c>
      <c r="AH862">
        <f t="shared" si="800"/>
        <v>11.22</v>
      </c>
      <c r="AI862">
        <f t="shared" si="800"/>
        <v>0</v>
      </c>
      <c r="AJ862">
        <f t="shared" si="777"/>
        <v>0</v>
      </c>
      <c r="AK862">
        <v>6020.87</v>
      </c>
      <c r="AL862">
        <v>14.63</v>
      </c>
      <c r="AM862">
        <v>0</v>
      </c>
      <c r="AN862">
        <v>0</v>
      </c>
      <c r="AO862">
        <v>6006.24</v>
      </c>
      <c r="AP862">
        <v>0</v>
      </c>
      <c r="AQ862">
        <v>11.22</v>
      </c>
      <c r="AR862">
        <v>0</v>
      </c>
      <c r="AS862">
        <v>0</v>
      </c>
      <c r="AT862">
        <v>70</v>
      </c>
      <c r="AU862">
        <v>10</v>
      </c>
      <c r="AV862">
        <v>1</v>
      </c>
      <c r="AW862">
        <v>1</v>
      </c>
      <c r="AZ862">
        <v>1</v>
      </c>
      <c r="BA862">
        <v>1</v>
      </c>
      <c r="BB862">
        <v>1</v>
      </c>
      <c r="BC862">
        <v>1</v>
      </c>
      <c r="BD862" t="s">
        <v>3</v>
      </c>
      <c r="BE862" t="s">
        <v>3</v>
      </c>
      <c r="BF862" t="s">
        <v>3</v>
      </c>
      <c r="BG862" t="s">
        <v>3</v>
      </c>
      <c r="BH862">
        <v>0</v>
      </c>
      <c r="BI862">
        <v>4</v>
      </c>
      <c r="BJ862" t="s">
        <v>508</v>
      </c>
      <c r="BM862">
        <v>0</v>
      </c>
      <c r="BN862">
        <v>0</v>
      </c>
      <c r="BO862" t="s">
        <v>3</v>
      </c>
      <c r="BP862">
        <v>0</v>
      </c>
      <c r="BQ862">
        <v>1</v>
      </c>
      <c r="BR862">
        <v>0</v>
      </c>
      <c r="BS862">
        <v>1</v>
      </c>
      <c r="BT862">
        <v>1</v>
      </c>
      <c r="BU862">
        <v>1</v>
      </c>
      <c r="BV862">
        <v>1</v>
      </c>
      <c r="BW862">
        <v>1</v>
      </c>
      <c r="BX862">
        <v>1</v>
      </c>
      <c r="BY862" t="s">
        <v>3</v>
      </c>
      <c r="BZ862">
        <v>70</v>
      </c>
      <c r="CA862">
        <v>10</v>
      </c>
      <c r="CB862" t="s">
        <v>3</v>
      </c>
      <c r="CE862">
        <v>0</v>
      </c>
      <c r="CF862">
        <v>0</v>
      </c>
      <c r="CG862">
        <v>0</v>
      </c>
      <c r="CM862">
        <v>0</v>
      </c>
      <c r="CN862" t="s">
        <v>3</v>
      </c>
      <c r="CO862">
        <v>0</v>
      </c>
      <c r="CP862">
        <f t="shared" si="778"/>
        <v>178.21</v>
      </c>
      <c r="CQ862">
        <f t="shared" si="779"/>
        <v>14.63</v>
      </c>
      <c r="CR862">
        <f t="shared" si="801"/>
        <v>0</v>
      </c>
      <c r="CS862">
        <f t="shared" si="780"/>
        <v>0</v>
      </c>
      <c r="CT862">
        <f t="shared" si="781"/>
        <v>6006.24</v>
      </c>
      <c r="CU862">
        <f t="shared" si="782"/>
        <v>0</v>
      </c>
      <c r="CV862">
        <f t="shared" si="783"/>
        <v>11.22</v>
      </c>
      <c r="CW862">
        <f t="shared" si="784"/>
        <v>0</v>
      </c>
      <c r="CX862">
        <f t="shared" si="785"/>
        <v>0</v>
      </c>
      <c r="CY862">
        <f t="shared" si="786"/>
        <v>124.446</v>
      </c>
      <c r="CZ862">
        <f t="shared" si="787"/>
        <v>17.777999999999999</v>
      </c>
      <c r="DC862" t="s">
        <v>3</v>
      </c>
      <c r="DD862" t="s">
        <v>3</v>
      </c>
      <c r="DE862" t="s">
        <v>3</v>
      </c>
      <c r="DF862" t="s">
        <v>3</v>
      </c>
      <c r="DG862" t="s">
        <v>3</v>
      </c>
      <c r="DH862" t="s">
        <v>3</v>
      </c>
      <c r="DI862" t="s">
        <v>3</v>
      </c>
      <c r="DJ862" t="s">
        <v>3</v>
      </c>
      <c r="DK862" t="s">
        <v>3</v>
      </c>
      <c r="DL862" t="s">
        <v>3</v>
      </c>
      <c r="DM862" t="s">
        <v>3</v>
      </c>
      <c r="DN862">
        <v>0</v>
      </c>
      <c r="DO862">
        <v>0</v>
      </c>
      <c r="DP862">
        <v>1</v>
      </c>
      <c r="DQ862">
        <v>1</v>
      </c>
      <c r="DU862">
        <v>1003</v>
      </c>
      <c r="DV862" t="s">
        <v>20</v>
      </c>
      <c r="DW862" t="s">
        <v>20</v>
      </c>
      <c r="DX862">
        <v>100</v>
      </c>
      <c r="DZ862" t="s">
        <v>3</v>
      </c>
      <c r="EA862" t="s">
        <v>3</v>
      </c>
      <c r="EB862" t="s">
        <v>3</v>
      </c>
      <c r="EC862" t="s">
        <v>3</v>
      </c>
      <c r="EE862">
        <v>1441815344</v>
      </c>
      <c r="EF862">
        <v>1</v>
      </c>
      <c r="EG862" t="s">
        <v>23</v>
      </c>
      <c r="EH862">
        <v>0</v>
      </c>
      <c r="EI862" t="s">
        <v>3</v>
      </c>
      <c r="EJ862">
        <v>4</v>
      </c>
      <c r="EK862">
        <v>0</v>
      </c>
      <c r="EL862" t="s">
        <v>24</v>
      </c>
      <c r="EM862" t="s">
        <v>25</v>
      </c>
      <c r="EO862" t="s">
        <v>3</v>
      </c>
      <c r="EQ862">
        <v>0</v>
      </c>
      <c r="ER862">
        <v>6020.87</v>
      </c>
      <c r="ES862">
        <v>14.63</v>
      </c>
      <c r="ET862">
        <v>0</v>
      </c>
      <c r="EU862">
        <v>0</v>
      </c>
      <c r="EV862">
        <v>6006.24</v>
      </c>
      <c r="EW862">
        <v>11.22</v>
      </c>
      <c r="EX862">
        <v>0</v>
      </c>
      <c r="EY862">
        <v>0</v>
      </c>
      <c r="FQ862">
        <v>0</v>
      </c>
      <c r="FR862">
        <f t="shared" si="788"/>
        <v>0</v>
      </c>
      <c r="FS862">
        <v>0</v>
      </c>
      <c r="FX862">
        <v>70</v>
      </c>
      <c r="FY862">
        <v>10</v>
      </c>
      <c r="GA862" t="s">
        <v>3</v>
      </c>
      <c r="GD862">
        <v>0</v>
      </c>
      <c r="GF862">
        <v>-1811468466</v>
      </c>
      <c r="GG862">
        <v>2</v>
      </c>
      <c r="GH862">
        <v>1</v>
      </c>
      <c r="GI862">
        <v>-2</v>
      </c>
      <c r="GJ862">
        <v>0</v>
      </c>
      <c r="GK862">
        <f>ROUND(R862*(R12)/100,2)</f>
        <v>0</v>
      </c>
      <c r="GL862">
        <f t="shared" si="789"/>
        <v>0</v>
      </c>
      <c r="GM862">
        <f t="shared" si="790"/>
        <v>320.44</v>
      </c>
      <c r="GN862">
        <f t="shared" si="791"/>
        <v>0</v>
      </c>
      <c r="GO862">
        <f t="shared" si="792"/>
        <v>0</v>
      </c>
      <c r="GP862">
        <f t="shared" si="793"/>
        <v>320.44</v>
      </c>
      <c r="GR862">
        <v>0</v>
      </c>
      <c r="GS862">
        <v>3</v>
      </c>
      <c r="GT862">
        <v>0</v>
      </c>
      <c r="GU862" t="s">
        <v>3</v>
      </c>
      <c r="GV862">
        <f t="shared" si="794"/>
        <v>0</v>
      </c>
      <c r="GW862">
        <v>1</v>
      </c>
      <c r="GX862">
        <f t="shared" si="795"/>
        <v>0</v>
      </c>
      <c r="HA862">
        <v>0</v>
      </c>
      <c r="HB862">
        <v>0</v>
      </c>
      <c r="HC862">
        <f t="shared" si="796"/>
        <v>0</v>
      </c>
      <c r="HE862" t="s">
        <v>3</v>
      </c>
      <c r="HF862" t="s">
        <v>3</v>
      </c>
      <c r="HM862" t="s">
        <v>3</v>
      </c>
      <c r="HN862" t="s">
        <v>3</v>
      </c>
      <c r="HO862" t="s">
        <v>3</v>
      </c>
      <c r="HP862" t="s">
        <v>3</v>
      </c>
      <c r="HQ862" t="s">
        <v>3</v>
      </c>
      <c r="IK862">
        <v>0</v>
      </c>
    </row>
    <row r="863" spans="1:245" x14ac:dyDescent="0.2">
      <c r="A863">
        <v>17</v>
      </c>
      <c r="B863">
        <v>1</v>
      </c>
      <c r="D863">
        <f>ROW(EtalonRes!A663)</f>
        <v>663</v>
      </c>
      <c r="E863" t="s">
        <v>3</v>
      </c>
      <c r="F863" t="s">
        <v>513</v>
      </c>
      <c r="G863" t="s">
        <v>635</v>
      </c>
      <c r="H863" t="s">
        <v>20</v>
      </c>
      <c r="I863">
        <f>ROUND(ROUND((33+4+33+4+33+4+33+4)*0.1/100,9),9)</f>
        <v>0.14799999999999999</v>
      </c>
      <c r="J863">
        <v>0</v>
      </c>
      <c r="K863">
        <f>ROUND(ROUND((33+4+33+4+33+4+33+4)*0.1/100,9),9)</f>
        <v>0.14799999999999999</v>
      </c>
      <c r="O863">
        <f t="shared" si="764"/>
        <v>30.17</v>
      </c>
      <c r="P863">
        <f t="shared" si="765"/>
        <v>0.06</v>
      </c>
      <c r="Q863">
        <f t="shared" si="766"/>
        <v>0</v>
      </c>
      <c r="R863">
        <f t="shared" si="767"/>
        <v>0</v>
      </c>
      <c r="S863">
        <f t="shared" si="768"/>
        <v>30.11</v>
      </c>
      <c r="T863">
        <f t="shared" si="769"/>
        <v>0</v>
      </c>
      <c r="U863">
        <f t="shared" si="770"/>
        <v>5.6239999999999998E-2</v>
      </c>
      <c r="V863">
        <f t="shared" si="771"/>
        <v>0</v>
      </c>
      <c r="W863">
        <f t="shared" si="772"/>
        <v>0</v>
      </c>
      <c r="X863">
        <f t="shared" si="773"/>
        <v>21.08</v>
      </c>
      <c r="Y863">
        <f t="shared" si="774"/>
        <v>3.01</v>
      </c>
      <c r="AA863">
        <v>-1</v>
      </c>
      <c r="AB863">
        <f t="shared" si="775"/>
        <v>203.8</v>
      </c>
      <c r="AC863">
        <f t="shared" si="797"/>
        <v>0.38</v>
      </c>
      <c r="AD863">
        <f t="shared" si="798"/>
        <v>0</v>
      </c>
      <c r="AE863">
        <f t="shared" si="799"/>
        <v>0</v>
      </c>
      <c r="AF863">
        <f t="shared" si="799"/>
        <v>203.42</v>
      </c>
      <c r="AG863">
        <f t="shared" si="776"/>
        <v>0</v>
      </c>
      <c r="AH863">
        <f t="shared" si="800"/>
        <v>0.38</v>
      </c>
      <c r="AI863">
        <f t="shared" si="800"/>
        <v>0</v>
      </c>
      <c r="AJ863">
        <f t="shared" si="777"/>
        <v>0</v>
      </c>
      <c r="AK863">
        <v>203.8</v>
      </c>
      <c r="AL863">
        <v>0.38</v>
      </c>
      <c r="AM863">
        <v>0</v>
      </c>
      <c r="AN863">
        <v>0</v>
      </c>
      <c r="AO863">
        <v>203.42</v>
      </c>
      <c r="AP863">
        <v>0</v>
      </c>
      <c r="AQ863">
        <v>0.38</v>
      </c>
      <c r="AR863">
        <v>0</v>
      </c>
      <c r="AS863">
        <v>0</v>
      </c>
      <c r="AT863">
        <v>70</v>
      </c>
      <c r="AU863">
        <v>10</v>
      </c>
      <c r="AV863">
        <v>1</v>
      </c>
      <c r="AW863">
        <v>1</v>
      </c>
      <c r="AZ863">
        <v>1</v>
      </c>
      <c r="BA863">
        <v>1</v>
      </c>
      <c r="BB863">
        <v>1</v>
      </c>
      <c r="BC863">
        <v>1</v>
      </c>
      <c r="BD863" t="s">
        <v>3</v>
      </c>
      <c r="BE863" t="s">
        <v>3</v>
      </c>
      <c r="BF863" t="s">
        <v>3</v>
      </c>
      <c r="BG863" t="s">
        <v>3</v>
      </c>
      <c r="BH863">
        <v>0</v>
      </c>
      <c r="BI863">
        <v>4</v>
      </c>
      <c r="BJ863" t="s">
        <v>515</v>
      </c>
      <c r="BM863">
        <v>0</v>
      </c>
      <c r="BN863">
        <v>0</v>
      </c>
      <c r="BO863" t="s">
        <v>3</v>
      </c>
      <c r="BP863">
        <v>0</v>
      </c>
      <c r="BQ863">
        <v>1</v>
      </c>
      <c r="BR863">
        <v>0</v>
      </c>
      <c r="BS863">
        <v>1</v>
      </c>
      <c r="BT863">
        <v>1</v>
      </c>
      <c r="BU863">
        <v>1</v>
      </c>
      <c r="BV863">
        <v>1</v>
      </c>
      <c r="BW863">
        <v>1</v>
      </c>
      <c r="BX863">
        <v>1</v>
      </c>
      <c r="BY863" t="s">
        <v>3</v>
      </c>
      <c r="BZ863">
        <v>70</v>
      </c>
      <c r="CA863">
        <v>10</v>
      </c>
      <c r="CB863" t="s">
        <v>3</v>
      </c>
      <c r="CE863">
        <v>0</v>
      </c>
      <c r="CF863">
        <v>0</v>
      </c>
      <c r="CG863">
        <v>0</v>
      </c>
      <c r="CM863">
        <v>0</v>
      </c>
      <c r="CN863" t="s">
        <v>3</v>
      </c>
      <c r="CO863">
        <v>0</v>
      </c>
      <c r="CP863">
        <f t="shared" si="778"/>
        <v>30.169999999999998</v>
      </c>
      <c r="CQ863">
        <f t="shared" si="779"/>
        <v>0.38</v>
      </c>
      <c r="CR863">
        <f t="shared" si="801"/>
        <v>0</v>
      </c>
      <c r="CS863">
        <f t="shared" si="780"/>
        <v>0</v>
      </c>
      <c r="CT863">
        <f t="shared" si="781"/>
        <v>203.42</v>
      </c>
      <c r="CU863">
        <f t="shared" si="782"/>
        <v>0</v>
      </c>
      <c r="CV863">
        <f t="shared" si="783"/>
        <v>0.38</v>
      </c>
      <c r="CW863">
        <f t="shared" si="784"/>
        <v>0</v>
      </c>
      <c r="CX863">
        <f t="shared" si="785"/>
        <v>0</v>
      </c>
      <c r="CY863">
        <f t="shared" si="786"/>
        <v>21.076999999999998</v>
      </c>
      <c r="CZ863">
        <f t="shared" si="787"/>
        <v>3.0110000000000001</v>
      </c>
      <c r="DC863" t="s">
        <v>3</v>
      </c>
      <c r="DD863" t="s">
        <v>3</v>
      </c>
      <c r="DE863" t="s">
        <v>3</v>
      </c>
      <c r="DF863" t="s">
        <v>3</v>
      </c>
      <c r="DG863" t="s">
        <v>3</v>
      </c>
      <c r="DH863" t="s">
        <v>3</v>
      </c>
      <c r="DI863" t="s">
        <v>3</v>
      </c>
      <c r="DJ863" t="s">
        <v>3</v>
      </c>
      <c r="DK863" t="s">
        <v>3</v>
      </c>
      <c r="DL863" t="s">
        <v>3</v>
      </c>
      <c r="DM863" t="s">
        <v>3</v>
      </c>
      <c r="DN863">
        <v>0</v>
      </c>
      <c r="DO863">
        <v>0</v>
      </c>
      <c r="DP863">
        <v>1</v>
      </c>
      <c r="DQ863">
        <v>1</v>
      </c>
      <c r="DU863">
        <v>1003</v>
      </c>
      <c r="DV863" t="s">
        <v>20</v>
      </c>
      <c r="DW863" t="s">
        <v>20</v>
      </c>
      <c r="DX863">
        <v>100</v>
      </c>
      <c r="DZ863" t="s">
        <v>3</v>
      </c>
      <c r="EA863" t="s">
        <v>3</v>
      </c>
      <c r="EB863" t="s">
        <v>3</v>
      </c>
      <c r="EC863" t="s">
        <v>3</v>
      </c>
      <c r="EE863">
        <v>1441815344</v>
      </c>
      <c r="EF863">
        <v>1</v>
      </c>
      <c r="EG863" t="s">
        <v>23</v>
      </c>
      <c r="EH863">
        <v>0</v>
      </c>
      <c r="EI863" t="s">
        <v>3</v>
      </c>
      <c r="EJ863">
        <v>4</v>
      </c>
      <c r="EK863">
        <v>0</v>
      </c>
      <c r="EL863" t="s">
        <v>24</v>
      </c>
      <c r="EM863" t="s">
        <v>25</v>
      </c>
      <c r="EO863" t="s">
        <v>3</v>
      </c>
      <c r="EQ863">
        <v>1024</v>
      </c>
      <c r="ER863">
        <v>203.8</v>
      </c>
      <c r="ES863">
        <v>0.38</v>
      </c>
      <c r="ET863">
        <v>0</v>
      </c>
      <c r="EU863">
        <v>0</v>
      </c>
      <c r="EV863">
        <v>203.42</v>
      </c>
      <c r="EW863">
        <v>0.38</v>
      </c>
      <c r="EX863">
        <v>0</v>
      </c>
      <c r="EY863">
        <v>0</v>
      </c>
      <c r="FQ863">
        <v>0</v>
      </c>
      <c r="FR863">
        <f t="shared" si="788"/>
        <v>0</v>
      </c>
      <c r="FS863">
        <v>0</v>
      </c>
      <c r="FX863">
        <v>70</v>
      </c>
      <c r="FY863">
        <v>10</v>
      </c>
      <c r="GA863" t="s">
        <v>3</v>
      </c>
      <c r="GD863">
        <v>0</v>
      </c>
      <c r="GF863">
        <v>1716780614</v>
      </c>
      <c r="GG863">
        <v>2</v>
      </c>
      <c r="GH863">
        <v>1</v>
      </c>
      <c r="GI863">
        <v>-2</v>
      </c>
      <c r="GJ863">
        <v>0</v>
      </c>
      <c r="GK863">
        <f>ROUND(R863*(R12)/100,2)</f>
        <v>0</v>
      </c>
      <c r="GL863">
        <f t="shared" si="789"/>
        <v>0</v>
      </c>
      <c r="GM863">
        <f t="shared" si="790"/>
        <v>54.26</v>
      </c>
      <c r="GN863">
        <f t="shared" si="791"/>
        <v>0</v>
      </c>
      <c r="GO863">
        <f t="shared" si="792"/>
        <v>0</v>
      </c>
      <c r="GP863">
        <f t="shared" si="793"/>
        <v>54.26</v>
      </c>
      <c r="GR863">
        <v>0</v>
      </c>
      <c r="GS863">
        <v>3</v>
      </c>
      <c r="GT863">
        <v>0</v>
      </c>
      <c r="GU863" t="s">
        <v>3</v>
      </c>
      <c r="GV863">
        <f t="shared" si="794"/>
        <v>0</v>
      </c>
      <c r="GW863">
        <v>1</v>
      </c>
      <c r="GX863">
        <f t="shared" si="795"/>
        <v>0</v>
      </c>
      <c r="HA863">
        <v>0</v>
      </c>
      <c r="HB863">
        <v>0</v>
      </c>
      <c r="HC863">
        <f t="shared" si="796"/>
        <v>0</v>
      </c>
      <c r="HE863" t="s">
        <v>3</v>
      </c>
      <c r="HF863" t="s">
        <v>3</v>
      </c>
      <c r="HM863" t="s">
        <v>3</v>
      </c>
      <c r="HN863" t="s">
        <v>3</v>
      </c>
      <c r="HO863" t="s">
        <v>3</v>
      </c>
      <c r="HP863" t="s">
        <v>3</v>
      </c>
      <c r="HQ863" t="s">
        <v>3</v>
      </c>
      <c r="IK863">
        <v>0</v>
      </c>
    </row>
    <row r="864" spans="1:245" x14ac:dyDescent="0.2">
      <c r="A864">
        <v>17</v>
      </c>
      <c r="B864">
        <v>1</v>
      </c>
      <c r="D864">
        <f>ROW(EtalonRes!A665)</f>
        <v>665</v>
      </c>
      <c r="E864" t="s">
        <v>636</v>
      </c>
      <c r="F864" t="s">
        <v>564</v>
      </c>
      <c r="G864" t="s">
        <v>637</v>
      </c>
      <c r="H864" t="s">
        <v>20</v>
      </c>
      <c r="I864">
        <f>ROUND(ROUND((41+5+41+5+41+5+41+5)*0.1/100,9),9)</f>
        <v>0.184</v>
      </c>
      <c r="J864">
        <v>0</v>
      </c>
      <c r="K864">
        <f>ROUND(ROUND((41+5+41+5+41+5+41+5)*0.1/100,9),9)</f>
        <v>0.184</v>
      </c>
      <c r="O864">
        <f t="shared" si="764"/>
        <v>1097.47</v>
      </c>
      <c r="P864">
        <f t="shared" si="765"/>
        <v>4.1399999999999997</v>
      </c>
      <c r="Q864">
        <f t="shared" si="766"/>
        <v>0</v>
      </c>
      <c r="R864">
        <f t="shared" si="767"/>
        <v>0</v>
      </c>
      <c r="S864">
        <f t="shared" si="768"/>
        <v>1093.33</v>
      </c>
      <c r="T864">
        <f t="shared" si="769"/>
        <v>0</v>
      </c>
      <c r="U864">
        <f t="shared" si="770"/>
        <v>2.0423999999999998</v>
      </c>
      <c r="V864">
        <f t="shared" si="771"/>
        <v>0</v>
      </c>
      <c r="W864">
        <f t="shared" si="772"/>
        <v>0</v>
      </c>
      <c r="X864">
        <f t="shared" si="773"/>
        <v>765.33</v>
      </c>
      <c r="Y864">
        <f t="shared" si="774"/>
        <v>109.33</v>
      </c>
      <c r="AA864">
        <v>1472224561</v>
      </c>
      <c r="AB864">
        <f t="shared" si="775"/>
        <v>5964.51</v>
      </c>
      <c r="AC864">
        <f t="shared" si="797"/>
        <v>22.51</v>
      </c>
      <c r="AD864">
        <f t="shared" si="798"/>
        <v>0</v>
      </c>
      <c r="AE864">
        <f t="shared" si="799"/>
        <v>0</v>
      </c>
      <c r="AF864">
        <f t="shared" si="799"/>
        <v>5942</v>
      </c>
      <c r="AG864">
        <f t="shared" si="776"/>
        <v>0</v>
      </c>
      <c r="AH864">
        <f t="shared" si="800"/>
        <v>11.1</v>
      </c>
      <c r="AI864">
        <f t="shared" si="800"/>
        <v>0</v>
      </c>
      <c r="AJ864">
        <f t="shared" si="777"/>
        <v>0</v>
      </c>
      <c r="AK864">
        <v>5964.51</v>
      </c>
      <c r="AL864">
        <v>22.51</v>
      </c>
      <c r="AM864">
        <v>0</v>
      </c>
      <c r="AN864">
        <v>0</v>
      </c>
      <c r="AO864">
        <v>5942</v>
      </c>
      <c r="AP864">
        <v>0</v>
      </c>
      <c r="AQ864">
        <v>11.1</v>
      </c>
      <c r="AR864">
        <v>0</v>
      </c>
      <c r="AS864">
        <v>0</v>
      </c>
      <c r="AT864">
        <v>70</v>
      </c>
      <c r="AU864">
        <v>10</v>
      </c>
      <c r="AV864">
        <v>1</v>
      </c>
      <c r="AW864">
        <v>1</v>
      </c>
      <c r="AZ864">
        <v>1</v>
      </c>
      <c r="BA864">
        <v>1</v>
      </c>
      <c r="BB864">
        <v>1</v>
      </c>
      <c r="BC864">
        <v>1</v>
      </c>
      <c r="BD864" t="s">
        <v>3</v>
      </c>
      <c r="BE864" t="s">
        <v>3</v>
      </c>
      <c r="BF864" t="s">
        <v>3</v>
      </c>
      <c r="BG864" t="s">
        <v>3</v>
      </c>
      <c r="BH864">
        <v>0</v>
      </c>
      <c r="BI864">
        <v>4</v>
      </c>
      <c r="BJ864" t="s">
        <v>566</v>
      </c>
      <c r="BM864">
        <v>0</v>
      </c>
      <c r="BN864">
        <v>0</v>
      </c>
      <c r="BO864" t="s">
        <v>3</v>
      </c>
      <c r="BP864">
        <v>0</v>
      </c>
      <c r="BQ864">
        <v>1</v>
      </c>
      <c r="BR864">
        <v>0</v>
      </c>
      <c r="BS864">
        <v>1</v>
      </c>
      <c r="BT864">
        <v>1</v>
      </c>
      <c r="BU864">
        <v>1</v>
      </c>
      <c r="BV864">
        <v>1</v>
      </c>
      <c r="BW864">
        <v>1</v>
      </c>
      <c r="BX864">
        <v>1</v>
      </c>
      <c r="BY864" t="s">
        <v>3</v>
      </c>
      <c r="BZ864">
        <v>70</v>
      </c>
      <c r="CA864">
        <v>10</v>
      </c>
      <c r="CB864" t="s">
        <v>3</v>
      </c>
      <c r="CE864">
        <v>0</v>
      </c>
      <c r="CF864">
        <v>0</v>
      </c>
      <c r="CG864">
        <v>0</v>
      </c>
      <c r="CM864">
        <v>0</v>
      </c>
      <c r="CN864" t="s">
        <v>3</v>
      </c>
      <c r="CO864">
        <v>0</v>
      </c>
      <c r="CP864">
        <f t="shared" si="778"/>
        <v>1097.47</v>
      </c>
      <c r="CQ864">
        <f t="shared" si="779"/>
        <v>22.51</v>
      </c>
      <c r="CR864">
        <f t="shared" si="801"/>
        <v>0</v>
      </c>
      <c r="CS864">
        <f t="shared" si="780"/>
        <v>0</v>
      </c>
      <c r="CT864">
        <f t="shared" si="781"/>
        <v>5942</v>
      </c>
      <c r="CU864">
        <f t="shared" si="782"/>
        <v>0</v>
      </c>
      <c r="CV864">
        <f t="shared" si="783"/>
        <v>11.1</v>
      </c>
      <c r="CW864">
        <f t="shared" si="784"/>
        <v>0</v>
      </c>
      <c r="CX864">
        <f t="shared" si="785"/>
        <v>0</v>
      </c>
      <c r="CY864">
        <f t="shared" si="786"/>
        <v>765.3309999999999</v>
      </c>
      <c r="CZ864">
        <f t="shared" si="787"/>
        <v>109.333</v>
      </c>
      <c r="DC864" t="s">
        <v>3</v>
      </c>
      <c r="DD864" t="s">
        <v>3</v>
      </c>
      <c r="DE864" t="s">
        <v>3</v>
      </c>
      <c r="DF864" t="s">
        <v>3</v>
      </c>
      <c r="DG864" t="s">
        <v>3</v>
      </c>
      <c r="DH864" t="s">
        <v>3</v>
      </c>
      <c r="DI864" t="s">
        <v>3</v>
      </c>
      <c r="DJ864" t="s">
        <v>3</v>
      </c>
      <c r="DK864" t="s">
        <v>3</v>
      </c>
      <c r="DL864" t="s">
        <v>3</v>
      </c>
      <c r="DM864" t="s">
        <v>3</v>
      </c>
      <c r="DN864">
        <v>0</v>
      </c>
      <c r="DO864">
        <v>0</v>
      </c>
      <c r="DP864">
        <v>1</v>
      </c>
      <c r="DQ864">
        <v>1</v>
      </c>
      <c r="DU864">
        <v>1003</v>
      </c>
      <c r="DV864" t="s">
        <v>20</v>
      </c>
      <c r="DW864" t="s">
        <v>20</v>
      </c>
      <c r="DX864">
        <v>100</v>
      </c>
      <c r="DZ864" t="s">
        <v>3</v>
      </c>
      <c r="EA864" t="s">
        <v>3</v>
      </c>
      <c r="EB864" t="s">
        <v>3</v>
      </c>
      <c r="EC864" t="s">
        <v>3</v>
      </c>
      <c r="EE864">
        <v>1441815344</v>
      </c>
      <c r="EF864">
        <v>1</v>
      </c>
      <c r="EG864" t="s">
        <v>23</v>
      </c>
      <c r="EH864">
        <v>0</v>
      </c>
      <c r="EI864" t="s">
        <v>3</v>
      </c>
      <c r="EJ864">
        <v>4</v>
      </c>
      <c r="EK864">
        <v>0</v>
      </c>
      <c r="EL864" t="s">
        <v>24</v>
      </c>
      <c r="EM864" t="s">
        <v>25</v>
      </c>
      <c r="EO864" t="s">
        <v>3</v>
      </c>
      <c r="EQ864">
        <v>1310720</v>
      </c>
      <c r="ER864">
        <v>5964.51</v>
      </c>
      <c r="ES864">
        <v>22.51</v>
      </c>
      <c r="ET864">
        <v>0</v>
      </c>
      <c r="EU864">
        <v>0</v>
      </c>
      <c r="EV864">
        <v>5942</v>
      </c>
      <c r="EW864">
        <v>11.1</v>
      </c>
      <c r="EX864">
        <v>0</v>
      </c>
      <c r="EY864">
        <v>0</v>
      </c>
      <c r="FQ864">
        <v>0</v>
      </c>
      <c r="FR864">
        <f t="shared" si="788"/>
        <v>0</v>
      </c>
      <c r="FS864">
        <v>0</v>
      </c>
      <c r="FX864">
        <v>70</v>
      </c>
      <c r="FY864">
        <v>10</v>
      </c>
      <c r="GA864" t="s">
        <v>3</v>
      </c>
      <c r="GD864">
        <v>0</v>
      </c>
      <c r="GF864">
        <v>2025558267</v>
      </c>
      <c r="GG864">
        <v>2</v>
      </c>
      <c r="GH864">
        <v>1</v>
      </c>
      <c r="GI864">
        <v>-2</v>
      </c>
      <c r="GJ864">
        <v>0</v>
      </c>
      <c r="GK864">
        <f>ROUND(R864*(R12)/100,2)</f>
        <v>0</v>
      </c>
      <c r="GL864">
        <f t="shared" si="789"/>
        <v>0</v>
      </c>
      <c r="GM864">
        <f t="shared" si="790"/>
        <v>1972.13</v>
      </c>
      <c r="GN864">
        <f t="shared" si="791"/>
        <v>0</v>
      </c>
      <c r="GO864">
        <f t="shared" si="792"/>
        <v>0</v>
      </c>
      <c r="GP864">
        <f t="shared" si="793"/>
        <v>1972.13</v>
      </c>
      <c r="GR864">
        <v>0</v>
      </c>
      <c r="GS864">
        <v>3</v>
      </c>
      <c r="GT864">
        <v>0</v>
      </c>
      <c r="GU864" t="s">
        <v>3</v>
      </c>
      <c r="GV864">
        <f t="shared" si="794"/>
        <v>0</v>
      </c>
      <c r="GW864">
        <v>1</v>
      </c>
      <c r="GX864">
        <f t="shared" si="795"/>
        <v>0</v>
      </c>
      <c r="HA864">
        <v>0</v>
      </c>
      <c r="HB864">
        <v>0</v>
      </c>
      <c r="HC864">
        <f t="shared" si="796"/>
        <v>0</v>
      </c>
      <c r="HE864" t="s">
        <v>3</v>
      </c>
      <c r="HF864" t="s">
        <v>3</v>
      </c>
      <c r="HM864" t="s">
        <v>3</v>
      </c>
      <c r="HN864" t="s">
        <v>3</v>
      </c>
      <c r="HO864" t="s">
        <v>3</v>
      </c>
      <c r="HP864" t="s">
        <v>3</v>
      </c>
      <c r="HQ864" t="s">
        <v>3</v>
      </c>
      <c r="IK864">
        <v>0</v>
      </c>
    </row>
    <row r="865" spans="1:245" x14ac:dyDescent="0.2">
      <c r="A865">
        <v>17</v>
      </c>
      <c r="B865">
        <v>1</v>
      </c>
      <c r="D865">
        <f>ROW(EtalonRes!A666)</f>
        <v>666</v>
      </c>
      <c r="E865" t="s">
        <v>3</v>
      </c>
      <c r="F865" t="s">
        <v>567</v>
      </c>
      <c r="G865" t="s">
        <v>568</v>
      </c>
      <c r="H865" t="s">
        <v>20</v>
      </c>
      <c r="I865">
        <f>ROUND(ROUND((41+5+41+5+41+5+41+5)*0.1/100,9),9)</f>
        <v>0.184</v>
      </c>
      <c r="J865">
        <v>0</v>
      </c>
      <c r="K865">
        <f>ROUND(ROUND((41+5+41+5+41+5+41+5)*0.1/100,9),9)</f>
        <v>0.184</v>
      </c>
      <c r="O865">
        <f t="shared" si="764"/>
        <v>37.43</v>
      </c>
      <c r="P865">
        <f t="shared" si="765"/>
        <v>0</v>
      </c>
      <c r="Q865">
        <f t="shared" si="766"/>
        <v>0</v>
      </c>
      <c r="R865">
        <f t="shared" si="767"/>
        <v>0</v>
      </c>
      <c r="S865">
        <f t="shared" si="768"/>
        <v>37.43</v>
      </c>
      <c r="T865">
        <f t="shared" si="769"/>
        <v>0</v>
      </c>
      <c r="U865">
        <f t="shared" si="770"/>
        <v>6.9919999999999996E-2</v>
      </c>
      <c r="V865">
        <f t="shared" si="771"/>
        <v>0</v>
      </c>
      <c r="W865">
        <f t="shared" si="772"/>
        <v>0</v>
      </c>
      <c r="X865">
        <f t="shared" si="773"/>
        <v>26.2</v>
      </c>
      <c r="Y865">
        <f t="shared" si="774"/>
        <v>3.74</v>
      </c>
      <c r="AA865">
        <v>-1</v>
      </c>
      <c r="AB865">
        <f t="shared" si="775"/>
        <v>203.42</v>
      </c>
      <c r="AC865">
        <f t="shared" si="797"/>
        <v>0</v>
      </c>
      <c r="AD865">
        <f t="shared" si="798"/>
        <v>0</v>
      </c>
      <c r="AE865">
        <f t="shared" si="799"/>
        <v>0</v>
      </c>
      <c r="AF865">
        <f t="shared" si="799"/>
        <v>203.42</v>
      </c>
      <c r="AG865">
        <f t="shared" si="776"/>
        <v>0</v>
      </c>
      <c r="AH865">
        <f t="shared" si="800"/>
        <v>0.38</v>
      </c>
      <c r="AI865">
        <f t="shared" si="800"/>
        <v>0</v>
      </c>
      <c r="AJ865">
        <f t="shared" si="777"/>
        <v>0</v>
      </c>
      <c r="AK865">
        <v>203.42</v>
      </c>
      <c r="AL865">
        <v>0</v>
      </c>
      <c r="AM865">
        <v>0</v>
      </c>
      <c r="AN865">
        <v>0</v>
      </c>
      <c r="AO865">
        <v>203.42</v>
      </c>
      <c r="AP865">
        <v>0</v>
      </c>
      <c r="AQ865">
        <v>0.38</v>
      </c>
      <c r="AR865">
        <v>0</v>
      </c>
      <c r="AS865">
        <v>0</v>
      </c>
      <c r="AT865">
        <v>70</v>
      </c>
      <c r="AU865">
        <v>10</v>
      </c>
      <c r="AV865">
        <v>1</v>
      </c>
      <c r="AW865">
        <v>1</v>
      </c>
      <c r="AZ865">
        <v>1</v>
      </c>
      <c r="BA865">
        <v>1</v>
      </c>
      <c r="BB865">
        <v>1</v>
      </c>
      <c r="BC865">
        <v>1</v>
      </c>
      <c r="BD865" t="s">
        <v>3</v>
      </c>
      <c r="BE865" t="s">
        <v>3</v>
      </c>
      <c r="BF865" t="s">
        <v>3</v>
      </c>
      <c r="BG865" t="s">
        <v>3</v>
      </c>
      <c r="BH865">
        <v>0</v>
      </c>
      <c r="BI865">
        <v>4</v>
      </c>
      <c r="BJ865" t="s">
        <v>569</v>
      </c>
      <c r="BM865">
        <v>0</v>
      </c>
      <c r="BN865">
        <v>0</v>
      </c>
      <c r="BO865" t="s">
        <v>3</v>
      </c>
      <c r="BP865">
        <v>0</v>
      </c>
      <c r="BQ865">
        <v>1</v>
      </c>
      <c r="BR865">
        <v>0</v>
      </c>
      <c r="BS865">
        <v>1</v>
      </c>
      <c r="BT865">
        <v>1</v>
      </c>
      <c r="BU865">
        <v>1</v>
      </c>
      <c r="BV865">
        <v>1</v>
      </c>
      <c r="BW865">
        <v>1</v>
      </c>
      <c r="BX865">
        <v>1</v>
      </c>
      <c r="BY865" t="s">
        <v>3</v>
      </c>
      <c r="BZ865">
        <v>70</v>
      </c>
      <c r="CA865">
        <v>10</v>
      </c>
      <c r="CB865" t="s">
        <v>3</v>
      </c>
      <c r="CE865">
        <v>0</v>
      </c>
      <c r="CF865">
        <v>0</v>
      </c>
      <c r="CG865">
        <v>0</v>
      </c>
      <c r="CM865">
        <v>0</v>
      </c>
      <c r="CN865" t="s">
        <v>3</v>
      </c>
      <c r="CO865">
        <v>0</v>
      </c>
      <c r="CP865">
        <f t="shared" si="778"/>
        <v>37.43</v>
      </c>
      <c r="CQ865">
        <f t="shared" si="779"/>
        <v>0</v>
      </c>
      <c r="CR865">
        <f t="shared" si="801"/>
        <v>0</v>
      </c>
      <c r="CS865">
        <f t="shared" si="780"/>
        <v>0</v>
      </c>
      <c r="CT865">
        <f t="shared" si="781"/>
        <v>203.42</v>
      </c>
      <c r="CU865">
        <f t="shared" si="782"/>
        <v>0</v>
      </c>
      <c r="CV865">
        <f t="shared" si="783"/>
        <v>0.38</v>
      </c>
      <c r="CW865">
        <f t="shared" si="784"/>
        <v>0</v>
      </c>
      <c r="CX865">
        <f t="shared" si="785"/>
        <v>0</v>
      </c>
      <c r="CY865">
        <f t="shared" si="786"/>
        <v>26.201000000000001</v>
      </c>
      <c r="CZ865">
        <f t="shared" si="787"/>
        <v>3.7430000000000003</v>
      </c>
      <c r="DC865" t="s">
        <v>3</v>
      </c>
      <c r="DD865" t="s">
        <v>3</v>
      </c>
      <c r="DE865" t="s">
        <v>3</v>
      </c>
      <c r="DF865" t="s">
        <v>3</v>
      </c>
      <c r="DG865" t="s">
        <v>3</v>
      </c>
      <c r="DH865" t="s">
        <v>3</v>
      </c>
      <c r="DI865" t="s">
        <v>3</v>
      </c>
      <c r="DJ865" t="s">
        <v>3</v>
      </c>
      <c r="DK865" t="s">
        <v>3</v>
      </c>
      <c r="DL865" t="s">
        <v>3</v>
      </c>
      <c r="DM865" t="s">
        <v>3</v>
      </c>
      <c r="DN865">
        <v>0</v>
      </c>
      <c r="DO865">
        <v>0</v>
      </c>
      <c r="DP865">
        <v>1</v>
      </c>
      <c r="DQ865">
        <v>1</v>
      </c>
      <c r="DU865">
        <v>1003</v>
      </c>
      <c r="DV865" t="s">
        <v>20</v>
      </c>
      <c r="DW865" t="s">
        <v>20</v>
      </c>
      <c r="DX865">
        <v>100</v>
      </c>
      <c r="DZ865" t="s">
        <v>3</v>
      </c>
      <c r="EA865" t="s">
        <v>3</v>
      </c>
      <c r="EB865" t="s">
        <v>3</v>
      </c>
      <c r="EC865" t="s">
        <v>3</v>
      </c>
      <c r="EE865">
        <v>1441815344</v>
      </c>
      <c r="EF865">
        <v>1</v>
      </c>
      <c r="EG865" t="s">
        <v>23</v>
      </c>
      <c r="EH865">
        <v>0</v>
      </c>
      <c r="EI865" t="s">
        <v>3</v>
      </c>
      <c r="EJ865">
        <v>4</v>
      </c>
      <c r="EK865">
        <v>0</v>
      </c>
      <c r="EL865" t="s">
        <v>24</v>
      </c>
      <c r="EM865" t="s">
        <v>25</v>
      </c>
      <c r="EO865" t="s">
        <v>3</v>
      </c>
      <c r="EQ865">
        <v>1024</v>
      </c>
      <c r="ER865">
        <v>203.42</v>
      </c>
      <c r="ES865">
        <v>0</v>
      </c>
      <c r="ET865">
        <v>0</v>
      </c>
      <c r="EU865">
        <v>0</v>
      </c>
      <c r="EV865">
        <v>203.42</v>
      </c>
      <c r="EW865">
        <v>0.38</v>
      </c>
      <c r="EX865">
        <v>0</v>
      </c>
      <c r="EY865">
        <v>0</v>
      </c>
      <c r="FQ865">
        <v>0</v>
      </c>
      <c r="FR865">
        <f t="shared" si="788"/>
        <v>0</v>
      </c>
      <c r="FS865">
        <v>0</v>
      </c>
      <c r="FX865">
        <v>70</v>
      </c>
      <c r="FY865">
        <v>10</v>
      </c>
      <c r="GA865" t="s">
        <v>3</v>
      </c>
      <c r="GD865">
        <v>0</v>
      </c>
      <c r="GF865">
        <v>-1699704026</v>
      </c>
      <c r="GG865">
        <v>2</v>
      </c>
      <c r="GH865">
        <v>1</v>
      </c>
      <c r="GI865">
        <v>-2</v>
      </c>
      <c r="GJ865">
        <v>0</v>
      </c>
      <c r="GK865">
        <f>ROUND(R865*(R12)/100,2)</f>
        <v>0</v>
      </c>
      <c r="GL865">
        <f t="shared" si="789"/>
        <v>0</v>
      </c>
      <c r="GM865">
        <f t="shared" si="790"/>
        <v>67.37</v>
      </c>
      <c r="GN865">
        <f t="shared" si="791"/>
        <v>0</v>
      </c>
      <c r="GO865">
        <f t="shared" si="792"/>
        <v>0</v>
      </c>
      <c r="GP865">
        <f t="shared" si="793"/>
        <v>67.37</v>
      </c>
      <c r="GR865">
        <v>0</v>
      </c>
      <c r="GS865">
        <v>3</v>
      </c>
      <c r="GT865">
        <v>0</v>
      </c>
      <c r="GU865" t="s">
        <v>3</v>
      </c>
      <c r="GV865">
        <f t="shared" si="794"/>
        <v>0</v>
      </c>
      <c r="GW865">
        <v>1</v>
      </c>
      <c r="GX865">
        <f t="shared" si="795"/>
        <v>0</v>
      </c>
      <c r="HA865">
        <v>0</v>
      </c>
      <c r="HB865">
        <v>0</v>
      </c>
      <c r="HC865">
        <f t="shared" si="796"/>
        <v>0</v>
      </c>
      <c r="HE865" t="s">
        <v>3</v>
      </c>
      <c r="HF865" t="s">
        <v>3</v>
      </c>
      <c r="HM865" t="s">
        <v>3</v>
      </c>
      <c r="HN865" t="s">
        <v>3</v>
      </c>
      <c r="HO865" t="s">
        <v>3</v>
      </c>
      <c r="HP865" t="s">
        <v>3</v>
      </c>
      <c r="HQ865" t="s">
        <v>3</v>
      </c>
      <c r="IK865">
        <v>0</v>
      </c>
    </row>
    <row r="867" spans="1:245" x14ac:dyDescent="0.2">
      <c r="A867" s="2">
        <v>51</v>
      </c>
      <c r="B867" s="2">
        <f>B846</f>
        <v>1</v>
      </c>
      <c r="C867" s="2">
        <f>A846</f>
        <v>5</v>
      </c>
      <c r="D867" s="2">
        <f>ROW(A846)</f>
        <v>846</v>
      </c>
      <c r="E867" s="2"/>
      <c r="F867" s="2" t="str">
        <f>IF(F846&lt;&gt;"",F846,"")</f>
        <v>Новый подраздел</v>
      </c>
      <c r="G867" s="2" t="str">
        <f>IF(G846&lt;&gt;"",G846,"")</f>
        <v>Электроснабжение ИТП</v>
      </c>
      <c r="H867" s="2">
        <v>0</v>
      </c>
      <c r="I867" s="2"/>
      <c r="J867" s="2"/>
      <c r="K867" s="2"/>
      <c r="L867" s="2"/>
      <c r="M867" s="2"/>
      <c r="N867" s="2"/>
      <c r="O867" s="2">
        <f t="shared" ref="O867:T867" si="802">ROUND(AB867,2)</f>
        <v>50099.9</v>
      </c>
      <c r="P867" s="2">
        <f t="shared" si="802"/>
        <v>658.26</v>
      </c>
      <c r="Q867" s="2">
        <f t="shared" si="802"/>
        <v>208.48</v>
      </c>
      <c r="R867" s="2">
        <f t="shared" si="802"/>
        <v>132.19999999999999</v>
      </c>
      <c r="S867" s="2">
        <f t="shared" si="802"/>
        <v>49233.16</v>
      </c>
      <c r="T867" s="2">
        <f t="shared" si="802"/>
        <v>0</v>
      </c>
      <c r="U867" s="2">
        <f>AH867</f>
        <v>80.243008000000003</v>
      </c>
      <c r="V867" s="2">
        <f>AI867</f>
        <v>0</v>
      </c>
      <c r="W867" s="2">
        <f>ROUND(AJ867,2)</f>
        <v>0</v>
      </c>
      <c r="X867" s="2">
        <f>ROUND(AK867,2)</f>
        <v>34463.22</v>
      </c>
      <c r="Y867" s="2">
        <f>ROUND(AL867,2)</f>
        <v>4923.32</v>
      </c>
      <c r="Z867" s="2"/>
      <c r="AA867" s="2"/>
      <c r="AB867" s="2">
        <f>ROUND(SUMIF(AA850:AA865,"=1472224561",O850:O865),2)</f>
        <v>50099.9</v>
      </c>
      <c r="AC867" s="2">
        <f>ROUND(SUMIF(AA850:AA865,"=1472224561",P850:P865),2)</f>
        <v>658.26</v>
      </c>
      <c r="AD867" s="2">
        <f>ROUND(SUMIF(AA850:AA865,"=1472224561",Q850:Q865),2)</f>
        <v>208.48</v>
      </c>
      <c r="AE867" s="2">
        <f>ROUND(SUMIF(AA850:AA865,"=1472224561",R850:R865),2)</f>
        <v>132.19999999999999</v>
      </c>
      <c r="AF867" s="2">
        <f>ROUND(SUMIF(AA850:AA865,"=1472224561",S850:S865),2)</f>
        <v>49233.16</v>
      </c>
      <c r="AG867" s="2">
        <f>ROUND(SUMIF(AA850:AA865,"=1472224561",T850:T865),2)</f>
        <v>0</v>
      </c>
      <c r="AH867" s="2">
        <f>SUMIF(AA850:AA865,"=1472224561",U850:U865)</f>
        <v>80.243008000000003</v>
      </c>
      <c r="AI867" s="2">
        <f>SUMIF(AA850:AA865,"=1472224561",V850:V865)</f>
        <v>0</v>
      </c>
      <c r="AJ867" s="2">
        <f>ROUND(SUMIF(AA850:AA865,"=1472224561",W850:W865),2)</f>
        <v>0</v>
      </c>
      <c r="AK867" s="2">
        <f>ROUND(SUMIF(AA850:AA865,"=1472224561",X850:X865),2)</f>
        <v>34463.22</v>
      </c>
      <c r="AL867" s="2">
        <f>ROUND(SUMIF(AA850:AA865,"=1472224561",Y850:Y865),2)</f>
        <v>4923.32</v>
      </c>
      <c r="AM867" s="2"/>
      <c r="AN867" s="2"/>
      <c r="AO867" s="2">
        <f t="shared" ref="AO867:BD867" si="803">ROUND(BX867,2)</f>
        <v>0</v>
      </c>
      <c r="AP867" s="2">
        <f t="shared" si="803"/>
        <v>0</v>
      </c>
      <c r="AQ867" s="2">
        <f t="shared" si="803"/>
        <v>0</v>
      </c>
      <c r="AR867" s="2">
        <f t="shared" si="803"/>
        <v>89629.22</v>
      </c>
      <c r="AS867" s="2">
        <f t="shared" si="803"/>
        <v>0</v>
      </c>
      <c r="AT867" s="2">
        <f t="shared" si="803"/>
        <v>0</v>
      </c>
      <c r="AU867" s="2">
        <f t="shared" si="803"/>
        <v>89629.22</v>
      </c>
      <c r="AV867" s="2">
        <f t="shared" si="803"/>
        <v>658.26</v>
      </c>
      <c r="AW867" s="2">
        <f t="shared" si="803"/>
        <v>658.26</v>
      </c>
      <c r="AX867" s="2">
        <f t="shared" si="803"/>
        <v>0</v>
      </c>
      <c r="AY867" s="2">
        <f t="shared" si="803"/>
        <v>658.26</v>
      </c>
      <c r="AZ867" s="2">
        <f t="shared" si="803"/>
        <v>0</v>
      </c>
      <c r="BA867" s="2">
        <f t="shared" si="803"/>
        <v>0</v>
      </c>
      <c r="BB867" s="2">
        <f t="shared" si="803"/>
        <v>0</v>
      </c>
      <c r="BC867" s="2">
        <f t="shared" si="803"/>
        <v>0</v>
      </c>
      <c r="BD867" s="2">
        <f t="shared" si="803"/>
        <v>0</v>
      </c>
      <c r="BE867" s="2"/>
      <c r="BF867" s="2"/>
      <c r="BG867" s="2"/>
      <c r="BH867" s="2"/>
      <c r="BI867" s="2"/>
      <c r="BJ867" s="2"/>
      <c r="BK867" s="2"/>
      <c r="BL867" s="2"/>
      <c r="BM867" s="2"/>
      <c r="BN867" s="2"/>
      <c r="BO867" s="2"/>
      <c r="BP867" s="2"/>
      <c r="BQ867" s="2"/>
      <c r="BR867" s="2"/>
      <c r="BS867" s="2"/>
      <c r="BT867" s="2"/>
      <c r="BU867" s="2"/>
      <c r="BV867" s="2"/>
      <c r="BW867" s="2"/>
      <c r="BX867" s="2">
        <f>ROUND(SUMIF(AA850:AA865,"=1472224561",FQ850:FQ865),2)</f>
        <v>0</v>
      </c>
      <c r="BY867" s="2">
        <f>ROUND(SUMIF(AA850:AA865,"=1472224561",FR850:FR865),2)</f>
        <v>0</v>
      </c>
      <c r="BZ867" s="2">
        <f>ROUND(SUMIF(AA850:AA865,"=1472224561",GL850:GL865),2)</f>
        <v>0</v>
      </c>
      <c r="CA867" s="2">
        <f>ROUND(SUMIF(AA850:AA865,"=1472224561",GM850:GM865),2)</f>
        <v>89629.22</v>
      </c>
      <c r="CB867" s="2">
        <f>ROUND(SUMIF(AA850:AA865,"=1472224561",GN850:GN865),2)</f>
        <v>0</v>
      </c>
      <c r="CC867" s="2">
        <f>ROUND(SUMIF(AA850:AA865,"=1472224561",GO850:GO865),2)</f>
        <v>0</v>
      </c>
      <c r="CD867" s="2">
        <f>ROUND(SUMIF(AA850:AA865,"=1472224561",GP850:GP865),2)</f>
        <v>89629.22</v>
      </c>
      <c r="CE867" s="2">
        <f>AC867-BX867</f>
        <v>658.26</v>
      </c>
      <c r="CF867" s="2">
        <f>AC867-BY867</f>
        <v>658.26</v>
      </c>
      <c r="CG867" s="2">
        <f>BX867-BZ867</f>
        <v>0</v>
      </c>
      <c r="CH867" s="2">
        <f>AC867-BX867-BY867+BZ867</f>
        <v>658.26</v>
      </c>
      <c r="CI867" s="2">
        <f>BY867-BZ867</f>
        <v>0</v>
      </c>
      <c r="CJ867" s="2">
        <f>ROUND(SUMIF(AA850:AA865,"=1472224561",GX850:GX865),2)</f>
        <v>0</v>
      </c>
      <c r="CK867" s="2">
        <f>ROUND(SUMIF(AA850:AA865,"=1472224561",GY850:GY865),2)</f>
        <v>0</v>
      </c>
      <c r="CL867" s="2">
        <f>ROUND(SUMIF(AA850:AA865,"=1472224561",GZ850:GZ865),2)</f>
        <v>0</v>
      </c>
      <c r="CM867" s="2">
        <f>ROUND(SUMIF(AA850:AA865,"=1472224561",HD850:HD865),2)</f>
        <v>0</v>
      </c>
      <c r="CN867" s="2"/>
      <c r="CO867" s="2"/>
      <c r="CP867" s="2"/>
      <c r="CQ867" s="2"/>
      <c r="CR867" s="2"/>
      <c r="CS867" s="2"/>
      <c r="CT867" s="2"/>
      <c r="CU867" s="2"/>
      <c r="CV867" s="2"/>
      <c r="CW867" s="2"/>
      <c r="CX867" s="2"/>
      <c r="CY867" s="2"/>
      <c r="CZ867" s="2"/>
      <c r="DA867" s="2"/>
      <c r="DB867" s="2"/>
      <c r="DC867" s="2"/>
      <c r="DD867" s="2"/>
      <c r="DE867" s="2"/>
      <c r="DF867" s="2"/>
      <c r="DG867" s="3"/>
      <c r="DH867" s="3"/>
      <c r="DI867" s="3"/>
      <c r="DJ867" s="3"/>
      <c r="DK867" s="3"/>
      <c r="DL867" s="3"/>
      <c r="DM867" s="3"/>
      <c r="DN867" s="3"/>
      <c r="DO867" s="3"/>
      <c r="DP867" s="3"/>
      <c r="DQ867" s="3"/>
      <c r="DR867" s="3"/>
      <c r="DS867" s="3"/>
      <c r="DT867" s="3"/>
      <c r="DU867" s="3"/>
      <c r="DV867" s="3"/>
      <c r="DW867" s="3"/>
      <c r="DX867" s="3"/>
      <c r="DY867" s="3"/>
      <c r="DZ867" s="3"/>
      <c r="EA867" s="3"/>
      <c r="EB867" s="3"/>
      <c r="EC867" s="3"/>
      <c r="ED867" s="3"/>
      <c r="EE867" s="3"/>
      <c r="EF867" s="3"/>
      <c r="EG867" s="3"/>
      <c r="EH867" s="3"/>
      <c r="EI867" s="3"/>
      <c r="EJ867" s="3"/>
      <c r="EK867" s="3"/>
      <c r="EL867" s="3"/>
      <c r="EM867" s="3"/>
      <c r="EN867" s="3"/>
      <c r="EO867" s="3"/>
      <c r="EP867" s="3"/>
      <c r="EQ867" s="3"/>
      <c r="ER867" s="3"/>
      <c r="ES867" s="3"/>
      <c r="ET867" s="3"/>
      <c r="EU867" s="3"/>
      <c r="EV867" s="3"/>
      <c r="EW867" s="3"/>
      <c r="EX867" s="3"/>
      <c r="EY867" s="3"/>
      <c r="EZ867" s="3"/>
      <c r="FA867" s="3"/>
      <c r="FB867" s="3"/>
      <c r="FC867" s="3"/>
      <c r="FD867" s="3"/>
      <c r="FE867" s="3"/>
      <c r="FF867" s="3"/>
      <c r="FG867" s="3"/>
      <c r="FH867" s="3"/>
      <c r="FI867" s="3"/>
      <c r="FJ867" s="3"/>
      <c r="FK867" s="3"/>
      <c r="FL867" s="3"/>
      <c r="FM867" s="3"/>
      <c r="FN867" s="3"/>
      <c r="FO867" s="3"/>
      <c r="FP867" s="3"/>
      <c r="FQ867" s="3"/>
      <c r="FR867" s="3"/>
      <c r="FS867" s="3"/>
      <c r="FT867" s="3"/>
      <c r="FU867" s="3"/>
      <c r="FV867" s="3"/>
      <c r="FW867" s="3"/>
      <c r="FX867" s="3"/>
      <c r="FY867" s="3"/>
      <c r="FZ867" s="3"/>
      <c r="GA867" s="3"/>
      <c r="GB867" s="3"/>
      <c r="GC867" s="3"/>
      <c r="GD867" s="3"/>
      <c r="GE867" s="3"/>
      <c r="GF867" s="3"/>
      <c r="GG867" s="3"/>
      <c r="GH867" s="3"/>
      <c r="GI867" s="3"/>
      <c r="GJ867" s="3"/>
      <c r="GK867" s="3"/>
      <c r="GL867" s="3"/>
      <c r="GM867" s="3"/>
      <c r="GN867" s="3"/>
      <c r="GO867" s="3"/>
      <c r="GP867" s="3"/>
      <c r="GQ867" s="3"/>
      <c r="GR867" s="3"/>
      <c r="GS867" s="3"/>
      <c r="GT867" s="3"/>
      <c r="GU867" s="3"/>
      <c r="GV867" s="3"/>
      <c r="GW867" s="3"/>
      <c r="GX867" s="3">
        <v>0</v>
      </c>
    </row>
    <row r="869" spans="1:245" x14ac:dyDescent="0.2">
      <c r="A869" s="4">
        <v>50</v>
      </c>
      <c r="B869" s="4">
        <v>0</v>
      </c>
      <c r="C869" s="4">
        <v>0</v>
      </c>
      <c r="D869" s="4">
        <v>1</v>
      </c>
      <c r="E869" s="4">
        <v>201</v>
      </c>
      <c r="F869" s="4">
        <f>ROUND(Source!O867,O869)</f>
        <v>50099.9</v>
      </c>
      <c r="G869" s="4" t="s">
        <v>46</v>
      </c>
      <c r="H869" s="4" t="s">
        <v>47</v>
      </c>
      <c r="I869" s="4"/>
      <c r="J869" s="4"/>
      <c r="K869" s="4">
        <v>201</v>
      </c>
      <c r="L869" s="4">
        <v>1</v>
      </c>
      <c r="M869" s="4">
        <v>3</v>
      </c>
      <c r="N869" s="4" t="s">
        <v>3</v>
      </c>
      <c r="O869" s="4">
        <v>2</v>
      </c>
      <c r="P869" s="4"/>
      <c r="Q869" s="4"/>
      <c r="R869" s="4"/>
      <c r="S869" s="4"/>
      <c r="T869" s="4"/>
      <c r="U869" s="4"/>
      <c r="V869" s="4"/>
      <c r="W869" s="4">
        <v>1340.19</v>
      </c>
      <c r="X869" s="4">
        <v>1</v>
      </c>
      <c r="Y869" s="4">
        <v>1340.19</v>
      </c>
      <c r="Z869" s="4"/>
      <c r="AA869" s="4"/>
      <c r="AB869" s="4"/>
    </row>
    <row r="870" spans="1:245" x14ac:dyDescent="0.2">
      <c r="A870" s="4">
        <v>50</v>
      </c>
      <c r="B870" s="4">
        <v>0</v>
      </c>
      <c r="C870" s="4">
        <v>0</v>
      </c>
      <c r="D870" s="4">
        <v>1</v>
      </c>
      <c r="E870" s="4">
        <v>202</v>
      </c>
      <c r="F870" s="4">
        <f>ROUND(Source!P867,O870)</f>
        <v>658.26</v>
      </c>
      <c r="G870" s="4" t="s">
        <v>48</v>
      </c>
      <c r="H870" s="4" t="s">
        <v>49</v>
      </c>
      <c r="I870" s="4"/>
      <c r="J870" s="4"/>
      <c r="K870" s="4">
        <v>202</v>
      </c>
      <c r="L870" s="4">
        <v>2</v>
      </c>
      <c r="M870" s="4">
        <v>3</v>
      </c>
      <c r="N870" s="4" t="s">
        <v>3</v>
      </c>
      <c r="O870" s="4">
        <v>2</v>
      </c>
      <c r="P870" s="4"/>
      <c r="Q870" s="4"/>
      <c r="R870" s="4"/>
      <c r="S870" s="4"/>
      <c r="T870" s="4"/>
      <c r="U870" s="4"/>
      <c r="V870" s="4"/>
      <c r="W870" s="4">
        <v>4.84</v>
      </c>
      <c r="X870" s="4">
        <v>1</v>
      </c>
      <c r="Y870" s="4">
        <v>4.84</v>
      </c>
      <c r="Z870" s="4"/>
      <c r="AA870" s="4"/>
      <c r="AB870" s="4"/>
    </row>
    <row r="871" spans="1:245" x14ac:dyDescent="0.2">
      <c r="A871" s="4">
        <v>50</v>
      </c>
      <c r="B871" s="4">
        <v>0</v>
      </c>
      <c r="C871" s="4">
        <v>0</v>
      </c>
      <c r="D871" s="4">
        <v>1</v>
      </c>
      <c r="E871" s="4">
        <v>222</v>
      </c>
      <c r="F871" s="4">
        <f>ROUND(Source!AO867,O871)</f>
        <v>0</v>
      </c>
      <c r="G871" s="4" t="s">
        <v>50</v>
      </c>
      <c r="H871" s="4" t="s">
        <v>51</v>
      </c>
      <c r="I871" s="4"/>
      <c r="J871" s="4"/>
      <c r="K871" s="4">
        <v>222</v>
      </c>
      <c r="L871" s="4">
        <v>3</v>
      </c>
      <c r="M871" s="4">
        <v>3</v>
      </c>
      <c r="N871" s="4" t="s">
        <v>3</v>
      </c>
      <c r="O871" s="4">
        <v>2</v>
      </c>
      <c r="P871" s="4"/>
      <c r="Q871" s="4"/>
      <c r="R871" s="4"/>
      <c r="S871" s="4"/>
      <c r="T871" s="4"/>
      <c r="U871" s="4"/>
      <c r="V871" s="4"/>
      <c r="W871" s="4">
        <v>0</v>
      </c>
      <c r="X871" s="4">
        <v>1</v>
      </c>
      <c r="Y871" s="4">
        <v>0</v>
      </c>
      <c r="Z871" s="4"/>
      <c r="AA871" s="4"/>
      <c r="AB871" s="4"/>
    </row>
    <row r="872" spans="1:245" x14ac:dyDescent="0.2">
      <c r="A872" s="4">
        <v>50</v>
      </c>
      <c r="B872" s="4">
        <v>0</v>
      </c>
      <c r="C872" s="4">
        <v>0</v>
      </c>
      <c r="D872" s="4">
        <v>1</v>
      </c>
      <c r="E872" s="4">
        <v>225</v>
      </c>
      <c r="F872" s="4">
        <f>ROUND(Source!AV867,O872)</f>
        <v>658.26</v>
      </c>
      <c r="G872" s="4" t="s">
        <v>52</v>
      </c>
      <c r="H872" s="4" t="s">
        <v>53</v>
      </c>
      <c r="I872" s="4"/>
      <c r="J872" s="4"/>
      <c r="K872" s="4">
        <v>225</v>
      </c>
      <c r="L872" s="4">
        <v>4</v>
      </c>
      <c r="M872" s="4">
        <v>3</v>
      </c>
      <c r="N872" s="4" t="s">
        <v>3</v>
      </c>
      <c r="O872" s="4">
        <v>2</v>
      </c>
      <c r="P872" s="4"/>
      <c r="Q872" s="4"/>
      <c r="R872" s="4"/>
      <c r="S872" s="4"/>
      <c r="T872" s="4"/>
      <c r="U872" s="4"/>
      <c r="V872" s="4"/>
      <c r="W872" s="4">
        <v>4.84</v>
      </c>
      <c r="X872" s="4">
        <v>1</v>
      </c>
      <c r="Y872" s="4">
        <v>4.84</v>
      </c>
      <c r="Z872" s="4"/>
      <c r="AA872" s="4"/>
      <c r="AB872" s="4"/>
    </row>
    <row r="873" spans="1:245" x14ac:dyDescent="0.2">
      <c r="A873" s="4">
        <v>50</v>
      </c>
      <c r="B873" s="4">
        <v>0</v>
      </c>
      <c r="C873" s="4">
        <v>0</v>
      </c>
      <c r="D873" s="4">
        <v>1</v>
      </c>
      <c r="E873" s="4">
        <v>226</v>
      </c>
      <c r="F873" s="4">
        <f>ROUND(Source!AW867,O873)</f>
        <v>658.26</v>
      </c>
      <c r="G873" s="4" t="s">
        <v>54</v>
      </c>
      <c r="H873" s="4" t="s">
        <v>55</v>
      </c>
      <c r="I873" s="4"/>
      <c r="J873" s="4"/>
      <c r="K873" s="4">
        <v>226</v>
      </c>
      <c r="L873" s="4">
        <v>5</v>
      </c>
      <c r="M873" s="4">
        <v>3</v>
      </c>
      <c r="N873" s="4" t="s">
        <v>3</v>
      </c>
      <c r="O873" s="4">
        <v>2</v>
      </c>
      <c r="P873" s="4"/>
      <c r="Q873" s="4"/>
      <c r="R873" s="4"/>
      <c r="S873" s="4"/>
      <c r="T873" s="4"/>
      <c r="U873" s="4"/>
      <c r="V873" s="4"/>
      <c r="W873" s="4">
        <v>4.84</v>
      </c>
      <c r="X873" s="4">
        <v>1</v>
      </c>
      <c r="Y873" s="4">
        <v>4.84</v>
      </c>
      <c r="Z873" s="4"/>
      <c r="AA873" s="4"/>
      <c r="AB873" s="4"/>
    </row>
    <row r="874" spans="1:245" x14ac:dyDescent="0.2">
      <c r="A874" s="4">
        <v>50</v>
      </c>
      <c r="B874" s="4">
        <v>0</v>
      </c>
      <c r="C874" s="4">
        <v>0</v>
      </c>
      <c r="D874" s="4">
        <v>1</v>
      </c>
      <c r="E874" s="4">
        <v>227</v>
      </c>
      <c r="F874" s="4">
        <f>ROUND(Source!AX867,O874)</f>
        <v>0</v>
      </c>
      <c r="G874" s="4" t="s">
        <v>56</v>
      </c>
      <c r="H874" s="4" t="s">
        <v>57</v>
      </c>
      <c r="I874" s="4"/>
      <c r="J874" s="4"/>
      <c r="K874" s="4">
        <v>227</v>
      </c>
      <c r="L874" s="4">
        <v>6</v>
      </c>
      <c r="M874" s="4">
        <v>3</v>
      </c>
      <c r="N874" s="4" t="s">
        <v>3</v>
      </c>
      <c r="O874" s="4">
        <v>2</v>
      </c>
      <c r="P874" s="4"/>
      <c r="Q874" s="4"/>
      <c r="R874" s="4"/>
      <c r="S874" s="4"/>
      <c r="T874" s="4"/>
      <c r="U874" s="4"/>
      <c r="V874" s="4"/>
      <c r="W874" s="4">
        <v>0</v>
      </c>
      <c r="X874" s="4">
        <v>1</v>
      </c>
      <c r="Y874" s="4">
        <v>0</v>
      </c>
      <c r="Z874" s="4"/>
      <c r="AA874" s="4"/>
      <c r="AB874" s="4"/>
    </row>
    <row r="875" spans="1:245" x14ac:dyDescent="0.2">
      <c r="A875" s="4">
        <v>50</v>
      </c>
      <c r="B875" s="4">
        <v>0</v>
      </c>
      <c r="C875" s="4">
        <v>0</v>
      </c>
      <c r="D875" s="4">
        <v>1</v>
      </c>
      <c r="E875" s="4">
        <v>228</v>
      </c>
      <c r="F875" s="4">
        <f>ROUND(Source!AY867,O875)</f>
        <v>658.26</v>
      </c>
      <c r="G875" s="4" t="s">
        <v>58</v>
      </c>
      <c r="H875" s="4" t="s">
        <v>59</v>
      </c>
      <c r="I875" s="4"/>
      <c r="J875" s="4"/>
      <c r="K875" s="4">
        <v>228</v>
      </c>
      <c r="L875" s="4">
        <v>7</v>
      </c>
      <c r="M875" s="4">
        <v>3</v>
      </c>
      <c r="N875" s="4" t="s">
        <v>3</v>
      </c>
      <c r="O875" s="4">
        <v>2</v>
      </c>
      <c r="P875" s="4"/>
      <c r="Q875" s="4"/>
      <c r="R875" s="4"/>
      <c r="S875" s="4"/>
      <c r="T875" s="4"/>
      <c r="U875" s="4"/>
      <c r="V875" s="4"/>
      <c r="W875" s="4">
        <v>4.84</v>
      </c>
      <c r="X875" s="4">
        <v>1</v>
      </c>
      <c r="Y875" s="4">
        <v>4.84</v>
      </c>
      <c r="Z875" s="4"/>
      <c r="AA875" s="4"/>
      <c r="AB875" s="4"/>
    </row>
    <row r="876" spans="1:245" x14ac:dyDescent="0.2">
      <c r="A876" s="4">
        <v>50</v>
      </c>
      <c r="B876" s="4">
        <v>0</v>
      </c>
      <c r="C876" s="4">
        <v>0</v>
      </c>
      <c r="D876" s="4">
        <v>1</v>
      </c>
      <c r="E876" s="4">
        <v>216</v>
      </c>
      <c r="F876" s="4">
        <f>ROUND(Source!AP867,O876)</f>
        <v>0</v>
      </c>
      <c r="G876" s="4" t="s">
        <v>60</v>
      </c>
      <c r="H876" s="4" t="s">
        <v>61</v>
      </c>
      <c r="I876" s="4"/>
      <c r="J876" s="4"/>
      <c r="K876" s="4">
        <v>216</v>
      </c>
      <c r="L876" s="4">
        <v>8</v>
      </c>
      <c r="M876" s="4">
        <v>3</v>
      </c>
      <c r="N876" s="4" t="s">
        <v>3</v>
      </c>
      <c r="O876" s="4">
        <v>2</v>
      </c>
      <c r="P876" s="4"/>
      <c r="Q876" s="4"/>
      <c r="R876" s="4"/>
      <c r="S876" s="4"/>
      <c r="T876" s="4"/>
      <c r="U876" s="4"/>
      <c r="V876" s="4"/>
      <c r="W876" s="4">
        <v>0</v>
      </c>
      <c r="X876" s="4">
        <v>1</v>
      </c>
      <c r="Y876" s="4">
        <v>0</v>
      </c>
      <c r="Z876" s="4"/>
      <c r="AA876" s="4"/>
      <c r="AB876" s="4"/>
    </row>
    <row r="877" spans="1:245" x14ac:dyDescent="0.2">
      <c r="A877" s="4">
        <v>50</v>
      </c>
      <c r="B877" s="4">
        <v>0</v>
      </c>
      <c r="C877" s="4">
        <v>0</v>
      </c>
      <c r="D877" s="4">
        <v>1</v>
      </c>
      <c r="E877" s="4">
        <v>223</v>
      </c>
      <c r="F877" s="4">
        <f>ROUND(Source!AQ867,O877)</f>
        <v>0</v>
      </c>
      <c r="G877" s="4" t="s">
        <v>62</v>
      </c>
      <c r="H877" s="4" t="s">
        <v>63</v>
      </c>
      <c r="I877" s="4"/>
      <c r="J877" s="4"/>
      <c r="K877" s="4">
        <v>223</v>
      </c>
      <c r="L877" s="4">
        <v>9</v>
      </c>
      <c r="M877" s="4">
        <v>3</v>
      </c>
      <c r="N877" s="4" t="s">
        <v>3</v>
      </c>
      <c r="O877" s="4">
        <v>2</v>
      </c>
      <c r="P877" s="4"/>
      <c r="Q877" s="4"/>
      <c r="R877" s="4"/>
      <c r="S877" s="4"/>
      <c r="T877" s="4"/>
      <c r="U877" s="4"/>
      <c r="V877" s="4"/>
      <c r="W877" s="4">
        <v>0</v>
      </c>
      <c r="X877" s="4">
        <v>1</v>
      </c>
      <c r="Y877" s="4">
        <v>0</v>
      </c>
      <c r="Z877" s="4"/>
      <c r="AA877" s="4"/>
      <c r="AB877" s="4"/>
    </row>
    <row r="878" spans="1:245" x14ac:dyDescent="0.2">
      <c r="A878" s="4">
        <v>50</v>
      </c>
      <c r="B878" s="4">
        <v>0</v>
      </c>
      <c r="C878" s="4">
        <v>0</v>
      </c>
      <c r="D878" s="4">
        <v>1</v>
      </c>
      <c r="E878" s="4">
        <v>229</v>
      </c>
      <c r="F878" s="4">
        <f>ROUND(Source!AZ867,O878)</f>
        <v>0</v>
      </c>
      <c r="G878" s="4" t="s">
        <v>64</v>
      </c>
      <c r="H878" s="4" t="s">
        <v>65</v>
      </c>
      <c r="I878" s="4"/>
      <c r="J878" s="4"/>
      <c r="K878" s="4">
        <v>229</v>
      </c>
      <c r="L878" s="4">
        <v>10</v>
      </c>
      <c r="M878" s="4">
        <v>3</v>
      </c>
      <c r="N878" s="4" t="s">
        <v>3</v>
      </c>
      <c r="O878" s="4">
        <v>2</v>
      </c>
      <c r="P878" s="4"/>
      <c r="Q878" s="4"/>
      <c r="R878" s="4"/>
      <c r="S878" s="4"/>
      <c r="T878" s="4"/>
      <c r="U878" s="4"/>
      <c r="V878" s="4"/>
      <c r="W878" s="4">
        <v>0</v>
      </c>
      <c r="X878" s="4">
        <v>1</v>
      </c>
      <c r="Y878" s="4">
        <v>0</v>
      </c>
      <c r="Z878" s="4"/>
      <c r="AA878" s="4"/>
      <c r="AB878" s="4"/>
    </row>
    <row r="879" spans="1:245" x14ac:dyDescent="0.2">
      <c r="A879" s="4">
        <v>50</v>
      </c>
      <c r="B879" s="4">
        <v>0</v>
      </c>
      <c r="C879" s="4">
        <v>0</v>
      </c>
      <c r="D879" s="4">
        <v>1</v>
      </c>
      <c r="E879" s="4">
        <v>203</v>
      </c>
      <c r="F879" s="4">
        <f>ROUND(Source!Q867,O879)</f>
        <v>208.48</v>
      </c>
      <c r="G879" s="4" t="s">
        <v>66</v>
      </c>
      <c r="H879" s="4" t="s">
        <v>67</v>
      </c>
      <c r="I879" s="4"/>
      <c r="J879" s="4"/>
      <c r="K879" s="4">
        <v>203</v>
      </c>
      <c r="L879" s="4">
        <v>11</v>
      </c>
      <c r="M879" s="4">
        <v>3</v>
      </c>
      <c r="N879" s="4" t="s">
        <v>3</v>
      </c>
      <c r="O879" s="4">
        <v>2</v>
      </c>
      <c r="P879" s="4"/>
      <c r="Q879" s="4"/>
      <c r="R879" s="4"/>
      <c r="S879" s="4"/>
      <c r="T879" s="4"/>
      <c r="U879" s="4"/>
      <c r="V879" s="4"/>
      <c r="W879" s="4">
        <v>0</v>
      </c>
      <c r="X879" s="4">
        <v>1</v>
      </c>
      <c r="Y879" s="4">
        <v>0</v>
      </c>
      <c r="Z879" s="4"/>
      <c r="AA879" s="4"/>
      <c r="AB879" s="4"/>
    </row>
    <row r="880" spans="1:245" x14ac:dyDescent="0.2">
      <c r="A880" s="4">
        <v>50</v>
      </c>
      <c r="B880" s="4">
        <v>0</v>
      </c>
      <c r="C880" s="4">
        <v>0</v>
      </c>
      <c r="D880" s="4">
        <v>1</v>
      </c>
      <c r="E880" s="4">
        <v>231</v>
      </c>
      <c r="F880" s="4">
        <f>ROUND(Source!BB867,O880)</f>
        <v>0</v>
      </c>
      <c r="G880" s="4" t="s">
        <v>68</v>
      </c>
      <c r="H880" s="4" t="s">
        <v>69</v>
      </c>
      <c r="I880" s="4"/>
      <c r="J880" s="4"/>
      <c r="K880" s="4">
        <v>231</v>
      </c>
      <c r="L880" s="4">
        <v>12</v>
      </c>
      <c r="M880" s="4">
        <v>3</v>
      </c>
      <c r="N880" s="4" t="s">
        <v>3</v>
      </c>
      <c r="O880" s="4">
        <v>2</v>
      </c>
      <c r="P880" s="4"/>
      <c r="Q880" s="4"/>
      <c r="R880" s="4"/>
      <c r="S880" s="4"/>
      <c r="T880" s="4"/>
      <c r="U880" s="4"/>
      <c r="V880" s="4"/>
      <c r="W880" s="4">
        <v>0</v>
      </c>
      <c r="X880" s="4">
        <v>1</v>
      </c>
      <c r="Y880" s="4">
        <v>0</v>
      </c>
      <c r="Z880" s="4"/>
      <c r="AA880" s="4"/>
      <c r="AB880" s="4"/>
    </row>
    <row r="881" spans="1:28" x14ac:dyDescent="0.2">
      <c r="A881" s="4">
        <v>50</v>
      </c>
      <c r="B881" s="4">
        <v>0</v>
      </c>
      <c r="C881" s="4">
        <v>0</v>
      </c>
      <c r="D881" s="4">
        <v>1</v>
      </c>
      <c r="E881" s="4">
        <v>204</v>
      </c>
      <c r="F881" s="4">
        <f>ROUND(Source!R867,O881)</f>
        <v>132.19999999999999</v>
      </c>
      <c r="G881" s="4" t="s">
        <v>70</v>
      </c>
      <c r="H881" s="4" t="s">
        <v>71</v>
      </c>
      <c r="I881" s="4"/>
      <c r="J881" s="4"/>
      <c r="K881" s="4">
        <v>204</v>
      </c>
      <c r="L881" s="4">
        <v>13</v>
      </c>
      <c r="M881" s="4">
        <v>3</v>
      </c>
      <c r="N881" s="4" t="s">
        <v>3</v>
      </c>
      <c r="O881" s="4">
        <v>2</v>
      </c>
      <c r="P881" s="4"/>
      <c r="Q881" s="4"/>
      <c r="R881" s="4"/>
      <c r="S881" s="4"/>
      <c r="T881" s="4"/>
      <c r="U881" s="4"/>
      <c r="V881" s="4"/>
      <c r="W881" s="4">
        <v>0</v>
      </c>
      <c r="X881" s="4">
        <v>1</v>
      </c>
      <c r="Y881" s="4">
        <v>0</v>
      </c>
      <c r="Z881" s="4"/>
      <c r="AA881" s="4"/>
      <c r="AB881" s="4"/>
    </row>
    <row r="882" spans="1:28" x14ac:dyDescent="0.2">
      <c r="A882" s="4">
        <v>50</v>
      </c>
      <c r="B882" s="4">
        <v>0</v>
      </c>
      <c r="C882" s="4">
        <v>0</v>
      </c>
      <c r="D882" s="4">
        <v>1</v>
      </c>
      <c r="E882" s="4">
        <v>205</v>
      </c>
      <c r="F882" s="4">
        <f>ROUND(Source!S867,O882)</f>
        <v>49233.16</v>
      </c>
      <c r="G882" s="4" t="s">
        <v>72</v>
      </c>
      <c r="H882" s="4" t="s">
        <v>73</v>
      </c>
      <c r="I882" s="4"/>
      <c r="J882" s="4"/>
      <c r="K882" s="4">
        <v>205</v>
      </c>
      <c r="L882" s="4">
        <v>14</v>
      </c>
      <c r="M882" s="4">
        <v>3</v>
      </c>
      <c r="N882" s="4" t="s">
        <v>3</v>
      </c>
      <c r="O882" s="4">
        <v>2</v>
      </c>
      <c r="P882" s="4"/>
      <c r="Q882" s="4"/>
      <c r="R882" s="4"/>
      <c r="S882" s="4"/>
      <c r="T882" s="4"/>
      <c r="U882" s="4"/>
      <c r="V882" s="4"/>
      <c r="W882" s="4">
        <v>1335.35</v>
      </c>
      <c r="X882" s="4">
        <v>1</v>
      </c>
      <c r="Y882" s="4">
        <v>1335.35</v>
      </c>
      <c r="Z882" s="4"/>
      <c r="AA882" s="4"/>
      <c r="AB882" s="4"/>
    </row>
    <row r="883" spans="1:28" x14ac:dyDescent="0.2">
      <c r="A883" s="4">
        <v>50</v>
      </c>
      <c r="B883" s="4">
        <v>0</v>
      </c>
      <c r="C883" s="4">
        <v>0</v>
      </c>
      <c r="D883" s="4">
        <v>1</v>
      </c>
      <c r="E883" s="4">
        <v>232</v>
      </c>
      <c r="F883" s="4">
        <f>ROUND(Source!BC867,O883)</f>
        <v>0</v>
      </c>
      <c r="G883" s="4" t="s">
        <v>74</v>
      </c>
      <c r="H883" s="4" t="s">
        <v>75</v>
      </c>
      <c r="I883" s="4"/>
      <c r="J883" s="4"/>
      <c r="K883" s="4">
        <v>232</v>
      </c>
      <c r="L883" s="4">
        <v>15</v>
      </c>
      <c r="M883" s="4">
        <v>3</v>
      </c>
      <c r="N883" s="4" t="s">
        <v>3</v>
      </c>
      <c r="O883" s="4">
        <v>2</v>
      </c>
      <c r="P883" s="4"/>
      <c r="Q883" s="4"/>
      <c r="R883" s="4"/>
      <c r="S883" s="4"/>
      <c r="T883" s="4"/>
      <c r="U883" s="4"/>
      <c r="V883" s="4"/>
      <c r="W883" s="4">
        <v>0</v>
      </c>
      <c r="X883" s="4">
        <v>1</v>
      </c>
      <c r="Y883" s="4">
        <v>0</v>
      </c>
      <c r="Z883" s="4"/>
      <c r="AA883" s="4"/>
      <c r="AB883" s="4"/>
    </row>
    <row r="884" spans="1:28" x14ac:dyDescent="0.2">
      <c r="A884" s="4">
        <v>50</v>
      </c>
      <c r="B884" s="4">
        <v>0</v>
      </c>
      <c r="C884" s="4">
        <v>0</v>
      </c>
      <c r="D884" s="4">
        <v>1</v>
      </c>
      <c r="E884" s="4">
        <v>214</v>
      </c>
      <c r="F884" s="4">
        <f>ROUND(Source!AS867,O884)</f>
        <v>0</v>
      </c>
      <c r="G884" s="4" t="s">
        <v>76</v>
      </c>
      <c r="H884" s="4" t="s">
        <v>77</v>
      </c>
      <c r="I884" s="4"/>
      <c r="J884" s="4"/>
      <c r="K884" s="4">
        <v>214</v>
      </c>
      <c r="L884" s="4">
        <v>16</v>
      </c>
      <c r="M884" s="4">
        <v>3</v>
      </c>
      <c r="N884" s="4" t="s">
        <v>3</v>
      </c>
      <c r="O884" s="4">
        <v>2</v>
      </c>
      <c r="P884" s="4"/>
      <c r="Q884" s="4"/>
      <c r="R884" s="4"/>
      <c r="S884" s="4"/>
      <c r="T884" s="4"/>
      <c r="U884" s="4"/>
      <c r="V884" s="4"/>
      <c r="W884" s="4">
        <v>0</v>
      </c>
      <c r="X884" s="4">
        <v>1</v>
      </c>
      <c r="Y884" s="4">
        <v>0</v>
      </c>
      <c r="Z884" s="4"/>
      <c r="AA884" s="4"/>
      <c r="AB884" s="4"/>
    </row>
    <row r="885" spans="1:28" x14ac:dyDescent="0.2">
      <c r="A885" s="4">
        <v>50</v>
      </c>
      <c r="B885" s="4">
        <v>0</v>
      </c>
      <c r="C885" s="4">
        <v>0</v>
      </c>
      <c r="D885" s="4">
        <v>1</v>
      </c>
      <c r="E885" s="4">
        <v>215</v>
      </c>
      <c r="F885" s="4">
        <f>ROUND(Source!AT867,O885)</f>
        <v>0</v>
      </c>
      <c r="G885" s="4" t="s">
        <v>78</v>
      </c>
      <c r="H885" s="4" t="s">
        <v>79</v>
      </c>
      <c r="I885" s="4"/>
      <c r="J885" s="4"/>
      <c r="K885" s="4">
        <v>215</v>
      </c>
      <c r="L885" s="4">
        <v>17</v>
      </c>
      <c r="M885" s="4">
        <v>3</v>
      </c>
      <c r="N885" s="4" t="s">
        <v>3</v>
      </c>
      <c r="O885" s="4">
        <v>2</v>
      </c>
      <c r="P885" s="4"/>
      <c r="Q885" s="4"/>
      <c r="R885" s="4"/>
      <c r="S885" s="4"/>
      <c r="T885" s="4"/>
      <c r="U885" s="4"/>
      <c r="V885" s="4"/>
      <c r="W885" s="4">
        <v>0</v>
      </c>
      <c r="X885" s="4">
        <v>1</v>
      </c>
      <c r="Y885" s="4">
        <v>0</v>
      </c>
      <c r="Z885" s="4"/>
      <c r="AA885" s="4"/>
      <c r="AB885" s="4"/>
    </row>
    <row r="886" spans="1:28" x14ac:dyDescent="0.2">
      <c r="A886" s="4">
        <v>50</v>
      </c>
      <c r="B886" s="4">
        <v>0</v>
      </c>
      <c r="C886" s="4">
        <v>0</v>
      </c>
      <c r="D886" s="4">
        <v>1</v>
      </c>
      <c r="E886" s="4">
        <v>217</v>
      </c>
      <c r="F886" s="4">
        <f>ROUND(Source!AU867,O886)</f>
        <v>89629.22</v>
      </c>
      <c r="G886" s="4" t="s">
        <v>80</v>
      </c>
      <c r="H886" s="4" t="s">
        <v>81</v>
      </c>
      <c r="I886" s="4"/>
      <c r="J886" s="4"/>
      <c r="K886" s="4">
        <v>217</v>
      </c>
      <c r="L886" s="4">
        <v>18</v>
      </c>
      <c r="M886" s="4">
        <v>3</v>
      </c>
      <c r="N886" s="4" t="s">
        <v>3</v>
      </c>
      <c r="O886" s="4">
        <v>2</v>
      </c>
      <c r="P886" s="4"/>
      <c r="Q886" s="4"/>
      <c r="R886" s="4"/>
      <c r="S886" s="4"/>
      <c r="T886" s="4"/>
      <c r="U886" s="4"/>
      <c r="V886" s="4"/>
      <c r="W886" s="4">
        <v>2408.4699999999998</v>
      </c>
      <c r="X886" s="4">
        <v>1</v>
      </c>
      <c r="Y886" s="4">
        <v>2408.4699999999998</v>
      </c>
      <c r="Z886" s="4"/>
      <c r="AA886" s="4"/>
      <c r="AB886" s="4"/>
    </row>
    <row r="887" spans="1:28" x14ac:dyDescent="0.2">
      <c r="A887" s="4">
        <v>50</v>
      </c>
      <c r="B887" s="4">
        <v>0</v>
      </c>
      <c r="C887" s="4">
        <v>0</v>
      </c>
      <c r="D887" s="4">
        <v>1</v>
      </c>
      <c r="E887" s="4">
        <v>230</v>
      </c>
      <c r="F887" s="4">
        <f>ROUND(Source!BA867,O887)</f>
        <v>0</v>
      </c>
      <c r="G887" s="4" t="s">
        <v>82</v>
      </c>
      <c r="H887" s="4" t="s">
        <v>83</v>
      </c>
      <c r="I887" s="4"/>
      <c r="J887" s="4"/>
      <c r="K887" s="4">
        <v>230</v>
      </c>
      <c r="L887" s="4">
        <v>19</v>
      </c>
      <c r="M887" s="4">
        <v>3</v>
      </c>
      <c r="N887" s="4" t="s">
        <v>3</v>
      </c>
      <c r="O887" s="4">
        <v>2</v>
      </c>
      <c r="P887" s="4"/>
      <c r="Q887" s="4"/>
      <c r="R887" s="4"/>
      <c r="S887" s="4"/>
      <c r="T887" s="4"/>
      <c r="U887" s="4"/>
      <c r="V887" s="4"/>
      <c r="W887" s="4">
        <v>0</v>
      </c>
      <c r="X887" s="4">
        <v>1</v>
      </c>
      <c r="Y887" s="4">
        <v>0</v>
      </c>
      <c r="Z887" s="4"/>
      <c r="AA887" s="4"/>
      <c r="AB887" s="4"/>
    </row>
    <row r="888" spans="1:28" x14ac:dyDescent="0.2">
      <c r="A888" s="4">
        <v>50</v>
      </c>
      <c r="B888" s="4">
        <v>0</v>
      </c>
      <c r="C888" s="4">
        <v>0</v>
      </c>
      <c r="D888" s="4">
        <v>1</v>
      </c>
      <c r="E888" s="4">
        <v>206</v>
      </c>
      <c r="F888" s="4">
        <f>ROUND(Source!T867,O888)</f>
        <v>0</v>
      </c>
      <c r="G888" s="4" t="s">
        <v>84</v>
      </c>
      <c r="H888" s="4" t="s">
        <v>85</v>
      </c>
      <c r="I888" s="4"/>
      <c r="J888" s="4"/>
      <c r="K888" s="4">
        <v>206</v>
      </c>
      <c r="L888" s="4">
        <v>20</v>
      </c>
      <c r="M888" s="4">
        <v>3</v>
      </c>
      <c r="N888" s="4" t="s">
        <v>3</v>
      </c>
      <c r="O888" s="4">
        <v>2</v>
      </c>
      <c r="P888" s="4"/>
      <c r="Q888" s="4"/>
      <c r="R888" s="4"/>
      <c r="S888" s="4"/>
      <c r="T888" s="4"/>
      <c r="U888" s="4"/>
      <c r="V888" s="4"/>
      <c r="W888" s="4">
        <v>0</v>
      </c>
      <c r="X888" s="4">
        <v>1</v>
      </c>
      <c r="Y888" s="4">
        <v>0</v>
      </c>
      <c r="Z888" s="4"/>
      <c r="AA888" s="4"/>
      <c r="AB888" s="4"/>
    </row>
    <row r="889" spans="1:28" x14ac:dyDescent="0.2">
      <c r="A889" s="4">
        <v>50</v>
      </c>
      <c r="B889" s="4">
        <v>0</v>
      </c>
      <c r="C889" s="4">
        <v>0</v>
      </c>
      <c r="D889" s="4">
        <v>1</v>
      </c>
      <c r="E889" s="4">
        <v>207</v>
      </c>
      <c r="F889" s="4">
        <f>Source!U867</f>
        <v>80.243008000000003</v>
      </c>
      <c r="G889" s="4" t="s">
        <v>86</v>
      </c>
      <c r="H889" s="4" t="s">
        <v>87</v>
      </c>
      <c r="I889" s="4"/>
      <c r="J889" s="4"/>
      <c r="K889" s="4">
        <v>207</v>
      </c>
      <c r="L889" s="4">
        <v>21</v>
      </c>
      <c r="M889" s="4">
        <v>3</v>
      </c>
      <c r="N889" s="4" t="s">
        <v>3</v>
      </c>
      <c r="O889" s="4">
        <v>-1</v>
      </c>
      <c r="P889" s="4"/>
      <c r="Q889" s="4"/>
      <c r="R889" s="4"/>
      <c r="S889" s="4"/>
      <c r="T889" s="4"/>
      <c r="U889" s="4"/>
      <c r="V889" s="4"/>
      <c r="W889" s="4">
        <v>2.4945120000000003</v>
      </c>
      <c r="X889" s="4">
        <v>1</v>
      </c>
      <c r="Y889" s="4">
        <v>2.4945120000000003</v>
      </c>
      <c r="Z889" s="4"/>
      <c r="AA889" s="4"/>
      <c r="AB889" s="4"/>
    </row>
    <row r="890" spans="1:28" x14ac:dyDescent="0.2">
      <c r="A890" s="4">
        <v>50</v>
      </c>
      <c r="B890" s="4">
        <v>0</v>
      </c>
      <c r="C890" s="4">
        <v>0</v>
      </c>
      <c r="D890" s="4">
        <v>1</v>
      </c>
      <c r="E890" s="4">
        <v>208</v>
      </c>
      <c r="F890" s="4">
        <f>Source!V867</f>
        <v>0</v>
      </c>
      <c r="G890" s="4" t="s">
        <v>88</v>
      </c>
      <c r="H890" s="4" t="s">
        <v>89</v>
      </c>
      <c r="I890" s="4"/>
      <c r="J890" s="4"/>
      <c r="K890" s="4">
        <v>208</v>
      </c>
      <c r="L890" s="4">
        <v>22</v>
      </c>
      <c r="M890" s="4">
        <v>3</v>
      </c>
      <c r="N890" s="4" t="s">
        <v>3</v>
      </c>
      <c r="O890" s="4">
        <v>-1</v>
      </c>
      <c r="P890" s="4"/>
      <c r="Q890" s="4"/>
      <c r="R890" s="4"/>
      <c r="S890" s="4"/>
      <c r="T890" s="4"/>
      <c r="U890" s="4"/>
      <c r="V890" s="4"/>
      <c r="W890" s="4">
        <v>0</v>
      </c>
      <c r="X890" s="4">
        <v>1</v>
      </c>
      <c r="Y890" s="4">
        <v>0</v>
      </c>
      <c r="Z890" s="4"/>
      <c r="AA890" s="4"/>
      <c r="AB890" s="4"/>
    </row>
    <row r="891" spans="1:28" x14ac:dyDescent="0.2">
      <c r="A891" s="4">
        <v>50</v>
      </c>
      <c r="B891" s="4">
        <v>0</v>
      </c>
      <c r="C891" s="4">
        <v>0</v>
      </c>
      <c r="D891" s="4">
        <v>1</v>
      </c>
      <c r="E891" s="4">
        <v>209</v>
      </c>
      <c r="F891" s="4">
        <f>ROUND(Source!W867,O891)</f>
        <v>0</v>
      </c>
      <c r="G891" s="4" t="s">
        <v>90</v>
      </c>
      <c r="H891" s="4" t="s">
        <v>91</v>
      </c>
      <c r="I891" s="4"/>
      <c r="J891" s="4"/>
      <c r="K891" s="4">
        <v>209</v>
      </c>
      <c r="L891" s="4">
        <v>23</v>
      </c>
      <c r="M891" s="4">
        <v>3</v>
      </c>
      <c r="N891" s="4" t="s">
        <v>3</v>
      </c>
      <c r="O891" s="4">
        <v>2</v>
      </c>
      <c r="P891" s="4"/>
      <c r="Q891" s="4"/>
      <c r="R891" s="4"/>
      <c r="S891" s="4"/>
      <c r="T891" s="4"/>
      <c r="U891" s="4"/>
      <c r="V891" s="4"/>
      <c r="W891" s="4">
        <v>0</v>
      </c>
      <c r="X891" s="4">
        <v>1</v>
      </c>
      <c r="Y891" s="4">
        <v>0</v>
      </c>
      <c r="Z891" s="4"/>
      <c r="AA891" s="4"/>
      <c r="AB891" s="4"/>
    </row>
    <row r="892" spans="1:28" x14ac:dyDescent="0.2">
      <c r="A892" s="4">
        <v>50</v>
      </c>
      <c r="B892" s="4">
        <v>0</v>
      </c>
      <c r="C892" s="4">
        <v>0</v>
      </c>
      <c r="D892" s="4">
        <v>1</v>
      </c>
      <c r="E892" s="4">
        <v>233</v>
      </c>
      <c r="F892" s="4">
        <f>ROUND(Source!BD867,O892)</f>
        <v>0</v>
      </c>
      <c r="G892" s="4" t="s">
        <v>92</v>
      </c>
      <c r="H892" s="4" t="s">
        <v>93</v>
      </c>
      <c r="I892" s="4"/>
      <c r="J892" s="4"/>
      <c r="K892" s="4">
        <v>233</v>
      </c>
      <c r="L892" s="4">
        <v>24</v>
      </c>
      <c r="M892" s="4">
        <v>3</v>
      </c>
      <c r="N892" s="4" t="s">
        <v>3</v>
      </c>
      <c r="O892" s="4">
        <v>2</v>
      </c>
      <c r="P892" s="4"/>
      <c r="Q892" s="4"/>
      <c r="R892" s="4"/>
      <c r="S892" s="4"/>
      <c r="T892" s="4"/>
      <c r="U892" s="4"/>
      <c r="V892" s="4"/>
      <c r="W892" s="4">
        <v>0</v>
      </c>
      <c r="X892" s="4">
        <v>1</v>
      </c>
      <c r="Y892" s="4">
        <v>0</v>
      </c>
      <c r="Z892" s="4"/>
      <c r="AA892" s="4"/>
      <c r="AB892" s="4"/>
    </row>
    <row r="893" spans="1:28" x14ac:dyDescent="0.2">
      <c r="A893" s="4">
        <v>50</v>
      </c>
      <c r="B893" s="4">
        <v>0</v>
      </c>
      <c r="C893" s="4">
        <v>0</v>
      </c>
      <c r="D893" s="4">
        <v>1</v>
      </c>
      <c r="E893" s="4">
        <v>210</v>
      </c>
      <c r="F893" s="4">
        <f>ROUND(Source!X867,O893)</f>
        <v>34463.22</v>
      </c>
      <c r="G893" s="4" t="s">
        <v>94</v>
      </c>
      <c r="H893" s="4" t="s">
        <v>95</v>
      </c>
      <c r="I893" s="4"/>
      <c r="J893" s="4"/>
      <c r="K893" s="4">
        <v>210</v>
      </c>
      <c r="L893" s="4">
        <v>25</v>
      </c>
      <c r="M893" s="4">
        <v>3</v>
      </c>
      <c r="N893" s="4" t="s">
        <v>3</v>
      </c>
      <c r="O893" s="4">
        <v>2</v>
      </c>
      <c r="P893" s="4"/>
      <c r="Q893" s="4"/>
      <c r="R893" s="4"/>
      <c r="S893" s="4"/>
      <c r="T893" s="4"/>
      <c r="U893" s="4"/>
      <c r="V893" s="4"/>
      <c r="W893" s="4">
        <v>934.75</v>
      </c>
      <c r="X893" s="4">
        <v>1</v>
      </c>
      <c r="Y893" s="4">
        <v>934.75</v>
      </c>
      <c r="Z893" s="4"/>
      <c r="AA893" s="4"/>
      <c r="AB893" s="4"/>
    </row>
    <row r="894" spans="1:28" x14ac:dyDescent="0.2">
      <c r="A894" s="4">
        <v>50</v>
      </c>
      <c r="B894" s="4">
        <v>0</v>
      </c>
      <c r="C894" s="4">
        <v>0</v>
      </c>
      <c r="D894" s="4">
        <v>1</v>
      </c>
      <c r="E894" s="4">
        <v>211</v>
      </c>
      <c r="F894" s="4">
        <f>ROUND(Source!Y867,O894)</f>
        <v>4923.32</v>
      </c>
      <c r="G894" s="4" t="s">
        <v>96</v>
      </c>
      <c r="H894" s="4" t="s">
        <v>97</v>
      </c>
      <c r="I894" s="4"/>
      <c r="J894" s="4"/>
      <c r="K894" s="4">
        <v>211</v>
      </c>
      <c r="L894" s="4">
        <v>26</v>
      </c>
      <c r="M894" s="4">
        <v>3</v>
      </c>
      <c r="N894" s="4" t="s">
        <v>3</v>
      </c>
      <c r="O894" s="4">
        <v>2</v>
      </c>
      <c r="P894" s="4"/>
      <c r="Q894" s="4"/>
      <c r="R894" s="4"/>
      <c r="S894" s="4"/>
      <c r="T894" s="4"/>
      <c r="U894" s="4"/>
      <c r="V894" s="4"/>
      <c r="W894" s="4">
        <v>133.53</v>
      </c>
      <c r="X894" s="4">
        <v>1</v>
      </c>
      <c r="Y894" s="4">
        <v>133.53</v>
      </c>
      <c r="Z894" s="4"/>
      <c r="AA894" s="4"/>
      <c r="AB894" s="4"/>
    </row>
    <row r="895" spans="1:28" x14ac:dyDescent="0.2">
      <c r="A895" s="4">
        <v>50</v>
      </c>
      <c r="B895" s="4">
        <v>0</v>
      </c>
      <c r="C895" s="4">
        <v>0</v>
      </c>
      <c r="D895" s="4">
        <v>1</v>
      </c>
      <c r="E895" s="4">
        <v>224</v>
      </c>
      <c r="F895" s="4">
        <f>ROUND(Source!AR867,O895)</f>
        <v>89629.22</v>
      </c>
      <c r="G895" s="4" t="s">
        <v>98</v>
      </c>
      <c r="H895" s="4" t="s">
        <v>99</v>
      </c>
      <c r="I895" s="4"/>
      <c r="J895" s="4"/>
      <c r="K895" s="4">
        <v>224</v>
      </c>
      <c r="L895" s="4">
        <v>27</v>
      </c>
      <c r="M895" s="4">
        <v>3</v>
      </c>
      <c r="N895" s="4" t="s">
        <v>3</v>
      </c>
      <c r="O895" s="4">
        <v>2</v>
      </c>
      <c r="P895" s="4"/>
      <c r="Q895" s="4"/>
      <c r="R895" s="4"/>
      <c r="S895" s="4"/>
      <c r="T895" s="4"/>
      <c r="U895" s="4"/>
      <c r="V895" s="4"/>
      <c r="W895" s="4">
        <v>2408.4699999999998</v>
      </c>
      <c r="X895" s="4">
        <v>1</v>
      </c>
      <c r="Y895" s="4">
        <v>2408.4699999999998</v>
      </c>
      <c r="Z895" s="4"/>
      <c r="AA895" s="4"/>
      <c r="AB895" s="4"/>
    </row>
    <row r="897" spans="1:206" x14ac:dyDescent="0.2">
      <c r="A897" s="2">
        <v>51</v>
      </c>
      <c r="B897" s="2">
        <f>B596</f>
        <v>1</v>
      </c>
      <c r="C897" s="2">
        <f>A596</f>
        <v>4</v>
      </c>
      <c r="D897" s="2">
        <f>ROW(A596)</f>
        <v>596</v>
      </c>
      <c r="E897" s="2"/>
      <c r="F897" s="2" t="str">
        <f>IF(F596&lt;&gt;"",F596,"")</f>
        <v>Новый раздел</v>
      </c>
      <c r="G897" s="2" t="str">
        <f>IF(G596&lt;&gt;"",G596,"")</f>
        <v>Раздел: 4. Системы электроснабжения</v>
      </c>
      <c r="H897" s="2">
        <v>0</v>
      </c>
      <c r="I897" s="2"/>
      <c r="J897" s="2"/>
      <c r="K897" s="2"/>
      <c r="L897" s="2"/>
      <c r="M897" s="2"/>
      <c r="N897" s="2"/>
      <c r="O897" s="2">
        <f t="shared" ref="O897:T897" si="804">ROUND(O641+O687+O729+O768+O816+O867+AB897,2)</f>
        <v>610378.89</v>
      </c>
      <c r="P897" s="2">
        <f t="shared" si="804"/>
        <v>5961.67</v>
      </c>
      <c r="Q897" s="2">
        <f t="shared" si="804"/>
        <v>208.48</v>
      </c>
      <c r="R897" s="2">
        <f t="shared" si="804"/>
        <v>132.19999999999999</v>
      </c>
      <c r="S897" s="2">
        <f t="shared" si="804"/>
        <v>604208.74</v>
      </c>
      <c r="T897" s="2">
        <f t="shared" si="804"/>
        <v>0</v>
      </c>
      <c r="U897" s="2">
        <f>U641+U687+U729+U768+U816+U867+AH897</f>
        <v>1019.8537599999999</v>
      </c>
      <c r="V897" s="2">
        <f>V641+V687+V729+V768+V816+V867+AI897</f>
        <v>0</v>
      </c>
      <c r="W897" s="2">
        <f>ROUND(W641+W687+W729+W768+W816+W867+AJ897,2)</f>
        <v>0</v>
      </c>
      <c r="X897" s="2">
        <f>ROUND(X641+X687+X729+X768+X816+X867+AK897,2)</f>
        <v>422946.12</v>
      </c>
      <c r="Y897" s="2">
        <f>ROUND(Y641+Y687+Y729+Y768+Y816+Y867+AL897,2)</f>
        <v>60420.89</v>
      </c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>
        <f t="shared" ref="AO897:BD897" si="805">ROUND(AO641+AO687+AO729+AO768+AO816+AO867+BX897,2)</f>
        <v>0</v>
      </c>
      <c r="AP897" s="2">
        <f t="shared" si="805"/>
        <v>0</v>
      </c>
      <c r="AQ897" s="2">
        <f t="shared" si="805"/>
        <v>0</v>
      </c>
      <c r="AR897" s="2">
        <f t="shared" si="805"/>
        <v>1093888.68</v>
      </c>
      <c r="AS897" s="2">
        <f t="shared" si="805"/>
        <v>0</v>
      </c>
      <c r="AT897" s="2">
        <f t="shared" si="805"/>
        <v>0</v>
      </c>
      <c r="AU897" s="2">
        <f t="shared" si="805"/>
        <v>1093888.68</v>
      </c>
      <c r="AV897" s="2">
        <f t="shared" si="805"/>
        <v>5961.67</v>
      </c>
      <c r="AW897" s="2">
        <f t="shared" si="805"/>
        <v>5961.67</v>
      </c>
      <c r="AX897" s="2">
        <f t="shared" si="805"/>
        <v>0</v>
      </c>
      <c r="AY897" s="2">
        <f t="shared" si="805"/>
        <v>5961.67</v>
      </c>
      <c r="AZ897" s="2">
        <f t="shared" si="805"/>
        <v>0</v>
      </c>
      <c r="BA897" s="2">
        <f t="shared" si="805"/>
        <v>0</v>
      </c>
      <c r="BB897" s="2">
        <f t="shared" si="805"/>
        <v>0</v>
      </c>
      <c r="BC897" s="2">
        <f t="shared" si="805"/>
        <v>0</v>
      </c>
      <c r="BD897" s="2">
        <f t="shared" si="805"/>
        <v>0</v>
      </c>
      <c r="BE897" s="2"/>
      <c r="BF897" s="2"/>
      <c r="BG897" s="2"/>
      <c r="BH897" s="2"/>
      <c r="BI897" s="2"/>
      <c r="BJ897" s="2"/>
      <c r="BK897" s="2"/>
      <c r="BL897" s="2"/>
      <c r="BM897" s="2"/>
      <c r="BN897" s="2"/>
      <c r="BO897" s="2"/>
      <c r="BP897" s="2"/>
      <c r="BQ897" s="2"/>
      <c r="BR897" s="2"/>
      <c r="BS897" s="2"/>
      <c r="BT897" s="2"/>
      <c r="BU897" s="2"/>
      <c r="BV897" s="2"/>
      <c r="BW897" s="2"/>
      <c r="BX897" s="2"/>
      <c r="BY897" s="2"/>
      <c r="BZ897" s="2"/>
      <c r="CA897" s="2"/>
      <c r="CB897" s="2"/>
      <c r="CC897" s="2"/>
      <c r="CD897" s="2"/>
      <c r="CE897" s="2"/>
      <c r="CF897" s="2"/>
      <c r="CG897" s="2"/>
      <c r="CH897" s="2"/>
      <c r="CI897" s="2"/>
      <c r="CJ897" s="2"/>
      <c r="CK897" s="2"/>
      <c r="CL897" s="2"/>
      <c r="CM897" s="2"/>
      <c r="CN897" s="2"/>
      <c r="CO897" s="2"/>
      <c r="CP897" s="2"/>
      <c r="CQ897" s="2"/>
      <c r="CR897" s="2"/>
      <c r="CS897" s="2"/>
      <c r="CT897" s="2"/>
      <c r="CU897" s="2"/>
      <c r="CV897" s="2"/>
      <c r="CW897" s="2"/>
      <c r="CX897" s="2"/>
      <c r="CY897" s="2"/>
      <c r="CZ897" s="2"/>
      <c r="DA897" s="2"/>
      <c r="DB897" s="2"/>
      <c r="DC897" s="2"/>
      <c r="DD897" s="2"/>
      <c r="DE897" s="2"/>
      <c r="DF897" s="2"/>
      <c r="DG897" s="3"/>
      <c r="DH897" s="3"/>
      <c r="DI897" s="3"/>
      <c r="DJ897" s="3"/>
      <c r="DK897" s="3"/>
      <c r="DL897" s="3"/>
      <c r="DM897" s="3"/>
      <c r="DN897" s="3"/>
      <c r="DO897" s="3"/>
      <c r="DP897" s="3"/>
      <c r="DQ897" s="3"/>
      <c r="DR897" s="3"/>
      <c r="DS897" s="3"/>
      <c r="DT897" s="3"/>
      <c r="DU897" s="3"/>
      <c r="DV897" s="3"/>
      <c r="DW897" s="3"/>
      <c r="DX897" s="3"/>
      <c r="DY897" s="3"/>
      <c r="DZ897" s="3"/>
      <c r="EA897" s="3"/>
      <c r="EB897" s="3"/>
      <c r="EC897" s="3"/>
      <c r="ED897" s="3"/>
      <c r="EE897" s="3"/>
      <c r="EF897" s="3"/>
      <c r="EG897" s="3"/>
      <c r="EH897" s="3"/>
      <c r="EI897" s="3"/>
      <c r="EJ897" s="3"/>
      <c r="EK897" s="3"/>
      <c r="EL897" s="3"/>
      <c r="EM897" s="3"/>
      <c r="EN897" s="3"/>
      <c r="EO897" s="3"/>
      <c r="EP897" s="3"/>
      <c r="EQ897" s="3"/>
      <c r="ER897" s="3"/>
      <c r="ES897" s="3"/>
      <c r="ET897" s="3"/>
      <c r="EU897" s="3"/>
      <c r="EV897" s="3"/>
      <c r="EW897" s="3"/>
      <c r="EX897" s="3"/>
      <c r="EY897" s="3"/>
      <c r="EZ897" s="3"/>
      <c r="FA897" s="3"/>
      <c r="FB897" s="3"/>
      <c r="FC897" s="3"/>
      <c r="FD897" s="3"/>
      <c r="FE897" s="3"/>
      <c r="FF897" s="3"/>
      <c r="FG897" s="3"/>
      <c r="FH897" s="3"/>
      <c r="FI897" s="3"/>
      <c r="FJ897" s="3"/>
      <c r="FK897" s="3"/>
      <c r="FL897" s="3"/>
      <c r="FM897" s="3"/>
      <c r="FN897" s="3"/>
      <c r="FO897" s="3"/>
      <c r="FP897" s="3"/>
      <c r="FQ897" s="3"/>
      <c r="FR897" s="3"/>
      <c r="FS897" s="3"/>
      <c r="FT897" s="3"/>
      <c r="FU897" s="3"/>
      <c r="FV897" s="3"/>
      <c r="FW897" s="3"/>
      <c r="FX897" s="3"/>
      <c r="FY897" s="3"/>
      <c r="FZ897" s="3"/>
      <c r="GA897" s="3"/>
      <c r="GB897" s="3"/>
      <c r="GC897" s="3"/>
      <c r="GD897" s="3"/>
      <c r="GE897" s="3"/>
      <c r="GF897" s="3"/>
      <c r="GG897" s="3"/>
      <c r="GH897" s="3"/>
      <c r="GI897" s="3"/>
      <c r="GJ897" s="3"/>
      <c r="GK897" s="3"/>
      <c r="GL897" s="3"/>
      <c r="GM897" s="3"/>
      <c r="GN897" s="3"/>
      <c r="GO897" s="3"/>
      <c r="GP897" s="3"/>
      <c r="GQ897" s="3"/>
      <c r="GR897" s="3"/>
      <c r="GS897" s="3"/>
      <c r="GT897" s="3"/>
      <c r="GU897" s="3"/>
      <c r="GV897" s="3"/>
      <c r="GW897" s="3"/>
      <c r="GX897" s="3">
        <v>0</v>
      </c>
    </row>
    <row r="899" spans="1:206" x14ac:dyDescent="0.2">
      <c r="A899" s="4">
        <v>50</v>
      </c>
      <c r="B899" s="4">
        <v>0</v>
      </c>
      <c r="C899" s="4">
        <v>0</v>
      </c>
      <c r="D899" s="4">
        <v>1</v>
      </c>
      <c r="E899" s="4">
        <v>201</v>
      </c>
      <c r="F899" s="4">
        <f>ROUND(Source!O897,O899)</f>
        <v>610378.89</v>
      </c>
      <c r="G899" s="4" t="s">
        <v>46</v>
      </c>
      <c r="H899" s="4" t="s">
        <v>47</v>
      </c>
      <c r="I899" s="4"/>
      <c r="J899" s="4"/>
      <c r="K899" s="4">
        <v>201</v>
      </c>
      <c r="L899" s="4">
        <v>1</v>
      </c>
      <c r="M899" s="4">
        <v>3</v>
      </c>
      <c r="N899" s="4" t="s">
        <v>3</v>
      </c>
      <c r="O899" s="4">
        <v>2</v>
      </c>
      <c r="P899" s="4"/>
      <c r="Q899" s="4"/>
      <c r="R899" s="4"/>
      <c r="S899" s="4"/>
      <c r="T899" s="4"/>
      <c r="U899" s="4"/>
      <c r="V899" s="4"/>
      <c r="W899" s="4">
        <v>355857.75</v>
      </c>
      <c r="X899" s="4">
        <v>1</v>
      </c>
      <c r="Y899" s="4">
        <v>355857.75</v>
      </c>
      <c r="Z899" s="4"/>
      <c r="AA899" s="4"/>
      <c r="AB899" s="4"/>
    </row>
    <row r="900" spans="1:206" x14ac:dyDescent="0.2">
      <c r="A900" s="4">
        <v>50</v>
      </c>
      <c r="B900" s="4">
        <v>0</v>
      </c>
      <c r="C900" s="4">
        <v>0</v>
      </c>
      <c r="D900" s="4">
        <v>1</v>
      </c>
      <c r="E900" s="4">
        <v>202</v>
      </c>
      <c r="F900" s="4">
        <f>ROUND(Source!P897,O900)</f>
        <v>5961.67</v>
      </c>
      <c r="G900" s="4" t="s">
        <v>48</v>
      </c>
      <c r="H900" s="4" t="s">
        <v>49</v>
      </c>
      <c r="I900" s="4"/>
      <c r="J900" s="4"/>
      <c r="K900" s="4">
        <v>202</v>
      </c>
      <c r="L900" s="4">
        <v>2</v>
      </c>
      <c r="M900" s="4">
        <v>3</v>
      </c>
      <c r="N900" s="4" t="s">
        <v>3</v>
      </c>
      <c r="O900" s="4">
        <v>2</v>
      </c>
      <c r="P900" s="4"/>
      <c r="Q900" s="4"/>
      <c r="R900" s="4"/>
      <c r="S900" s="4"/>
      <c r="T900" s="4"/>
      <c r="U900" s="4"/>
      <c r="V900" s="4"/>
      <c r="W900" s="4">
        <v>2727.14</v>
      </c>
      <c r="X900" s="4">
        <v>1</v>
      </c>
      <c r="Y900" s="4">
        <v>2727.14</v>
      </c>
      <c r="Z900" s="4"/>
      <c r="AA900" s="4"/>
      <c r="AB900" s="4"/>
    </row>
    <row r="901" spans="1:206" x14ac:dyDescent="0.2">
      <c r="A901" s="4">
        <v>50</v>
      </c>
      <c r="B901" s="4">
        <v>0</v>
      </c>
      <c r="C901" s="4">
        <v>0</v>
      </c>
      <c r="D901" s="4">
        <v>1</v>
      </c>
      <c r="E901" s="4">
        <v>222</v>
      </c>
      <c r="F901" s="4">
        <f>ROUND(Source!AO897,O901)</f>
        <v>0</v>
      </c>
      <c r="G901" s="4" t="s">
        <v>50</v>
      </c>
      <c r="H901" s="4" t="s">
        <v>51</v>
      </c>
      <c r="I901" s="4"/>
      <c r="J901" s="4"/>
      <c r="K901" s="4">
        <v>222</v>
      </c>
      <c r="L901" s="4">
        <v>3</v>
      </c>
      <c r="M901" s="4">
        <v>3</v>
      </c>
      <c r="N901" s="4" t="s">
        <v>3</v>
      </c>
      <c r="O901" s="4">
        <v>2</v>
      </c>
      <c r="P901" s="4"/>
      <c r="Q901" s="4"/>
      <c r="R901" s="4"/>
      <c r="S901" s="4"/>
      <c r="T901" s="4"/>
      <c r="U901" s="4"/>
      <c r="V901" s="4"/>
      <c r="W901" s="4">
        <v>0</v>
      </c>
      <c r="X901" s="4">
        <v>1</v>
      </c>
      <c r="Y901" s="4">
        <v>0</v>
      </c>
      <c r="Z901" s="4"/>
      <c r="AA901" s="4"/>
      <c r="AB901" s="4"/>
    </row>
    <row r="902" spans="1:206" x14ac:dyDescent="0.2">
      <c r="A902" s="4">
        <v>50</v>
      </c>
      <c r="B902" s="4">
        <v>0</v>
      </c>
      <c r="C902" s="4">
        <v>0</v>
      </c>
      <c r="D902" s="4">
        <v>1</v>
      </c>
      <c r="E902" s="4">
        <v>225</v>
      </c>
      <c r="F902" s="4">
        <f>ROUND(Source!AV897,O902)</f>
        <v>5961.67</v>
      </c>
      <c r="G902" s="4" t="s">
        <v>52</v>
      </c>
      <c r="H902" s="4" t="s">
        <v>53</v>
      </c>
      <c r="I902" s="4"/>
      <c r="J902" s="4"/>
      <c r="K902" s="4">
        <v>225</v>
      </c>
      <c r="L902" s="4">
        <v>4</v>
      </c>
      <c r="M902" s="4">
        <v>3</v>
      </c>
      <c r="N902" s="4" t="s">
        <v>3</v>
      </c>
      <c r="O902" s="4">
        <v>2</v>
      </c>
      <c r="P902" s="4"/>
      <c r="Q902" s="4"/>
      <c r="R902" s="4"/>
      <c r="S902" s="4"/>
      <c r="T902" s="4"/>
      <c r="U902" s="4"/>
      <c r="V902" s="4"/>
      <c r="W902" s="4">
        <v>2727.14</v>
      </c>
      <c r="X902" s="4">
        <v>1</v>
      </c>
      <c r="Y902" s="4">
        <v>2727.14</v>
      </c>
      <c r="Z902" s="4"/>
      <c r="AA902" s="4"/>
      <c r="AB902" s="4"/>
    </row>
    <row r="903" spans="1:206" x14ac:dyDescent="0.2">
      <c r="A903" s="4">
        <v>50</v>
      </c>
      <c r="B903" s="4">
        <v>0</v>
      </c>
      <c r="C903" s="4">
        <v>0</v>
      </c>
      <c r="D903" s="4">
        <v>1</v>
      </c>
      <c r="E903" s="4">
        <v>226</v>
      </c>
      <c r="F903" s="4">
        <f>ROUND(Source!AW897,O903)</f>
        <v>5961.67</v>
      </c>
      <c r="G903" s="4" t="s">
        <v>54</v>
      </c>
      <c r="H903" s="4" t="s">
        <v>55</v>
      </c>
      <c r="I903" s="4"/>
      <c r="J903" s="4"/>
      <c r="K903" s="4">
        <v>226</v>
      </c>
      <c r="L903" s="4">
        <v>5</v>
      </c>
      <c r="M903" s="4">
        <v>3</v>
      </c>
      <c r="N903" s="4" t="s">
        <v>3</v>
      </c>
      <c r="O903" s="4">
        <v>2</v>
      </c>
      <c r="P903" s="4"/>
      <c r="Q903" s="4"/>
      <c r="R903" s="4"/>
      <c r="S903" s="4"/>
      <c r="T903" s="4"/>
      <c r="U903" s="4"/>
      <c r="V903" s="4"/>
      <c r="W903" s="4">
        <v>2727.14</v>
      </c>
      <c r="X903" s="4">
        <v>1</v>
      </c>
      <c r="Y903" s="4">
        <v>2727.14</v>
      </c>
      <c r="Z903" s="4"/>
      <c r="AA903" s="4"/>
      <c r="AB903" s="4"/>
    </row>
    <row r="904" spans="1:206" x14ac:dyDescent="0.2">
      <c r="A904" s="4">
        <v>50</v>
      </c>
      <c r="B904" s="4">
        <v>0</v>
      </c>
      <c r="C904" s="4">
        <v>0</v>
      </c>
      <c r="D904" s="4">
        <v>1</v>
      </c>
      <c r="E904" s="4">
        <v>227</v>
      </c>
      <c r="F904" s="4">
        <f>ROUND(Source!AX897,O904)</f>
        <v>0</v>
      </c>
      <c r="G904" s="4" t="s">
        <v>56</v>
      </c>
      <c r="H904" s="4" t="s">
        <v>57</v>
      </c>
      <c r="I904" s="4"/>
      <c r="J904" s="4"/>
      <c r="K904" s="4">
        <v>227</v>
      </c>
      <c r="L904" s="4">
        <v>6</v>
      </c>
      <c r="M904" s="4">
        <v>3</v>
      </c>
      <c r="N904" s="4" t="s">
        <v>3</v>
      </c>
      <c r="O904" s="4">
        <v>2</v>
      </c>
      <c r="P904" s="4"/>
      <c r="Q904" s="4"/>
      <c r="R904" s="4"/>
      <c r="S904" s="4"/>
      <c r="T904" s="4"/>
      <c r="U904" s="4"/>
      <c r="V904" s="4"/>
      <c r="W904" s="4">
        <v>0</v>
      </c>
      <c r="X904" s="4">
        <v>1</v>
      </c>
      <c r="Y904" s="4">
        <v>0</v>
      </c>
      <c r="Z904" s="4"/>
      <c r="AA904" s="4"/>
      <c r="AB904" s="4"/>
    </row>
    <row r="905" spans="1:206" x14ac:dyDescent="0.2">
      <c r="A905" s="4">
        <v>50</v>
      </c>
      <c r="B905" s="4">
        <v>0</v>
      </c>
      <c r="C905" s="4">
        <v>0</v>
      </c>
      <c r="D905" s="4">
        <v>1</v>
      </c>
      <c r="E905" s="4">
        <v>228</v>
      </c>
      <c r="F905" s="4">
        <f>ROUND(Source!AY897,O905)</f>
        <v>5961.67</v>
      </c>
      <c r="G905" s="4" t="s">
        <v>58</v>
      </c>
      <c r="H905" s="4" t="s">
        <v>59</v>
      </c>
      <c r="I905" s="4"/>
      <c r="J905" s="4"/>
      <c r="K905" s="4">
        <v>228</v>
      </c>
      <c r="L905" s="4">
        <v>7</v>
      </c>
      <c r="M905" s="4">
        <v>3</v>
      </c>
      <c r="N905" s="4" t="s">
        <v>3</v>
      </c>
      <c r="O905" s="4">
        <v>2</v>
      </c>
      <c r="P905" s="4"/>
      <c r="Q905" s="4"/>
      <c r="R905" s="4"/>
      <c r="S905" s="4"/>
      <c r="T905" s="4"/>
      <c r="U905" s="4"/>
      <c r="V905" s="4"/>
      <c r="W905" s="4">
        <v>2727.14</v>
      </c>
      <c r="X905" s="4">
        <v>1</v>
      </c>
      <c r="Y905" s="4">
        <v>2727.14</v>
      </c>
      <c r="Z905" s="4"/>
      <c r="AA905" s="4"/>
      <c r="AB905" s="4"/>
    </row>
    <row r="906" spans="1:206" x14ac:dyDescent="0.2">
      <c r="A906" s="4">
        <v>50</v>
      </c>
      <c r="B906" s="4">
        <v>0</v>
      </c>
      <c r="C906" s="4">
        <v>0</v>
      </c>
      <c r="D906" s="4">
        <v>1</v>
      </c>
      <c r="E906" s="4">
        <v>216</v>
      </c>
      <c r="F906" s="4">
        <f>ROUND(Source!AP897,O906)</f>
        <v>0</v>
      </c>
      <c r="G906" s="4" t="s">
        <v>60</v>
      </c>
      <c r="H906" s="4" t="s">
        <v>61</v>
      </c>
      <c r="I906" s="4"/>
      <c r="J906" s="4"/>
      <c r="K906" s="4">
        <v>216</v>
      </c>
      <c r="L906" s="4">
        <v>8</v>
      </c>
      <c r="M906" s="4">
        <v>3</v>
      </c>
      <c r="N906" s="4" t="s">
        <v>3</v>
      </c>
      <c r="O906" s="4">
        <v>2</v>
      </c>
      <c r="P906" s="4"/>
      <c r="Q906" s="4"/>
      <c r="R906" s="4"/>
      <c r="S906" s="4"/>
      <c r="T906" s="4"/>
      <c r="U906" s="4"/>
      <c r="V906" s="4"/>
      <c r="W906" s="4">
        <v>0</v>
      </c>
      <c r="X906" s="4">
        <v>1</v>
      </c>
      <c r="Y906" s="4">
        <v>0</v>
      </c>
      <c r="Z906" s="4"/>
      <c r="AA906" s="4"/>
      <c r="AB906" s="4"/>
    </row>
    <row r="907" spans="1:206" x14ac:dyDescent="0.2">
      <c r="A907" s="4">
        <v>50</v>
      </c>
      <c r="B907" s="4">
        <v>0</v>
      </c>
      <c r="C907" s="4">
        <v>0</v>
      </c>
      <c r="D907" s="4">
        <v>1</v>
      </c>
      <c r="E907" s="4">
        <v>223</v>
      </c>
      <c r="F907" s="4">
        <f>ROUND(Source!AQ897,O907)</f>
        <v>0</v>
      </c>
      <c r="G907" s="4" t="s">
        <v>62</v>
      </c>
      <c r="H907" s="4" t="s">
        <v>63</v>
      </c>
      <c r="I907" s="4"/>
      <c r="J907" s="4"/>
      <c r="K907" s="4">
        <v>223</v>
      </c>
      <c r="L907" s="4">
        <v>9</v>
      </c>
      <c r="M907" s="4">
        <v>3</v>
      </c>
      <c r="N907" s="4" t="s">
        <v>3</v>
      </c>
      <c r="O907" s="4">
        <v>2</v>
      </c>
      <c r="P907" s="4"/>
      <c r="Q907" s="4"/>
      <c r="R907" s="4"/>
      <c r="S907" s="4"/>
      <c r="T907" s="4"/>
      <c r="U907" s="4"/>
      <c r="V907" s="4"/>
      <c r="W907" s="4">
        <v>0</v>
      </c>
      <c r="X907" s="4">
        <v>1</v>
      </c>
      <c r="Y907" s="4">
        <v>0</v>
      </c>
      <c r="Z907" s="4"/>
      <c r="AA907" s="4"/>
      <c r="AB907" s="4"/>
    </row>
    <row r="908" spans="1:206" x14ac:dyDescent="0.2">
      <c r="A908" s="4">
        <v>50</v>
      </c>
      <c r="B908" s="4">
        <v>0</v>
      </c>
      <c r="C908" s="4">
        <v>0</v>
      </c>
      <c r="D908" s="4">
        <v>1</v>
      </c>
      <c r="E908" s="4">
        <v>229</v>
      </c>
      <c r="F908" s="4">
        <f>ROUND(Source!AZ897,O908)</f>
        <v>0</v>
      </c>
      <c r="G908" s="4" t="s">
        <v>64</v>
      </c>
      <c r="H908" s="4" t="s">
        <v>65</v>
      </c>
      <c r="I908" s="4"/>
      <c r="J908" s="4"/>
      <c r="K908" s="4">
        <v>229</v>
      </c>
      <c r="L908" s="4">
        <v>10</v>
      </c>
      <c r="M908" s="4">
        <v>3</v>
      </c>
      <c r="N908" s="4" t="s">
        <v>3</v>
      </c>
      <c r="O908" s="4">
        <v>2</v>
      </c>
      <c r="P908" s="4"/>
      <c r="Q908" s="4"/>
      <c r="R908" s="4"/>
      <c r="S908" s="4"/>
      <c r="T908" s="4"/>
      <c r="U908" s="4"/>
      <c r="V908" s="4"/>
      <c r="W908" s="4">
        <v>0</v>
      </c>
      <c r="X908" s="4">
        <v>1</v>
      </c>
      <c r="Y908" s="4">
        <v>0</v>
      </c>
      <c r="Z908" s="4"/>
      <c r="AA908" s="4"/>
      <c r="AB908" s="4"/>
    </row>
    <row r="909" spans="1:206" x14ac:dyDescent="0.2">
      <c r="A909" s="4">
        <v>50</v>
      </c>
      <c r="B909" s="4">
        <v>0</v>
      </c>
      <c r="C909" s="4">
        <v>0</v>
      </c>
      <c r="D909" s="4">
        <v>1</v>
      </c>
      <c r="E909" s="4">
        <v>203</v>
      </c>
      <c r="F909" s="4">
        <f>ROUND(Source!Q897,O909)</f>
        <v>208.48</v>
      </c>
      <c r="G909" s="4" t="s">
        <v>66</v>
      </c>
      <c r="H909" s="4" t="s">
        <v>67</v>
      </c>
      <c r="I909" s="4"/>
      <c r="J909" s="4"/>
      <c r="K909" s="4">
        <v>203</v>
      </c>
      <c r="L909" s="4">
        <v>11</v>
      </c>
      <c r="M909" s="4">
        <v>3</v>
      </c>
      <c r="N909" s="4" t="s">
        <v>3</v>
      </c>
      <c r="O909" s="4">
        <v>2</v>
      </c>
      <c r="P909" s="4"/>
      <c r="Q909" s="4"/>
      <c r="R909" s="4"/>
      <c r="S909" s="4"/>
      <c r="T909" s="4"/>
      <c r="U909" s="4"/>
      <c r="V909" s="4"/>
      <c r="W909" s="4">
        <v>208.48</v>
      </c>
      <c r="X909" s="4">
        <v>1</v>
      </c>
      <c r="Y909" s="4">
        <v>208.48</v>
      </c>
      <c r="Z909" s="4"/>
      <c r="AA909" s="4"/>
      <c r="AB909" s="4"/>
    </row>
    <row r="910" spans="1:206" x14ac:dyDescent="0.2">
      <c r="A910" s="4">
        <v>50</v>
      </c>
      <c r="B910" s="4">
        <v>0</v>
      </c>
      <c r="C910" s="4">
        <v>0</v>
      </c>
      <c r="D910" s="4">
        <v>1</v>
      </c>
      <c r="E910" s="4">
        <v>231</v>
      </c>
      <c r="F910" s="4">
        <f>ROUND(Source!BB897,O910)</f>
        <v>0</v>
      </c>
      <c r="G910" s="4" t="s">
        <v>68</v>
      </c>
      <c r="H910" s="4" t="s">
        <v>69</v>
      </c>
      <c r="I910" s="4"/>
      <c r="J910" s="4"/>
      <c r="K910" s="4">
        <v>231</v>
      </c>
      <c r="L910" s="4">
        <v>12</v>
      </c>
      <c r="M910" s="4">
        <v>3</v>
      </c>
      <c r="N910" s="4" t="s">
        <v>3</v>
      </c>
      <c r="O910" s="4">
        <v>2</v>
      </c>
      <c r="P910" s="4"/>
      <c r="Q910" s="4"/>
      <c r="R910" s="4"/>
      <c r="S910" s="4"/>
      <c r="T910" s="4"/>
      <c r="U910" s="4"/>
      <c r="V910" s="4"/>
      <c r="W910" s="4">
        <v>0</v>
      </c>
      <c r="X910" s="4">
        <v>1</v>
      </c>
      <c r="Y910" s="4">
        <v>0</v>
      </c>
      <c r="Z910" s="4"/>
      <c r="AA910" s="4"/>
      <c r="AB910" s="4"/>
    </row>
    <row r="911" spans="1:206" x14ac:dyDescent="0.2">
      <c r="A911" s="4">
        <v>50</v>
      </c>
      <c r="B911" s="4">
        <v>0</v>
      </c>
      <c r="C911" s="4">
        <v>0</v>
      </c>
      <c r="D911" s="4">
        <v>1</v>
      </c>
      <c r="E911" s="4">
        <v>204</v>
      </c>
      <c r="F911" s="4">
        <f>ROUND(Source!R897,O911)</f>
        <v>132.19999999999999</v>
      </c>
      <c r="G911" s="4" t="s">
        <v>70</v>
      </c>
      <c r="H911" s="4" t="s">
        <v>71</v>
      </c>
      <c r="I911" s="4"/>
      <c r="J911" s="4"/>
      <c r="K911" s="4">
        <v>204</v>
      </c>
      <c r="L911" s="4">
        <v>13</v>
      </c>
      <c r="M911" s="4">
        <v>3</v>
      </c>
      <c r="N911" s="4" t="s">
        <v>3</v>
      </c>
      <c r="O911" s="4">
        <v>2</v>
      </c>
      <c r="P911" s="4"/>
      <c r="Q911" s="4"/>
      <c r="R911" s="4"/>
      <c r="S911" s="4"/>
      <c r="T911" s="4"/>
      <c r="U911" s="4"/>
      <c r="V911" s="4"/>
      <c r="W911" s="4">
        <v>132.19999999999999</v>
      </c>
      <c r="X911" s="4">
        <v>1</v>
      </c>
      <c r="Y911" s="4">
        <v>132.19999999999999</v>
      </c>
      <c r="Z911" s="4"/>
      <c r="AA911" s="4"/>
      <c r="AB911" s="4"/>
    </row>
    <row r="912" spans="1:206" x14ac:dyDescent="0.2">
      <c r="A912" s="4">
        <v>50</v>
      </c>
      <c r="B912" s="4">
        <v>0</v>
      </c>
      <c r="C912" s="4">
        <v>0</v>
      </c>
      <c r="D912" s="4">
        <v>1</v>
      </c>
      <c r="E912" s="4">
        <v>205</v>
      </c>
      <c r="F912" s="4">
        <f>ROUND(Source!S897,O912)</f>
        <v>604208.74</v>
      </c>
      <c r="G912" s="4" t="s">
        <v>72</v>
      </c>
      <c r="H912" s="4" t="s">
        <v>73</v>
      </c>
      <c r="I912" s="4"/>
      <c r="J912" s="4"/>
      <c r="K912" s="4">
        <v>205</v>
      </c>
      <c r="L912" s="4">
        <v>14</v>
      </c>
      <c r="M912" s="4">
        <v>3</v>
      </c>
      <c r="N912" s="4" t="s">
        <v>3</v>
      </c>
      <c r="O912" s="4">
        <v>2</v>
      </c>
      <c r="P912" s="4"/>
      <c r="Q912" s="4"/>
      <c r="R912" s="4"/>
      <c r="S912" s="4"/>
      <c r="T912" s="4"/>
      <c r="U912" s="4"/>
      <c r="V912" s="4"/>
      <c r="W912" s="4">
        <v>352922.13</v>
      </c>
      <c r="X912" s="4">
        <v>1</v>
      </c>
      <c r="Y912" s="4">
        <v>352922.13</v>
      </c>
      <c r="Z912" s="4"/>
      <c r="AA912" s="4"/>
      <c r="AB912" s="4"/>
    </row>
    <row r="913" spans="1:206" x14ac:dyDescent="0.2">
      <c r="A913" s="4">
        <v>50</v>
      </c>
      <c r="B913" s="4">
        <v>0</v>
      </c>
      <c r="C913" s="4">
        <v>0</v>
      </c>
      <c r="D913" s="4">
        <v>1</v>
      </c>
      <c r="E913" s="4">
        <v>232</v>
      </c>
      <c r="F913" s="4">
        <f>ROUND(Source!BC897,O913)</f>
        <v>0</v>
      </c>
      <c r="G913" s="4" t="s">
        <v>74</v>
      </c>
      <c r="H913" s="4" t="s">
        <v>75</v>
      </c>
      <c r="I913" s="4"/>
      <c r="J913" s="4"/>
      <c r="K913" s="4">
        <v>232</v>
      </c>
      <c r="L913" s="4">
        <v>15</v>
      </c>
      <c r="M913" s="4">
        <v>3</v>
      </c>
      <c r="N913" s="4" t="s">
        <v>3</v>
      </c>
      <c r="O913" s="4">
        <v>2</v>
      </c>
      <c r="P913" s="4"/>
      <c r="Q913" s="4"/>
      <c r="R913" s="4"/>
      <c r="S913" s="4"/>
      <c r="T913" s="4"/>
      <c r="U913" s="4"/>
      <c r="V913" s="4"/>
      <c r="W913" s="4">
        <v>0</v>
      </c>
      <c r="X913" s="4">
        <v>1</v>
      </c>
      <c r="Y913" s="4">
        <v>0</v>
      </c>
      <c r="Z913" s="4"/>
      <c r="AA913" s="4"/>
      <c r="AB913" s="4"/>
    </row>
    <row r="914" spans="1:206" x14ac:dyDescent="0.2">
      <c r="A914" s="4">
        <v>50</v>
      </c>
      <c r="B914" s="4">
        <v>0</v>
      </c>
      <c r="C914" s="4">
        <v>0</v>
      </c>
      <c r="D914" s="4">
        <v>1</v>
      </c>
      <c r="E914" s="4">
        <v>214</v>
      </c>
      <c r="F914" s="4">
        <f>ROUND(Source!AS897,O914)</f>
        <v>0</v>
      </c>
      <c r="G914" s="4" t="s">
        <v>76</v>
      </c>
      <c r="H914" s="4" t="s">
        <v>77</v>
      </c>
      <c r="I914" s="4"/>
      <c r="J914" s="4"/>
      <c r="K914" s="4">
        <v>214</v>
      </c>
      <c r="L914" s="4">
        <v>16</v>
      </c>
      <c r="M914" s="4">
        <v>3</v>
      </c>
      <c r="N914" s="4" t="s">
        <v>3</v>
      </c>
      <c r="O914" s="4">
        <v>2</v>
      </c>
      <c r="P914" s="4"/>
      <c r="Q914" s="4"/>
      <c r="R914" s="4"/>
      <c r="S914" s="4"/>
      <c r="T914" s="4"/>
      <c r="U914" s="4"/>
      <c r="V914" s="4"/>
      <c r="W914" s="4">
        <v>0</v>
      </c>
      <c r="X914" s="4">
        <v>1</v>
      </c>
      <c r="Y914" s="4">
        <v>0</v>
      </c>
      <c r="Z914" s="4"/>
      <c r="AA914" s="4"/>
      <c r="AB914" s="4"/>
    </row>
    <row r="915" spans="1:206" x14ac:dyDescent="0.2">
      <c r="A915" s="4">
        <v>50</v>
      </c>
      <c r="B915" s="4">
        <v>0</v>
      </c>
      <c r="C915" s="4">
        <v>0</v>
      </c>
      <c r="D915" s="4">
        <v>1</v>
      </c>
      <c r="E915" s="4">
        <v>215</v>
      </c>
      <c r="F915" s="4">
        <f>ROUND(Source!AT897,O915)</f>
        <v>0</v>
      </c>
      <c r="G915" s="4" t="s">
        <v>78</v>
      </c>
      <c r="H915" s="4" t="s">
        <v>79</v>
      </c>
      <c r="I915" s="4"/>
      <c r="J915" s="4"/>
      <c r="K915" s="4">
        <v>215</v>
      </c>
      <c r="L915" s="4">
        <v>17</v>
      </c>
      <c r="M915" s="4">
        <v>3</v>
      </c>
      <c r="N915" s="4" t="s">
        <v>3</v>
      </c>
      <c r="O915" s="4">
        <v>2</v>
      </c>
      <c r="P915" s="4"/>
      <c r="Q915" s="4"/>
      <c r="R915" s="4"/>
      <c r="S915" s="4"/>
      <c r="T915" s="4"/>
      <c r="U915" s="4"/>
      <c r="V915" s="4"/>
      <c r="W915" s="4">
        <v>0</v>
      </c>
      <c r="X915" s="4">
        <v>1</v>
      </c>
      <c r="Y915" s="4">
        <v>0</v>
      </c>
      <c r="Z915" s="4"/>
      <c r="AA915" s="4"/>
      <c r="AB915" s="4"/>
    </row>
    <row r="916" spans="1:206" x14ac:dyDescent="0.2">
      <c r="A916" s="4">
        <v>50</v>
      </c>
      <c r="B916" s="4">
        <v>0</v>
      </c>
      <c r="C916" s="4">
        <v>0</v>
      </c>
      <c r="D916" s="4">
        <v>1</v>
      </c>
      <c r="E916" s="4">
        <v>217</v>
      </c>
      <c r="F916" s="4">
        <f>ROUND(Source!AU897,O916)</f>
        <v>1093888.68</v>
      </c>
      <c r="G916" s="4" t="s">
        <v>80</v>
      </c>
      <c r="H916" s="4" t="s">
        <v>81</v>
      </c>
      <c r="I916" s="4"/>
      <c r="J916" s="4"/>
      <c r="K916" s="4">
        <v>217</v>
      </c>
      <c r="L916" s="4">
        <v>18</v>
      </c>
      <c r="M916" s="4">
        <v>3</v>
      </c>
      <c r="N916" s="4" t="s">
        <v>3</v>
      </c>
      <c r="O916" s="4">
        <v>2</v>
      </c>
      <c r="P916" s="4"/>
      <c r="Q916" s="4"/>
      <c r="R916" s="4"/>
      <c r="S916" s="4"/>
      <c r="T916" s="4"/>
      <c r="U916" s="4"/>
      <c r="V916" s="4"/>
      <c r="W916" s="4">
        <v>638338.26</v>
      </c>
      <c r="X916" s="4">
        <v>1</v>
      </c>
      <c r="Y916" s="4">
        <v>638338.26</v>
      </c>
      <c r="Z916" s="4"/>
      <c r="AA916" s="4"/>
      <c r="AB916" s="4"/>
    </row>
    <row r="917" spans="1:206" x14ac:dyDescent="0.2">
      <c r="A917" s="4">
        <v>50</v>
      </c>
      <c r="B917" s="4">
        <v>0</v>
      </c>
      <c r="C917" s="4">
        <v>0</v>
      </c>
      <c r="D917" s="4">
        <v>1</v>
      </c>
      <c r="E917" s="4">
        <v>230</v>
      </c>
      <c r="F917" s="4">
        <f>ROUND(Source!BA897,O917)</f>
        <v>0</v>
      </c>
      <c r="G917" s="4" t="s">
        <v>82</v>
      </c>
      <c r="H917" s="4" t="s">
        <v>83</v>
      </c>
      <c r="I917" s="4"/>
      <c r="J917" s="4"/>
      <c r="K917" s="4">
        <v>230</v>
      </c>
      <c r="L917" s="4">
        <v>19</v>
      </c>
      <c r="M917" s="4">
        <v>3</v>
      </c>
      <c r="N917" s="4" t="s">
        <v>3</v>
      </c>
      <c r="O917" s="4">
        <v>2</v>
      </c>
      <c r="P917" s="4"/>
      <c r="Q917" s="4"/>
      <c r="R917" s="4"/>
      <c r="S917" s="4"/>
      <c r="T917" s="4"/>
      <c r="U917" s="4"/>
      <c r="V917" s="4"/>
      <c r="W917" s="4">
        <v>0</v>
      </c>
      <c r="X917" s="4">
        <v>1</v>
      </c>
      <c r="Y917" s="4">
        <v>0</v>
      </c>
      <c r="Z917" s="4"/>
      <c r="AA917" s="4"/>
      <c r="AB917" s="4"/>
    </row>
    <row r="918" spans="1:206" x14ac:dyDescent="0.2">
      <c r="A918" s="4">
        <v>50</v>
      </c>
      <c r="B918" s="4">
        <v>0</v>
      </c>
      <c r="C918" s="4">
        <v>0</v>
      </c>
      <c r="D918" s="4">
        <v>1</v>
      </c>
      <c r="E918" s="4">
        <v>206</v>
      </c>
      <c r="F918" s="4">
        <f>ROUND(Source!T897,O918)</f>
        <v>0</v>
      </c>
      <c r="G918" s="4" t="s">
        <v>84</v>
      </c>
      <c r="H918" s="4" t="s">
        <v>85</v>
      </c>
      <c r="I918" s="4"/>
      <c r="J918" s="4"/>
      <c r="K918" s="4">
        <v>206</v>
      </c>
      <c r="L918" s="4">
        <v>20</v>
      </c>
      <c r="M918" s="4">
        <v>3</v>
      </c>
      <c r="N918" s="4" t="s">
        <v>3</v>
      </c>
      <c r="O918" s="4">
        <v>2</v>
      </c>
      <c r="P918" s="4"/>
      <c r="Q918" s="4"/>
      <c r="R918" s="4"/>
      <c r="S918" s="4"/>
      <c r="T918" s="4"/>
      <c r="U918" s="4"/>
      <c r="V918" s="4"/>
      <c r="W918" s="4">
        <v>0</v>
      </c>
      <c r="X918" s="4">
        <v>1</v>
      </c>
      <c r="Y918" s="4">
        <v>0</v>
      </c>
      <c r="Z918" s="4"/>
      <c r="AA918" s="4"/>
      <c r="AB918" s="4"/>
    </row>
    <row r="919" spans="1:206" x14ac:dyDescent="0.2">
      <c r="A919" s="4">
        <v>50</v>
      </c>
      <c r="B919" s="4">
        <v>0</v>
      </c>
      <c r="C919" s="4">
        <v>0</v>
      </c>
      <c r="D919" s="4">
        <v>1</v>
      </c>
      <c r="E919" s="4">
        <v>207</v>
      </c>
      <c r="F919" s="4">
        <f>Source!U897</f>
        <v>1019.8537599999999</v>
      </c>
      <c r="G919" s="4" t="s">
        <v>86</v>
      </c>
      <c r="H919" s="4" t="s">
        <v>87</v>
      </c>
      <c r="I919" s="4"/>
      <c r="J919" s="4"/>
      <c r="K919" s="4">
        <v>207</v>
      </c>
      <c r="L919" s="4">
        <v>21</v>
      </c>
      <c r="M919" s="4">
        <v>3</v>
      </c>
      <c r="N919" s="4" t="s">
        <v>3</v>
      </c>
      <c r="O919" s="4">
        <v>-1</v>
      </c>
      <c r="P919" s="4"/>
      <c r="Q919" s="4"/>
      <c r="R919" s="4"/>
      <c r="S919" s="4"/>
      <c r="T919" s="4"/>
      <c r="U919" s="4"/>
      <c r="V919" s="4"/>
      <c r="W919" s="4">
        <v>613.71320800000012</v>
      </c>
      <c r="X919" s="4">
        <v>1</v>
      </c>
      <c r="Y919" s="4">
        <v>613.71320800000012</v>
      </c>
      <c r="Z919" s="4"/>
      <c r="AA919" s="4"/>
      <c r="AB919" s="4"/>
    </row>
    <row r="920" spans="1:206" x14ac:dyDescent="0.2">
      <c r="A920" s="4">
        <v>50</v>
      </c>
      <c r="B920" s="4">
        <v>0</v>
      </c>
      <c r="C920" s="4">
        <v>0</v>
      </c>
      <c r="D920" s="4">
        <v>1</v>
      </c>
      <c r="E920" s="4">
        <v>208</v>
      </c>
      <c r="F920" s="4">
        <f>Source!V897</f>
        <v>0</v>
      </c>
      <c r="G920" s="4" t="s">
        <v>88</v>
      </c>
      <c r="H920" s="4" t="s">
        <v>89</v>
      </c>
      <c r="I920" s="4"/>
      <c r="J920" s="4"/>
      <c r="K920" s="4">
        <v>208</v>
      </c>
      <c r="L920" s="4">
        <v>22</v>
      </c>
      <c r="M920" s="4">
        <v>3</v>
      </c>
      <c r="N920" s="4" t="s">
        <v>3</v>
      </c>
      <c r="O920" s="4">
        <v>-1</v>
      </c>
      <c r="P920" s="4"/>
      <c r="Q920" s="4"/>
      <c r="R920" s="4"/>
      <c r="S920" s="4"/>
      <c r="T920" s="4"/>
      <c r="U920" s="4"/>
      <c r="V920" s="4"/>
      <c r="W920" s="4">
        <v>0</v>
      </c>
      <c r="X920" s="4">
        <v>1</v>
      </c>
      <c r="Y920" s="4">
        <v>0</v>
      </c>
      <c r="Z920" s="4"/>
      <c r="AA920" s="4"/>
      <c r="AB920" s="4"/>
    </row>
    <row r="921" spans="1:206" x14ac:dyDescent="0.2">
      <c r="A921" s="4">
        <v>50</v>
      </c>
      <c r="B921" s="4">
        <v>0</v>
      </c>
      <c r="C921" s="4">
        <v>0</v>
      </c>
      <c r="D921" s="4">
        <v>1</v>
      </c>
      <c r="E921" s="4">
        <v>209</v>
      </c>
      <c r="F921" s="4">
        <f>ROUND(Source!W897,O921)</f>
        <v>0</v>
      </c>
      <c r="G921" s="4" t="s">
        <v>90</v>
      </c>
      <c r="H921" s="4" t="s">
        <v>91</v>
      </c>
      <c r="I921" s="4"/>
      <c r="J921" s="4"/>
      <c r="K921" s="4">
        <v>209</v>
      </c>
      <c r="L921" s="4">
        <v>23</v>
      </c>
      <c r="M921" s="4">
        <v>3</v>
      </c>
      <c r="N921" s="4" t="s">
        <v>3</v>
      </c>
      <c r="O921" s="4">
        <v>2</v>
      </c>
      <c r="P921" s="4"/>
      <c r="Q921" s="4"/>
      <c r="R921" s="4"/>
      <c r="S921" s="4"/>
      <c r="T921" s="4"/>
      <c r="U921" s="4"/>
      <c r="V921" s="4"/>
      <c r="W921" s="4">
        <v>0</v>
      </c>
      <c r="X921" s="4">
        <v>1</v>
      </c>
      <c r="Y921" s="4">
        <v>0</v>
      </c>
      <c r="Z921" s="4"/>
      <c r="AA921" s="4"/>
      <c r="AB921" s="4"/>
    </row>
    <row r="922" spans="1:206" x14ac:dyDescent="0.2">
      <c r="A922" s="4">
        <v>50</v>
      </c>
      <c r="B922" s="4">
        <v>0</v>
      </c>
      <c r="C922" s="4">
        <v>0</v>
      </c>
      <c r="D922" s="4">
        <v>1</v>
      </c>
      <c r="E922" s="4">
        <v>233</v>
      </c>
      <c r="F922" s="4">
        <f>ROUND(Source!BD897,O922)</f>
        <v>0</v>
      </c>
      <c r="G922" s="4" t="s">
        <v>92</v>
      </c>
      <c r="H922" s="4" t="s">
        <v>93</v>
      </c>
      <c r="I922" s="4"/>
      <c r="J922" s="4"/>
      <c r="K922" s="4">
        <v>233</v>
      </c>
      <c r="L922" s="4">
        <v>24</v>
      </c>
      <c r="M922" s="4">
        <v>3</v>
      </c>
      <c r="N922" s="4" t="s">
        <v>3</v>
      </c>
      <c r="O922" s="4">
        <v>2</v>
      </c>
      <c r="P922" s="4"/>
      <c r="Q922" s="4"/>
      <c r="R922" s="4"/>
      <c r="S922" s="4"/>
      <c r="T922" s="4"/>
      <c r="U922" s="4"/>
      <c r="V922" s="4"/>
      <c r="W922" s="4">
        <v>0</v>
      </c>
      <c r="X922" s="4">
        <v>1</v>
      </c>
      <c r="Y922" s="4">
        <v>0</v>
      </c>
      <c r="Z922" s="4"/>
      <c r="AA922" s="4"/>
      <c r="AB922" s="4"/>
    </row>
    <row r="923" spans="1:206" x14ac:dyDescent="0.2">
      <c r="A923" s="4">
        <v>50</v>
      </c>
      <c r="B923" s="4">
        <v>0</v>
      </c>
      <c r="C923" s="4">
        <v>0</v>
      </c>
      <c r="D923" s="4">
        <v>1</v>
      </c>
      <c r="E923" s="4">
        <v>210</v>
      </c>
      <c r="F923" s="4">
        <f>ROUND(Source!X897,O923)</f>
        <v>422946.12</v>
      </c>
      <c r="G923" s="4" t="s">
        <v>94</v>
      </c>
      <c r="H923" s="4" t="s">
        <v>95</v>
      </c>
      <c r="I923" s="4"/>
      <c r="J923" s="4"/>
      <c r="K923" s="4">
        <v>210</v>
      </c>
      <c r="L923" s="4">
        <v>25</v>
      </c>
      <c r="M923" s="4">
        <v>3</v>
      </c>
      <c r="N923" s="4" t="s">
        <v>3</v>
      </c>
      <c r="O923" s="4">
        <v>2</v>
      </c>
      <c r="P923" s="4"/>
      <c r="Q923" s="4"/>
      <c r="R923" s="4"/>
      <c r="S923" s="4"/>
      <c r="T923" s="4"/>
      <c r="U923" s="4"/>
      <c r="V923" s="4"/>
      <c r="W923" s="4">
        <v>247045.5</v>
      </c>
      <c r="X923" s="4">
        <v>1</v>
      </c>
      <c r="Y923" s="4">
        <v>247045.5</v>
      </c>
      <c r="Z923" s="4"/>
      <c r="AA923" s="4"/>
      <c r="AB923" s="4"/>
    </row>
    <row r="924" spans="1:206" x14ac:dyDescent="0.2">
      <c r="A924" s="4">
        <v>50</v>
      </c>
      <c r="B924" s="4">
        <v>0</v>
      </c>
      <c r="C924" s="4">
        <v>0</v>
      </c>
      <c r="D924" s="4">
        <v>1</v>
      </c>
      <c r="E924" s="4">
        <v>211</v>
      </c>
      <c r="F924" s="4">
        <f>ROUND(Source!Y897,O924)</f>
        <v>60420.89</v>
      </c>
      <c r="G924" s="4" t="s">
        <v>96</v>
      </c>
      <c r="H924" s="4" t="s">
        <v>97</v>
      </c>
      <c r="I924" s="4"/>
      <c r="J924" s="4"/>
      <c r="K924" s="4">
        <v>211</v>
      </c>
      <c r="L924" s="4">
        <v>26</v>
      </c>
      <c r="M924" s="4">
        <v>3</v>
      </c>
      <c r="N924" s="4" t="s">
        <v>3</v>
      </c>
      <c r="O924" s="4">
        <v>2</v>
      </c>
      <c r="P924" s="4"/>
      <c r="Q924" s="4"/>
      <c r="R924" s="4"/>
      <c r="S924" s="4"/>
      <c r="T924" s="4"/>
      <c r="U924" s="4"/>
      <c r="V924" s="4"/>
      <c r="W924" s="4">
        <v>35292.230000000003</v>
      </c>
      <c r="X924" s="4">
        <v>1</v>
      </c>
      <c r="Y924" s="4">
        <v>35292.230000000003</v>
      </c>
      <c r="Z924" s="4"/>
      <c r="AA924" s="4"/>
      <c r="AB924" s="4"/>
    </row>
    <row r="925" spans="1:206" x14ac:dyDescent="0.2">
      <c r="A925" s="4">
        <v>50</v>
      </c>
      <c r="B925" s="4">
        <v>0</v>
      </c>
      <c r="C925" s="4">
        <v>0</v>
      </c>
      <c r="D925" s="4">
        <v>1</v>
      </c>
      <c r="E925" s="4">
        <v>224</v>
      </c>
      <c r="F925" s="4">
        <f>ROUND(Source!AR897,O925)</f>
        <v>1093888.68</v>
      </c>
      <c r="G925" s="4" t="s">
        <v>98</v>
      </c>
      <c r="H925" s="4" t="s">
        <v>99</v>
      </c>
      <c r="I925" s="4"/>
      <c r="J925" s="4"/>
      <c r="K925" s="4">
        <v>224</v>
      </c>
      <c r="L925" s="4">
        <v>27</v>
      </c>
      <c r="M925" s="4">
        <v>3</v>
      </c>
      <c r="N925" s="4" t="s">
        <v>3</v>
      </c>
      <c r="O925" s="4">
        <v>2</v>
      </c>
      <c r="P925" s="4"/>
      <c r="Q925" s="4"/>
      <c r="R925" s="4"/>
      <c r="S925" s="4"/>
      <c r="T925" s="4"/>
      <c r="U925" s="4"/>
      <c r="V925" s="4"/>
      <c r="W925" s="4">
        <v>638338.26</v>
      </c>
      <c r="X925" s="4">
        <v>1</v>
      </c>
      <c r="Y925" s="4">
        <v>638338.26</v>
      </c>
      <c r="Z925" s="4"/>
      <c r="AA925" s="4"/>
      <c r="AB925" s="4"/>
    </row>
    <row r="927" spans="1:206" x14ac:dyDescent="0.2">
      <c r="A927" s="2">
        <v>51</v>
      </c>
      <c r="B927" s="2">
        <f>B20</f>
        <v>1</v>
      </c>
      <c r="C927" s="2">
        <f>A20</f>
        <v>3</v>
      </c>
      <c r="D927" s="2">
        <f>ROW(A20)</f>
        <v>20</v>
      </c>
      <c r="E927" s="2"/>
      <c r="F927" s="2" t="str">
        <f>IF(F20&lt;&gt;"",F20,"")</f>
        <v/>
      </c>
      <c r="G927" s="2" t="str">
        <f>IF(G20&lt;&gt;"",G20,"")</f>
        <v>Новая локальная смета</v>
      </c>
      <c r="H927" s="2">
        <v>0</v>
      </c>
      <c r="I927" s="2"/>
      <c r="J927" s="2"/>
      <c r="K927" s="2"/>
      <c r="L927" s="2"/>
      <c r="M927" s="2"/>
      <c r="N927" s="2"/>
      <c r="O927" s="2">
        <f t="shared" ref="O927:T927" si="806">ROUND(O172+O408+O566+O897+AB927,2)</f>
        <v>1479506.74</v>
      </c>
      <c r="P927" s="2">
        <f t="shared" si="806"/>
        <v>18897.810000000001</v>
      </c>
      <c r="Q927" s="2">
        <f t="shared" si="806"/>
        <v>49277.29</v>
      </c>
      <c r="R927" s="2">
        <f t="shared" si="806"/>
        <v>30780.400000000001</v>
      </c>
      <c r="S927" s="2">
        <f t="shared" si="806"/>
        <v>1411331.64</v>
      </c>
      <c r="T927" s="2">
        <f t="shared" si="806"/>
        <v>0</v>
      </c>
      <c r="U927" s="2">
        <f>U172+U408+U566+U897+AH927</f>
        <v>2347.5673999999999</v>
      </c>
      <c r="V927" s="2">
        <f>V172+V408+V566+V897+AI927</f>
        <v>0</v>
      </c>
      <c r="W927" s="2">
        <f>ROUND(W172+W408+W566+W897+AJ927,2)</f>
        <v>0</v>
      </c>
      <c r="X927" s="2">
        <f>ROUND(X172+X408+X566+X897+AK927,2)</f>
        <v>987932.15</v>
      </c>
      <c r="Y927" s="2">
        <f>ROUND(Y172+Y408+Y566+Y897+AL927,2)</f>
        <v>141133.20000000001</v>
      </c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>
        <f t="shared" ref="AO927:BD927" si="807">ROUND(AO172+AO408+AO566+AO897+BX927,2)</f>
        <v>0</v>
      </c>
      <c r="AP927" s="2">
        <f t="shared" si="807"/>
        <v>0</v>
      </c>
      <c r="AQ927" s="2">
        <f t="shared" si="807"/>
        <v>0</v>
      </c>
      <c r="AR927" s="2">
        <f t="shared" si="807"/>
        <v>2641814.9300000002</v>
      </c>
      <c r="AS927" s="2">
        <f t="shared" si="807"/>
        <v>0</v>
      </c>
      <c r="AT927" s="2">
        <f t="shared" si="807"/>
        <v>0</v>
      </c>
      <c r="AU927" s="2">
        <f t="shared" si="807"/>
        <v>2641814.9300000002</v>
      </c>
      <c r="AV927" s="2">
        <f t="shared" si="807"/>
        <v>18897.810000000001</v>
      </c>
      <c r="AW927" s="2">
        <f t="shared" si="807"/>
        <v>18897.810000000001</v>
      </c>
      <c r="AX927" s="2">
        <f t="shared" si="807"/>
        <v>0</v>
      </c>
      <c r="AY927" s="2">
        <f t="shared" si="807"/>
        <v>18897.810000000001</v>
      </c>
      <c r="AZ927" s="2">
        <f t="shared" si="807"/>
        <v>0</v>
      </c>
      <c r="BA927" s="2">
        <f t="shared" si="807"/>
        <v>0</v>
      </c>
      <c r="BB927" s="2">
        <f t="shared" si="807"/>
        <v>0</v>
      </c>
      <c r="BC927" s="2">
        <f t="shared" si="807"/>
        <v>0</v>
      </c>
      <c r="BD927" s="2">
        <f t="shared" si="807"/>
        <v>0</v>
      </c>
      <c r="BE927" s="2"/>
      <c r="BF927" s="2"/>
      <c r="BG927" s="2"/>
      <c r="BH927" s="2"/>
      <c r="BI927" s="2"/>
      <c r="BJ927" s="2"/>
      <c r="BK927" s="2"/>
      <c r="BL927" s="2"/>
      <c r="BM927" s="2"/>
      <c r="BN927" s="2"/>
      <c r="BO927" s="2"/>
      <c r="BP927" s="2"/>
      <c r="BQ927" s="2"/>
      <c r="BR927" s="2"/>
      <c r="BS927" s="2"/>
      <c r="BT927" s="2"/>
      <c r="BU927" s="2"/>
      <c r="BV927" s="2"/>
      <c r="BW927" s="2"/>
      <c r="BX927" s="2"/>
      <c r="BY927" s="2"/>
      <c r="BZ927" s="2"/>
      <c r="CA927" s="2"/>
      <c r="CB927" s="2"/>
      <c r="CC927" s="2"/>
      <c r="CD927" s="2"/>
      <c r="CE927" s="2"/>
      <c r="CF927" s="2"/>
      <c r="CG927" s="2"/>
      <c r="CH927" s="2"/>
      <c r="CI927" s="2"/>
      <c r="CJ927" s="2"/>
      <c r="CK927" s="2"/>
      <c r="CL927" s="2"/>
      <c r="CM927" s="2"/>
      <c r="CN927" s="2"/>
      <c r="CO927" s="2"/>
      <c r="CP927" s="2"/>
      <c r="CQ927" s="2"/>
      <c r="CR927" s="2"/>
      <c r="CS927" s="2"/>
      <c r="CT927" s="2"/>
      <c r="CU927" s="2"/>
      <c r="CV927" s="2"/>
      <c r="CW927" s="2"/>
      <c r="CX927" s="2"/>
      <c r="CY927" s="2"/>
      <c r="CZ927" s="2"/>
      <c r="DA927" s="2"/>
      <c r="DB927" s="2"/>
      <c r="DC927" s="2"/>
      <c r="DD927" s="2"/>
      <c r="DE927" s="2"/>
      <c r="DF927" s="2"/>
      <c r="DG927" s="3"/>
      <c r="DH927" s="3"/>
      <c r="DI927" s="3"/>
      <c r="DJ927" s="3"/>
      <c r="DK927" s="3"/>
      <c r="DL927" s="3"/>
      <c r="DM927" s="3"/>
      <c r="DN927" s="3"/>
      <c r="DO927" s="3"/>
      <c r="DP927" s="3"/>
      <c r="DQ927" s="3"/>
      <c r="DR927" s="3"/>
      <c r="DS927" s="3"/>
      <c r="DT927" s="3"/>
      <c r="DU927" s="3"/>
      <c r="DV927" s="3"/>
      <c r="DW927" s="3"/>
      <c r="DX927" s="3"/>
      <c r="DY927" s="3"/>
      <c r="DZ927" s="3"/>
      <c r="EA927" s="3"/>
      <c r="EB927" s="3"/>
      <c r="EC927" s="3"/>
      <c r="ED927" s="3"/>
      <c r="EE927" s="3"/>
      <c r="EF927" s="3"/>
      <c r="EG927" s="3"/>
      <c r="EH927" s="3"/>
      <c r="EI927" s="3"/>
      <c r="EJ927" s="3"/>
      <c r="EK927" s="3"/>
      <c r="EL927" s="3"/>
      <c r="EM927" s="3"/>
      <c r="EN927" s="3"/>
      <c r="EO927" s="3"/>
      <c r="EP927" s="3"/>
      <c r="EQ927" s="3"/>
      <c r="ER927" s="3"/>
      <c r="ES927" s="3"/>
      <c r="ET927" s="3"/>
      <c r="EU927" s="3"/>
      <c r="EV927" s="3"/>
      <c r="EW927" s="3"/>
      <c r="EX927" s="3"/>
      <c r="EY927" s="3"/>
      <c r="EZ927" s="3"/>
      <c r="FA927" s="3"/>
      <c r="FB927" s="3"/>
      <c r="FC927" s="3"/>
      <c r="FD927" s="3"/>
      <c r="FE927" s="3"/>
      <c r="FF927" s="3"/>
      <c r="FG927" s="3"/>
      <c r="FH927" s="3"/>
      <c r="FI927" s="3"/>
      <c r="FJ927" s="3"/>
      <c r="FK927" s="3"/>
      <c r="FL927" s="3"/>
      <c r="FM927" s="3"/>
      <c r="FN927" s="3"/>
      <c r="FO927" s="3"/>
      <c r="FP927" s="3"/>
      <c r="FQ927" s="3"/>
      <c r="FR927" s="3"/>
      <c r="FS927" s="3"/>
      <c r="FT927" s="3"/>
      <c r="FU927" s="3"/>
      <c r="FV927" s="3"/>
      <c r="FW927" s="3"/>
      <c r="FX927" s="3"/>
      <c r="FY927" s="3"/>
      <c r="FZ927" s="3"/>
      <c r="GA927" s="3"/>
      <c r="GB927" s="3"/>
      <c r="GC927" s="3"/>
      <c r="GD927" s="3"/>
      <c r="GE927" s="3"/>
      <c r="GF927" s="3"/>
      <c r="GG927" s="3"/>
      <c r="GH927" s="3"/>
      <c r="GI927" s="3"/>
      <c r="GJ927" s="3"/>
      <c r="GK927" s="3"/>
      <c r="GL927" s="3"/>
      <c r="GM927" s="3"/>
      <c r="GN927" s="3"/>
      <c r="GO927" s="3"/>
      <c r="GP927" s="3"/>
      <c r="GQ927" s="3"/>
      <c r="GR927" s="3"/>
      <c r="GS927" s="3"/>
      <c r="GT927" s="3"/>
      <c r="GU927" s="3"/>
      <c r="GV927" s="3"/>
      <c r="GW927" s="3"/>
      <c r="GX927" s="3">
        <v>0</v>
      </c>
    </row>
    <row r="929" spans="1:28" x14ac:dyDescent="0.2">
      <c r="A929" s="4">
        <v>50</v>
      </c>
      <c r="B929" s="4">
        <v>0</v>
      </c>
      <c r="C929" s="4">
        <v>0</v>
      </c>
      <c r="D929" s="4">
        <v>1</v>
      </c>
      <c r="E929" s="4">
        <v>201</v>
      </c>
      <c r="F929" s="4">
        <f>ROUND(Source!O927,O929)</f>
        <v>1479506.74</v>
      </c>
      <c r="G929" s="4" t="s">
        <v>46</v>
      </c>
      <c r="H929" s="4" t="s">
        <v>47</v>
      </c>
      <c r="I929" s="4"/>
      <c r="J929" s="4"/>
      <c r="K929" s="4">
        <v>201</v>
      </c>
      <c r="L929" s="4">
        <v>1</v>
      </c>
      <c r="M929" s="4">
        <v>3</v>
      </c>
      <c r="N929" s="4" t="s">
        <v>3</v>
      </c>
      <c r="O929" s="4">
        <v>2</v>
      </c>
      <c r="P929" s="4"/>
      <c r="Q929" s="4"/>
      <c r="R929" s="4"/>
      <c r="S929" s="4"/>
      <c r="T929" s="4"/>
      <c r="U929" s="4"/>
      <c r="V929" s="4"/>
      <c r="W929" s="4">
        <v>1356153.84</v>
      </c>
      <c r="X929" s="4">
        <v>1</v>
      </c>
      <c r="Y929" s="4">
        <v>1356153.84</v>
      </c>
      <c r="Z929" s="4"/>
      <c r="AA929" s="4"/>
      <c r="AB929" s="4"/>
    </row>
    <row r="930" spans="1:28" x14ac:dyDescent="0.2">
      <c r="A930" s="4">
        <v>50</v>
      </c>
      <c r="B930" s="4">
        <v>0</v>
      </c>
      <c r="C930" s="4">
        <v>0</v>
      </c>
      <c r="D930" s="4">
        <v>1</v>
      </c>
      <c r="E930" s="4">
        <v>202</v>
      </c>
      <c r="F930" s="4">
        <f>ROUND(Source!P927,O930)</f>
        <v>18897.810000000001</v>
      </c>
      <c r="G930" s="4" t="s">
        <v>48</v>
      </c>
      <c r="H930" s="4" t="s">
        <v>49</v>
      </c>
      <c r="I930" s="4"/>
      <c r="J930" s="4"/>
      <c r="K930" s="4">
        <v>202</v>
      </c>
      <c r="L930" s="4">
        <v>2</v>
      </c>
      <c r="M930" s="4">
        <v>3</v>
      </c>
      <c r="N930" s="4" t="s">
        <v>3</v>
      </c>
      <c r="O930" s="4">
        <v>2</v>
      </c>
      <c r="P930" s="4"/>
      <c r="Q930" s="4"/>
      <c r="R930" s="4"/>
      <c r="S930" s="4"/>
      <c r="T930" s="4"/>
      <c r="U930" s="4"/>
      <c r="V930" s="4"/>
      <c r="W930" s="4">
        <v>18855.810000000001</v>
      </c>
      <c r="X930" s="4">
        <v>1</v>
      </c>
      <c r="Y930" s="4">
        <v>18855.810000000001</v>
      </c>
      <c r="Z930" s="4"/>
      <c r="AA930" s="4"/>
      <c r="AB930" s="4"/>
    </row>
    <row r="931" spans="1:28" x14ac:dyDescent="0.2">
      <c r="A931" s="4">
        <v>50</v>
      </c>
      <c r="B931" s="4">
        <v>0</v>
      </c>
      <c r="C931" s="4">
        <v>0</v>
      </c>
      <c r="D931" s="4">
        <v>1</v>
      </c>
      <c r="E931" s="4">
        <v>222</v>
      </c>
      <c r="F931" s="4">
        <f>ROUND(Source!AO927,O931)</f>
        <v>0</v>
      </c>
      <c r="G931" s="4" t="s">
        <v>50</v>
      </c>
      <c r="H931" s="4" t="s">
        <v>51</v>
      </c>
      <c r="I931" s="4"/>
      <c r="J931" s="4"/>
      <c r="K931" s="4">
        <v>222</v>
      </c>
      <c r="L931" s="4">
        <v>3</v>
      </c>
      <c r="M931" s="4">
        <v>3</v>
      </c>
      <c r="N931" s="4" t="s">
        <v>3</v>
      </c>
      <c r="O931" s="4">
        <v>2</v>
      </c>
      <c r="P931" s="4"/>
      <c r="Q931" s="4"/>
      <c r="R931" s="4"/>
      <c r="S931" s="4"/>
      <c r="T931" s="4"/>
      <c r="U931" s="4"/>
      <c r="V931" s="4"/>
      <c r="W931" s="4">
        <v>0</v>
      </c>
      <c r="X931" s="4">
        <v>1</v>
      </c>
      <c r="Y931" s="4">
        <v>0</v>
      </c>
      <c r="Z931" s="4"/>
      <c r="AA931" s="4"/>
      <c r="AB931" s="4"/>
    </row>
    <row r="932" spans="1:28" x14ac:dyDescent="0.2">
      <c r="A932" s="4">
        <v>50</v>
      </c>
      <c r="B932" s="4">
        <v>0</v>
      </c>
      <c r="C932" s="4">
        <v>0</v>
      </c>
      <c r="D932" s="4">
        <v>1</v>
      </c>
      <c r="E932" s="4">
        <v>225</v>
      </c>
      <c r="F932" s="4">
        <f>ROUND(Source!AV927,O932)</f>
        <v>18897.810000000001</v>
      </c>
      <c r="G932" s="4" t="s">
        <v>52</v>
      </c>
      <c r="H932" s="4" t="s">
        <v>53</v>
      </c>
      <c r="I932" s="4"/>
      <c r="J932" s="4"/>
      <c r="K932" s="4">
        <v>225</v>
      </c>
      <c r="L932" s="4">
        <v>4</v>
      </c>
      <c r="M932" s="4">
        <v>3</v>
      </c>
      <c r="N932" s="4" t="s">
        <v>3</v>
      </c>
      <c r="O932" s="4">
        <v>2</v>
      </c>
      <c r="P932" s="4"/>
      <c r="Q932" s="4"/>
      <c r="R932" s="4"/>
      <c r="S932" s="4"/>
      <c r="T932" s="4"/>
      <c r="U932" s="4"/>
      <c r="V932" s="4"/>
      <c r="W932" s="4">
        <v>18855.810000000001</v>
      </c>
      <c r="X932" s="4">
        <v>1</v>
      </c>
      <c r="Y932" s="4">
        <v>18855.810000000001</v>
      </c>
      <c r="Z932" s="4"/>
      <c r="AA932" s="4"/>
      <c r="AB932" s="4"/>
    </row>
    <row r="933" spans="1:28" x14ac:dyDescent="0.2">
      <c r="A933" s="4">
        <v>50</v>
      </c>
      <c r="B933" s="4">
        <v>0</v>
      </c>
      <c r="C933" s="4">
        <v>0</v>
      </c>
      <c r="D933" s="4">
        <v>1</v>
      </c>
      <c r="E933" s="4">
        <v>226</v>
      </c>
      <c r="F933" s="4">
        <f>ROUND(Source!AW927,O933)</f>
        <v>18897.810000000001</v>
      </c>
      <c r="G933" s="4" t="s">
        <v>54</v>
      </c>
      <c r="H933" s="4" t="s">
        <v>55</v>
      </c>
      <c r="I933" s="4"/>
      <c r="J933" s="4"/>
      <c r="K933" s="4">
        <v>226</v>
      </c>
      <c r="L933" s="4">
        <v>5</v>
      </c>
      <c r="M933" s="4">
        <v>3</v>
      </c>
      <c r="N933" s="4" t="s">
        <v>3</v>
      </c>
      <c r="O933" s="4">
        <v>2</v>
      </c>
      <c r="P933" s="4"/>
      <c r="Q933" s="4"/>
      <c r="R933" s="4"/>
      <c r="S933" s="4"/>
      <c r="T933" s="4"/>
      <c r="U933" s="4"/>
      <c r="V933" s="4"/>
      <c r="W933" s="4">
        <v>18855.810000000001</v>
      </c>
      <c r="X933" s="4">
        <v>1</v>
      </c>
      <c r="Y933" s="4">
        <v>18855.810000000001</v>
      </c>
      <c r="Z933" s="4"/>
      <c r="AA933" s="4"/>
      <c r="AB933" s="4"/>
    </row>
    <row r="934" spans="1:28" x14ac:dyDescent="0.2">
      <c r="A934" s="4">
        <v>50</v>
      </c>
      <c r="B934" s="4">
        <v>0</v>
      </c>
      <c r="C934" s="4">
        <v>0</v>
      </c>
      <c r="D934" s="4">
        <v>1</v>
      </c>
      <c r="E934" s="4">
        <v>227</v>
      </c>
      <c r="F934" s="4">
        <f>ROUND(Source!AX927,O934)</f>
        <v>0</v>
      </c>
      <c r="G934" s="4" t="s">
        <v>56</v>
      </c>
      <c r="H934" s="4" t="s">
        <v>57</v>
      </c>
      <c r="I934" s="4"/>
      <c r="J934" s="4"/>
      <c r="K934" s="4">
        <v>227</v>
      </c>
      <c r="L934" s="4">
        <v>6</v>
      </c>
      <c r="M934" s="4">
        <v>3</v>
      </c>
      <c r="N934" s="4" t="s">
        <v>3</v>
      </c>
      <c r="O934" s="4">
        <v>2</v>
      </c>
      <c r="P934" s="4"/>
      <c r="Q934" s="4"/>
      <c r="R934" s="4"/>
      <c r="S934" s="4"/>
      <c r="T934" s="4"/>
      <c r="U934" s="4"/>
      <c r="V934" s="4"/>
      <c r="W934" s="4">
        <v>0</v>
      </c>
      <c r="X934" s="4">
        <v>1</v>
      </c>
      <c r="Y934" s="4">
        <v>0</v>
      </c>
      <c r="Z934" s="4"/>
      <c r="AA934" s="4"/>
      <c r="AB934" s="4"/>
    </row>
    <row r="935" spans="1:28" x14ac:dyDescent="0.2">
      <c r="A935" s="4">
        <v>50</v>
      </c>
      <c r="B935" s="4">
        <v>0</v>
      </c>
      <c r="C935" s="4">
        <v>0</v>
      </c>
      <c r="D935" s="4">
        <v>1</v>
      </c>
      <c r="E935" s="4">
        <v>228</v>
      </c>
      <c r="F935" s="4">
        <f>ROUND(Source!AY927,O935)</f>
        <v>18897.810000000001</v>
      </c>
      <c r="G935" s="4" t="s">
        <v>58</v>
      </c>
      <c r="H935" s="4" t="s">
        <v>59</v>
      </c>
      <c r="I935" s="4"/>
      <c r="J935" s="4"/>
      <c r="K935" s="4">
        <v>228</v>
      </c>
      <c r="L935" s="4">
        <v>7</v>
      </c>
      <c r="M935" s="4">
        <v>3</v>
      </c>
      <c r="N935" s="4" t="s">
        <v>3</v>
      </c>
      <c r="O935" s="4">
        <v>2</v>
      </c>
      <c r="P935" s="4"/>
      <c r="Q935" s="4"/>
      <c r="R935" s="4"/>
      <c r="S935" s="4"/>
      <c r="T935" s="4"/>
      <c r="U935" s="4"/>
      <c r="V935" s="4"/>
      <c r="W935" s="4">
        <v>18855.810000000001</v>
      </c>
      <c r="X935" s="4">
        <v>1</v>
      </c>
      <c r="Y935" s="4">
        <v>18855.810000000001</v>
      </c>
      <c r="Z935" s="4"/>
      <c r="AA935" s="4"/>
      <c r="AB935" s="4"/>
    </row>
    <row r="936" spans="1:28" x14ac:dyDescent="0.2">
      <c r="A936" s="4">
        <v>50</v>
      </c>
      <c r="B936" s="4">
        <v>0</v>
      </c>
      <c r="C936" s="4">
        <v>0</v>
      </c>
      <c r="D936" s="4">
        <v>1</v>
      </c>
      <c r="E936" s="4">
        <v>216</v>
      </c>
      <c r="F936" s="4">
        <f>ROUND(Source!AP927,O936)</f>
        <v>0</v>
      </c>
      <c r="G936" s="4" t="s">
        <v>60</v>
      </c>
      <c r="H936" s="4" t="s">
        <v>61</v>
      </c>
      <c r="I936" s="4"/>
      <c r="J936" s="4"/>
      <c r="K936" s="4">
        <v>216</v>
      </c>
      <c r="L936" s="4">
        <v>8</v>
      </c>
      <c r="M936" s="4">
        <v>3</v>
      </c>
      <c r="N936" s="4" t="s">
        <v>3</v>
      </c>
      <c r="O936" s="4">
        <v>2</v>
      </c>
      <c r="P936" s="4"/>
      <c r="Q936" s="4"/>
      <c r="R936" s="4"/>
      <c r="S936" s="4"/>
      <c r="T936" s="4"/>
      <c r="U936" s="4"/>
      <c r="V936" s="4"/>
      <c r="W936" s="4">
        <v>0</v>
      </c>
      <c r="X936" s="4">
        <v>1</v>
      </c>
      <c r="Y936" s="4">
        <v>0</v>
      </c>
      <c r="Z936" s="4"/>
      <c r="AA936" s="4"/>
      <c r="AB936" s="4"/>
    </row>
    <row r="937" spans="1:28" x14ac:dyDescent="0.2">
      <c r="A937" s="4">
        <v>50</v>
      </c>
      <c r="B937" s="4">
        <v>0</v>
      </c>
      <c r="C937" s="4">
        <v>0</v>
      </c>
      <c r="D937" s="4">
        <v>1</v>
      </c>
      <c r="E937" s="4">
        <v>223</v>
      </c>
      <c r="F937" s="4">
        <f>ROUND(Source!AQ927,O937)</f>
        <v>0</v>
      </c>
      <c r="G937" s="4" t="s">
        <v>62</v>
      </c>
      <c r="H937" s="4" t="s">
        <v>63</v>
      </c>
      <c r="I937" s="4"/>
      <c r="J937" s="4"/>
      <c r="K937" s="4">
        <v>223</v>
      </c>
      <c r="L937" s="4">
        <v>9</v>
      </c>
      <c r="M937" s="4">
        <v>3</v>
      </c>
      <c r="N937" s="4" t="s">
        <v>3</v>
      </c>
      <c r="O937" s="4">
        <v>2</v>
      </c>
      <c r="P937" s="4"/>
      <c r="Q937" s="4"/>
      <c r="R937" s="4"/>
      <c r="S937" s="4"/>
      <c r="T937" s="4"/>
      <c r="U937" s="4"/>
      <c r="V937" s="4"/>
      <c r="W937" s="4">
        <v>0</v>
      </c>
      <c r="X937" s="4">
        <v>1</v>
      </c>
      <c r="Y937" s="4">
        <v>0</v>
      </c>
      <c r="Z937" s="4"/>
      <c r="AA937" s="4"/>
      <c r="AB937" s="4"/>
    </row>
    <row r="938" spans="1:28" x14ac:dyDescent="0.2">
      <c r="A938" s="4">
        <v>50</v>
      </c>
      <c r="B938" s="4">
        <v>0</v>
      </c>
      <c r="C938" s="4">
        <v>0</v>
      </c>
      <c r="D938" s="4">
        <v>1</v>
      </c>
      <c r="E938" s="4">
        <v>229</v>
      </c>
      <c r="F938" s="4">
        <f>ROUND(Source!AZ927,O938)</f>
        <v>0</v>
      </c>
      <c r="G938" s="4" t="s">
        <v>64</v>
      </c>
      <c r="H938" s="4" t="s">
        <v>65</v>
      </c>
      <c r="I938" s="4"/>
      <c r="J938" s="4"/>
      <c r="K938" s="4">
        <v>229</v>
      </c>
      <c r="L938" s="4">
        <v>10</v>
      </c>
      <c r="M938" s="4">
        <v>3</v>
      </c>
      <c r="N938" s="4" t="s">
        <v>3</v>
      </c>
      <c r="O938" s="4">
        <v>2</v>
      </c>
      <c r="P938" s="4"/>
      <c r="Q938" s="4"/>
      <c r="R938" s="4"/>
      <c r="S938" s="4"/>
      <c r="T938" s="4"/>
      <c r="U938" s="4"/>
      <c r="V938" s="4"/>
      <c r="W938" s="4">
        <v>0</v>
      </c>
      <c r="X938" s="4">
        <v>1</v>
      </c>
      <c r="Y938" s="4">
        <v>0</v>
      </c>
      <c r="Z938" s="4"/>
      <c r="AA938" s="4"/>
      <c r="AB938" s="4"/>
    </row>
    <row r="939" spans="1:28" x14ac:dyDescent="0.2">
      <c r="A939" s="4">
        <v>50</v>
      </c>
      <c r="B939" s="4">
        <v>0</v>
      </c>
      <c r="C939" s="4">
        <v>0</v>
      </c>
      <c r="D939" s="4">
        <v>1</v>
      </c>
      <c r="E939" s="4">
        <v>203</v>
      </c>
      <c r="F939" s="4">
        <f>ROUND(Source!Q927,O939)</f>
        <v>49277.29</v>
      </c>
      <c r="G939" s="4" t="s">
        <v>66</v>
      </c>
      <c r="H939" s="4" t="s">
        <v>67</v>
      </c>
      <c r="I939" s="4"/>
      <c r="J939" s="4"/>
      <c r="K939" s="4">
        <v>203</v>
      </c>
      <c r="L939" s="4">
        <v>11</v>
      </c>
      <c r="M939" s="4">
        <v>3</v>
      </c>
      <c r="N939" s="4" t="s">
        <v>3</v>
      </c>
      <c r="O939" s="4">
        <v>2</v>
      </c>
      <c r="P939" s="4"/>
      <c r="Q939" s="4"/>
      <c r="R939" s="4"/>
      <c r="S939" s="4"/>
      <c r="T939" s="4"/>
      <c r="U939" s="4"/>
      <c r="V939" s="4"/>
      <c r="W939" s="4">
        <v>38019.370000000003</v>
      </c>
      <c r="X939" s="4">
        <v>1</v>
      </c>
      <c r="Y939" s="4">
        <v>38019.370000000003</v>
      </c>
      <c r="Z939" s="4"/>
      <c r="AA939" s="4"/>
      <c r="AB939" s="4"/>
    </row>
    <row r="940" spans="1:28" x14ac:dyDescent="0.2">
      <c r="A940" s="4">
        <v>50</v>
      </c>
      <c r="B940" s="4">
        <v>0</v>
      </c>
      <c r="C940" s="4">
        <v>0</v>
      </c>
      <c r="D940" s="4">
        <v>1</v>
      </c>
      <c r="E940" s="4">
        <v>231</v>
      </c>
      <c r="F940" s="4">
        <f>ROUND(Source!BB927,O940)</f>
        <v>0</v>
      </c>
      <c r="G940" s="4" t="s">
        <v>68</v>
      </c>
      <c r="H940" s="4" t="s">
        <v>69</v>
      </c>
      <c r="I940" s="4"/>
      <c r="J940" s="4"/>
      <c r="K940" s="4">
        <v>231</v>
      </c>
      <c r="L940" s="4">
        <v>12</v>
      </c>
      <c r="M940" s="4">
        <v>3</v>
      </c>
      <c r="N940" s="4" t="s">
        <v>3</v>
      </c>
      <c r="O940" s="4">
        <v>2</v>
      </c>
      <c r="P940" s="4"/>
      <c r="Q940" s="4"/>
      <c r="R940" s="4"/>
      <c r="S940" s="4"/>
      <c r="T940" s="4"/>
      <c r="U940" s="4"/>
      <c r="V940" s="4"/>
      <c r="W940" s="4">
        <v>0</v>
      </c>
      <c r="X940" s="4">
        <v>1</v>
      </c>
      <c r="Y940" s="4">
        <v>0</v>
      </c>
      <c r="Z940" s="4"/>
      <c r="AA940" s="4"/>
      <c r="AB940" s="4"/>
    </row>
    <row r="941" spans="1:28" x14ac:dyDescent="0.2">
      <c r="A941" s="4">
        <v>50</v>
      </c>
      <c r="B941" s="4">
        <v>0</v>
      </c>
      <c r="C941" s="4">
        <v>0</v>
      </c>
      <c r="D941" s="4">
        <v>1</v>
      </c>
      <c r="E941" s="4">
        <v>204</v>
      </c>
      <c r="F941" s="4">
        <f>ROUND(Source!R927,O941)</f>
        <v>30780.400000000001</v>
      </c>
      <c r="G941" s="4" t="s">
        <v>70</v>
      </c>
      <c r="H941" s="4" t="s">
        <v>71</v>
      </c>
      <c r="I941" s="4"/>
      <c r="J941" s="4"/>
      <c r="K941" s="4">
        <v>204</v>
      </c>
      <c r="L941" s="4">
        <v>13</v>
      </c>
      <c r="M941" s="4">
        <v>3</v>
      </c>
      <c r="N941" s="4" t="s">
        <v>3</v>
      </c>
      <c r="O941" s="4">
        <v>2</v>
      </c>
      <c r="P941" s="4"/>
      <c r="Q941" s="4"/>
      <c r="R941" s="4"/>
      <c r="S941" s="4"/>
      <c r="T941" s="4"/>
      <c r="U941" s="4"/>
      <c r="V941" s="4"/>
      <c r="W941" s="4">
        <v>23642.32</v>
      </c>
      <c r="X941" s="4">
        <v>1</v>
      </c>
      <c r="Y941" s="4">
        <v>23642.32</v>
      </c>
      <c r="Z941" s="4"/>
      <c r="AA941" s="4"/>
      <c r="AB941" s="4"/>
    </row>
    <row r="942" spans="1:28" x14ac:dyDescent="0.2">
      <c r="A942" s="4">
        <v>50</v>
      </c>
      <c r="B942" s="4">
        <v>0</v>
      </c>
      <c r="C942" s="4">
        <v>0</v>
      </c>
      <c r="D942" s="4">
        <v>1</v>
      </c>
      <c r="E942" s="4">
        <v>205</v>
      </c>
      <c r="F942" s="4">
        <f>ROUND(Source!S927,O942)</f>
        <v>1411331.64</v>
      </c>
      <c r="G942" s="4" t="s">
        <v>72</v>
      </c>
      <c r="H942" s="4" t="s">
        <v>73</v>
      </c>
      <c r="I942" s="4"/>
      <c r="J942" s="4"/>
      <c r="K942" s="4">
        <v>205</v>
      </c>
      <c r="L942" s="4">
        <v>14</v>
      </c>
      <c r="M942" s="4">
        <v>3</v>
      </c>
      <c r="N942" s="4" t="s">
        <v>3</v>
      </c>
      <c r="O942" s="4">
        <v>2</v>
      </c>
      <c r="P942" s="4"/>
      <c r="Q942" s="4"/>
      <c r="R942" s="4"/>
      <c r="S942" s="4"/>
      <c r="T942" s="4"/>
      <c r="U942" s="4"/>
      <c r="V942" s="4"/>
      <c r="W942" s="4">
        <v>1299278.6599999999</v>
      </c>
      <c r="X942" s="4">
        <v>1</v>
      </c>
      <c r="Y942" s="4">
        <v>1299278.6599999999</v>
      </c>
      <c r="Z942" s="4"/>
      <c r="AA942" s="4"/>
      <c r="AB942" s="4"/>
    </row>
    <row r="943" spans="1:28" x14ac:dyDescent="0.2">
      <c r="A943" s="4">
        <v>50</v>
      </c>
      <c r="B943" s="4">
        <v>0</v>
      </c>
      <c r="C943" s="4">
        <v>0</v>
      </c>
      <c r="D943" s="4">
        <v>1</v>
      </c>
      <c r="E943" s="4">
        <v>232</v>
      </c>
      <c r="F943" s="4">
        <f>ROUND(Source!BC927,O943)</f>
        <v>0</v>
      </c>
      <c r="G943" s="4" t="s">
        <v>74</v>
      </c>
      <c r="H943" s="4" t="s">
        <v>75</v>
      </c>
      <c r="I943" s="4"/>
      <c r="J943" s="4"/>
      <c r="K943" s="4">
        <v>232</v>
      </c>
      <c r="L943" s="4">
        <v>15</v>
      </c>
      <c r="M943" s="4">
        <v>3</v>
      </c>
      <c r="N943" s="4" t="s">
        <v>3</v>
      </c>
      <c r="O943" s="4">
        <v>2</v>
      </c>
      <c r="P943" s="4"/>
      <c r="Q943" s="4"/>
      <c r="R943" s="4"/>
      <c r="S943" s="4"/>
      <c r="T943" s="4"/>
      <c r="U943" s="4"/>
      <c r="V943" s="4"/>
      <c r="W943" s="4">
        <v>0</v>
      </c>
      <c r="X943" s="4">
        <v>1</v>
      </c>
      <c r="Y943" s="4">
        <v>0</v>
      </c>
      <c r="Z943" s="4"/>
      <c r="AA943" s="4"/>
      <c r="AB943" s="4"/>
    </row>
    <row r="944" spans="1:28" x14ac:dyDescent="0.2">
      <c r="A944" s="4">
        <v>50</v>
      </c>
      <c r="B944" s="4">
        <v>0</v>
      </c>
      <c r="C944" s="4">
        <v>0</v>
      </c>
      <c r="D944" s="4">
        <v>1</v>
      </c>
      <c r="E944" s="4">
        <v>214</v>
      </c>
      <c r="F944" s="4">
        <f>ROUND(Source!AS927,O944)</f>
        <v>0</v>
      </c>
      <c r="G944" s="4" t="s">
        <v>76</v>
      </c>
      <c r="H944" s="4" t="s">
        <v>77</v>
      </c>
      <c r="I944" s="4"/>
      <c r="J944" s="4"/>
      <c r="K944" s="4">
        <v>214</v>
      </c>
      <c r="L944" s="4">
        <v>16</v>
      </c>
      <c r="M944" s="4">
        <v>3</v>
      </c>
      <c r="N944" s="4" t="s">
        <v>3</v>
      </c>
      <c r="O944" s="4">
        <v>2</v>
      </c>
      <c r="P944" s="4"/>
      <c r="Q944" s="4"/>
      <c r="R944" s="4"/>
      <c r="S944" s="4"/>
      <c r="T944" s="4"/>
      <c r="U944" s="4"/>
      <c r="V944" s="4"/>
      <c r="W944" s="4">
        <v>0</v>
      </c>
      <c r="X944" s="4">
        <v>1</v>
      </c>
      <c r="Y944" s="4">
        <v>0</v>
      </c>
      <c r="Z944" s="4"/>
      <c r="AA944" s="4"/>
      <c r="AB944" s="4"/>
    </row>
    <row r="945" spans="1:206" x14ac:dyDescent="0.2">
      <c r="A945" s="4">
        <v>50</v>
      </c>
      <c r="B945" s="4">
        <v>0</v>
      </c>
      <c r="C945" s="4">
        <v>0</v>
      </c>
      <c r="D945" s="4">
        <v>1</v>
      </c>
      <c r="E945" s="4">
        <v>215</v>
      </c>
      <c r="F945" s="4">
        <f>ROUND(Source!AT927,O945)</f>
        <v>0</v>
      </c>
      <c r="G945" s="4" t="s">
        <v>78</v>
      </c>
      <c r="H945" s="4" t="s">
        <v>79</v>
      </c>
      <c r="I945" s="4"/>
      <c r="J945" s="4"/>
      <c r="K945" s="4">
        <v>215</v>
      </c>
      <c r="L945" s="4">
        <v>17</v>
      </c>
      <c r="M945" s="4">
        <v>3</v>
      </c>
      <c r="N945" s="4" t="s">
        <v>3</v>
      </c>
      <c r="O945" s="4">
        <v>2</v>
      </c>
      <c r="P945" s="4"/>
      <c r="Q945" s="4"/>
      <c r="R945" s="4"/>
      <c r="S945" s="4"/>
      <c r="T945" s="4"/>
      <c r="U945" s="4"/>
      <c r="V945" s="4"/>
      <c r="W945" s="4">
        <v>0</v>
      </c>
      <c r="X945" s="4">
        <v>1</v>
      </c>
      <c r="Y945" s="4">
        <v>0</v>
      </c>
      <c r="Z945" s="4"/>
      <c r="AA945" s="4"/>
      <c r="AB945" s="4"/>
    </row>
    <row r="946" spans="1:206" x14ac:dyDescent="0.2">
      <c r="A946" s="4">
        <v>50</v>
      </c>
      <c r="B946" s="4">
        <v>0</v>
      </c>
      <c r="C946" s="4">
        <v>0</v>
      </c>
      <c r="D946" s="4">
        <v>1</v>
      </c>
      <c r="E946" s="4">
        <v>217</v>
      </c>
      <c r="F946" s="4">
        <f>ROUND(Source!AU927,O946)</f>
        <v>2641814.9300000002</v>
      </c>
      <c r="G946" s="4" t="s">
        <v>80</v>
      </c>
      <c r="H946" s="4" t="s">
        <v>81</v>
      </c>
      <c r="I946" s="4"/>
      <c r="J946" s="4"/>
      <c r="K946" s="4">
        <v>217</v>
      </c>
      <c r="L946" s="4">
        <v>18</v>
      </c>
      <c r="M946" s="4">
        <v>3</v>
      </c>
      <c r="N946" s="4" t="s">
        <v>3</v>
      </c>
      <c r="O946" s="4">
        <v>2</v>
      </c>
      <c r="P946" s="4"/>
      <c r="Q946" s="4"/>
      <c r="R946" s="4"/>
      <c r="S946" s="4"/>
      <c r="T946" s="4"/>
      <c r="U946" s="4"/>
      <c r="V946" s="4"/>
      <c r="W946" s="4">
        <v>2421110.5099999998</v>
      </c>
      <c r="X946" s="4">
        <v>1</v>
      </c>
      <c r="Y946" s="4">
        <v>2421110.5099999998</v>
      </c>
      <c r="Z946" s="4"/>
      <c r="AA946" s="4"/>
      <c r="AB946" s="4"/>
    </row>
    <row r="947" spans="1:206" x14ac:dyDescent="0.2">
      <c r="A947" s="4">
        <v>50</v>
      </c>
      <c r="B947" s="4">
        <v>0</v>
      </c>
      <c r="C947" s="4">
        <v>0</v>
      </c>
      <c r="D947" s="4">
        <v>1</v>
      </c>
      <c r="E947" s="4">
        <v>230</v>
      </c>
      <c r="F947" s="4">
        <f>ROUND(Source!BA927,O947)</f>
        <v>0</v>
      </c>
      <c r="G947" s="4" t="s">
        <v>82</v>
      </c>
      <c r="H947" s="4" t="s">
        <v>83</v>
      </c>
      <c r="I947" s="4"/>
      <c r="J947" s="4"/>
      <c r="K947" s="4">
        <v>230</v>
      </c>
      <c r="L947" s="4">
        <v>19</v>
      </c>
      <c r="M947" s="4">
        <v>3</v>
      </c>
      <c r="N947" s="4" t="s">
        <v>3</v>
      </c>
      <c r="O947" s="4">
        <v>2</v>
      </c>
      <c r="P947" s="4"/>
      <c r="Q947" s="4"/>
      <c r="R947" s="4"/>
      <c r="S947" s="4"/>
      <c r="T947" s="4"/>
      <c r="U947" s="4"/>
      <c r="V947" s="4"/>
      <c r="W947" s="4">
        <v>0</v>
      </c>
      <c r="X947" s="4">
        <v>1</v>
      </c>
      <c r="Y947" s="4">
        <v>0</v>
      </c>
      <c r="Z947" s="4"/>
      <c r="AA947" s="4"/>
      <c r="AB947" s="4"/>
    </row>
    <row r="948" spans="1:206" x14ac:dyDescent="0.2">
      <c r="A948" s="4">
        <v>50</v>
      </c>
      <c r="B948" s="4">
        <v>0</v>
      </c>
      <c r="C948" s="4">
        <v>0</v>
      </c>
      <c r="D948" s="4">
        <v>1</v>
      </c>
      <c r="E948" s="4">
        <v>206</v>
      </c>
      <c r="F948" s="4">
        <f>ROUND(Source!T927,O948)</f>
        <v>0</v>
      </c>
      <c r="G948" s="4" t="s">
        <v>84</v>
      </c>
      <c r="H948" s="4" t="s">
        <v>85</v>
      </c>
      <c r="I948" s="4"/>
      <c r="J948" s="4"/>
      <c r="K948" s="4">
        <v>206</v>
      </c>
      <c r="L948" s="4">
        <v>20</v>
      </c>
      <c r="M948" s="4">
        <v>3</v>
      </c>
      <c r="N948" s="4" t="s">
        <v>3</v>
      </c>
      <c r="O948" s="4">
        <v>2</v>
      </c>
      <c r="P948" s="4"/>
      <c r="Q948" s="4"/>
      <c r="R948" s="4"/>
      <c r="S948" s="4"/>
      <c r="T948" s="4"/>
      <c r="U948" s="4"/>
      <c r="V948" s="4"/>
      <c r="W948" s="4">
        <v>0</v>
      </c>
      <c r="X948" s="4">
        <v>1</v>
      </c>
      <c r="Y948" s="4">
        <v>0</v>
      </c>
      <c r="Z948" s="4"/>
      <c r="AA948" s="4"/>
      <c r="AB948" s="4"/>
    </row>
    <row r="949" spans="1:206" x14ac:dyDescent="0.2">
      <c r="A949" s="4">
        <v>50</v>
      </c>
      <c r="B949" s="4">
        <v>0</v>
      </c>
      <c r="C949" s="4">
        <v>0</v>
      </c>
      <c r="D949" s="4">
        <v>1</v>
      </c>
      <c r="E949" s="4">
        <v>207</v>
      </c>
      <c r="F949" s="4">
        <f>Source!U927</f>
        <v>2347.5673999999999</v>
      </c>
      <c r="G949" s="4" t="s">
        <v>86</v>
      </c>
      <c r="H949" s="4" t="s">
        <v>87</v>
      </c>
      <c r="I949" s="4"/>
      <c r="J949" s="4"/>
      <c r="K949" s="4">
        <v>207</v>
      </c>
      <c r="L949" s="4">
        <v>21</v>
      </c>
      <c r="M949" s="4">
        <v>3</v>
      </c>
      <c r="N949" s="4" t="s">
        <v>3</v>
      </c>
      <c r="O949" s="4">
        <v>-1</v>
      </c>
      <c r="P949" s="4"/>
      <c r="Q949" s="4"/>
      <c r="R949" s="4"/>
      <c r="S949" s="4"/>
      <c r="T949" s="4"/>
      <c r="U949" s="4"/>
      <c r="V949" s="4"/>
      <c r="W949" s="4">
        <v>2151.3823999999995</v>
      </c>
      <c r="X949" s="4">
        <v>1</v>
      </c>
      <c r="Y949" s="4">
        <v>2151.3823999999995</v>
      </c>
      <c r="Z949" s="4"/>
      <c r="AA949" s="4"/>
      <c r="AB949" s="4"/>
    </row>
    <row r="950" spans="1:206" x14ac:dyDescent="0.2">
      <c r="A950" s="4">
        <v>50</v>
      </c>
      <c r="B950" s="4">
        <v>0</v>
      </c>
      <c r="C950" s="4">
        <v>0</v>
      </c>
      <c r="D950" s="4">
        <v>1</v>
      </c>
      <c r="E950" s="4">
        <v>208</v>
      </c>
      <c r="F950" s="4">
        <f>Source!V927</f>
        <v>0</v>
      </c>
      <c r="G950" s="4" t="s">
        <v>88</v>
      </c>
      <c r="H950" s="4" t="s">
        <v>89</v>
      </c>
      <c r="I950" s="4"/>
      <c r="J950" s="4"/>
      <c r="K950" s="4">
        <v>208</v>
      </c>
      <c r="L950" s="4">
        <v>22</v>
      </c>
      <c r="M950" s="4">
        <v>3</v>
      </c>
      <c r="N950" s="4" t="s">
        <v>3</v>
      </c>
      <c r="O950" s="4">
        <v>-1</v>
      </c>
      <c r="P950" s="4"/>
      <c r="Q950" s="4"/>
      <c r="R950" s="4"/>
      <c r="S950" s="4"/>
      <c r="T950" s="4"/>
      <c r="U950" s="4"/>
      <c r="V950" s="4"/>
      <c r="W950" s="4">
        <v>0</v>
      </c>
      <c r="X950" s="4">
        <v>1</v>
      </c>
      <c r="Y950" s="4">
        <v>0</v>
      </c>
      <c r="Z950" s="4"/>
      <c r="AA950" s="4"/>
      <c r="AB950" s="4"/>
    </row>
    <row r="951" spans="1:206" x14ac:dyDescent="0.2">
      <c r="A951" s="4">
        <v>50</v>
      </c>
      <c r="B951" s="4">
        <v>0</v>
      </c>
      <c r="C951" s="4">
        <v>0</v>
      </c>
      <c r="D951" s="4">
        <v>1</v>
      </c>
      <c r="E951" s="4">
        <v>209</v>
      </c>
      <c r="F951" s="4">
        <f>ROUND(Source!W927,O951)</f>
        <v>0</v>
      </c>
      <c r="G951" s="4" t="s">
        <v>90</v>
      </c>
      <c r="H951" s="4" t="s">
        <v>91</v>
      </c>
      <c r="I951" s="4"/>
      <c r="J951" s="4"/>
      <c r="K951" s="4">
        <v>209</v>
      </c>
      <c r="L951" s="4">
        <v>23</v>
      </c>
      <c r="M951" s="4">
        <v>3</v>
      </c>
      <c r="N951" s="4" t="s">
        <v>3</v>
      </c>
      <c r="O951" s="4">
        <v>2</v>
      </c>
      <c r="P951" s="4"/>
      <c r="Q951" s="4"/>
      <c r="R951" s="4"/>
      <c r="S951" s="4"/>
      <c r="T951" s="4"/>
      <c r="U951" s="4"/>
      <c r="V951" s="4"/>
      <c r="W951" s="4">
        <v>0</v>
      </c>
      <c r="X951" s="4">
        <v>1</v>
      </c>
      <c r="Y951" s="4">
        <v>0</v>
      </c>
      <c r="Z951" s="4"/>
      <c r="AA951" s="4"/>
      <c r="AB951" s="4"/>
    </row>
    <row r="952" spans="1:206" x14ac:dyDescent="0.2">
      <c r="A952" s="4">
        <v>50</v>
      </c>
      <c r="B952" s="4">
        <v>0</v>
      </c>
      <c r="C952" s="4">
        <v>0</v>
      </c>
      <c r="D952" s="4">
        <v>1</v>
      </c>
      <c r="E952" s="4">
        <v>233</v>
      </c>
      <c r="F952" s="4">
        <f>ROUND(Source!BD927,O952)</f>
        <v>0</v>
      </c>
      <c r="G952" s="4" t="s">
        <v>92</v>
      </c>
      <c r="H952" s="4" t="s">
        <v>93</v>
      </c>
      <c r="I952" s="4"/>
      <c r="J952" s="4"/>
      <c r="K952" s="4">
        <v>233</v>
      </c>
      <c r="L952" s="4">
        <v>24</v>
      </c>
      <c r="M952" s="4">
        <v>3</v>
      </c>
      <c r="N952" s="4" t="s">
        <v>3</v>
      </c>
      <c r="O952" s="4">
        <v>2</v>
      </c>
      <c r="P952" s="4"/>
      <c r="Q952" s="4"/>
      <c r="R952" s="4"/>
      <c r="S952" s="4"/>
      <c r="T952" s="4"/>
      <c r="U952" s="4"/>
      <c r="V952" s="4"/>
      <c r="W952" s="4">
        <v>0</v>
      </c>
      <c r="X952" s="4">
        <v>1</v>
      </c>
      <c r="Y952" s="4">
        <v>0</v>
      </c>
      <c r="Z952" s="4"/>
      <c r="AA952" s="4"/>
      <c r="AB952" s="4"/>
    </row>
    <row r="953" spans="1:206" x14ac:dyDescent="0.2">
      <c r="A953" s="4">
        <v>50</v>
      </c>
      <c r="B953" s="4">
        <v>0</v>
      </c>
      <c r="C953" s="4">
        <v>0</v>
      </c>
      <c r="D953" s="4">
        <v>1</v>
      </c>
      <c r="E953" s="4">
        <v>210</v>
      </c>
      <c r="F953" s="4">
        <f>ROUND(Source!X927,O953)</f>
        <v>987932.15</v>
      </c>
      <c r="G953" s="4" t="s">
        <v>94</v>
      </c>
      <c r="H953" s="4" t="s">
        <v>95</v>
      </c>
      <c r="I953" s="4"/>
      <c r="J953" s="4"/>
      <c r="K953" s="4">
        <v>210</v>
      </c>
      <c r="L953" s="4">
        <v>25</v>
      </c>
      <c r="M953" s="4">
        <v>3</v>
      </c>
      <c r="N953" s="4" t="s">
        <v>3</v>
      </c>
      <c r="O953" s="4">
        <v>2</v>
      </c>
      <c r="P953" s="4"/>
      <c r="Q953" s="4"/>
      <c r="R953" s="4"/>
      <c r="S953" s="4"/>
      <c r="T953" s="4"/>
      <c r="U953" s="4"/>
      <c r="V953" s="4"/>
      <c r="W953" s="4">
        <v>909495.06</v>
      </c>
      <c r="X953" s="4">
        <v>1</v>
      </c>
      <c r="Y953" s="4">
        <v>909495.06</v>
      </c>
      <c r="Z953" s="4"/>
      <c r="AA953" s="4"/>
      <c r="AB953" s="4"/>
    </row>
    <row r="954" spans="1:206" x14ac:dyDescent="0.2">
      <c r="A954" s="4">
        <v>50</v>
      </c>
      <c r="B954" s="4">
        <v>0</v>
      </c>
      <c r="C954" s="4">
        <v>0</v>
      </c>
      <c r="D954" s="4">
        <v>1</v>
      </c>
      <c r="E954" s="4">
        <v>211</v>
      </c>
      <c r="F954" s="4">
        <f>ROUND(Source!Y927,O954)</f>
        <v>141133.20000000001</v>
      </c>
      <c r="G954" s="4" t="s">
        <v>96</v>
      </c>
      <c r="H954" s="4" t="s">
        <v>97</v>
      </c>
      <c r="I954" s="4"/>
      <c r="J954" s="4"/>
      <c r="K954" s="4">
        <v>211</v>
      </c>
      <c r="L954" s="4">
        <v>26</v>
      </c>
      <c r="M954" s="4">
        <v>3</v>
      </c>
      <c r="N954" s="4" t="s">
        <v>3</v>
      </c>
      <c r="O954" s="4">
        <v>2</v>
      </c>
      <c r="P954" s="4"/>
      <c r="Q954" s="4"/>
      <c r="R954" s="4"/>
      <c r="S954" s="4"/>
      <c r="T954" s="4"/>
      <c r="U954" s="4"/>
      <c r="V954" s="4"/>
      <c r="W954" s="4">
        <v>129927.9</v>
      </c>
      <c r="X954" s="4">
        <v>1</v>
      </c>
      <c r="Y954" s="4">
        <v>129927.9</v>
      </c>
      <c r="Z954" s="4"/>
      <c r="AA954" s="4"/>
      <c r="AB954" s="4"/>
    </row>
    <row r="955" spans="1:206" x14ac:dyDescent="0.2">
      <c r="A955" s="4">
        <v>50</v>
      </c>
      <c r="B955" s="4">
        <v>0</v>
      </c>
      <c r="C955" s="4">
        <v>0</v>
      </c>
      <c r="D955" s="4">
        <v>1</v>
      </c>
      <c r="E955" s="4">
        <v>224</v>
      </c>
      <c r="F955" s="4">
        <f>ROUND(Source!AR927,O955)</f>
        <v>2641814.9300000002</v>
      </c>
      <c r="G955" s="4" t="s">
        <v>98</v>
      </c>
      <c r="H955" s="4" t="s">
        <v>99</v>
      </c>
      <c r="I955" s="4"/>
      <c r="J955" s="4"/>
      <c r="K955" s="4">
        <v>224</v>
      </c>
      <c r="L955" s="4">
        <v>27</v>
      </c>
      <c r="M955" s="4">
        <v>3</v>
      </c>
      <c r="N955" s="4" t="s">
        <v>3</v>
      </c>
      <c r="O955" s="4">
        <v>2</v>
      </c>
      <c r="P955" s="4"/>
      <c r="Q955" s="4"/>
      <c r="R955" s="4"/>
      <c r="S955" s="4"/>
      <c r="T955" s="4"/>
      <c r="U955" s="4"/>
      <c r="V955" s="4"/>
      <c r="W955" s="4">
        <v>2421110.5099999998</v>
      </c>
      <c r="X955" s="4">
        <v>1</v>
      </c>
      <c r="Y955" s="4">
        <v>2421110.5099999998</v>
      </c>
      <c r="Z955" s="4"/>
      <c r="AA955" s="4"/>
      <c r="AB955" s="4"/>
    </row>
    <row r="957" spans="1:206" x14ac:dyDescent="0.2">
      <c r="A957" s="2">
        <v>51</v>
      </c>
      <c r="B957" s="2">
        <f>B12</f>
        <v>996</v>
      </c>
      <c r="C957" s="2">
        <f>A12</f>
        <v>1</v>
      </c>
      <c r="D957" s="2">
        <f>ROW(A12)</f>
        <v>12</v>
      </c>
      <c r="E957" s="2"/>
      <c r="F957" s="2" t="str">
        <f>IF(F12&lt;&gt;"",F12,"")</f>
        <v>Новый объект_(Копия)_(Копия)</v>
      </c>
      <c r="G957" s="2" t="str">
        <f>IF(G12&lt;&gt;"",G12,"")</f>
        <v>СН_7.2_на 4 мес. (10%) испр.</v>
      </c>
      <c r="H957" s="2">
        <v>0</v>
      </c>
      <c r="I957" s="2"/>
      <c r="J957" s="2"/>
      <c r="K957" s="2"/>
      <c r="L957" s="2"/>
      <c r="M957" s="2"/>
      <c r="N957" s="2"/>
      <c r="O957" s="2">
        <f t="shared" ref="O957:T957" si="808">ROUND(O927,2)</f>
        <v>1479506.74</v>
      </c>
      <c r="P957" s="2">
        <f t="shared" si="808"/>
        <v>18897.810000000001</v>
      </c>
      <c r="Q957" s="2">
        <f t="shared" si="808"/>
        <v>49277.29</v>
      </c>
      <c r="R957" s="2">
        <f t="shared" si="808"/>
        <v>30780.400000000001</v>
      </c>
      <c r="S957" s="2">
        <f t="shared" si="808"/>
        <v>1411331.64</v>
      </c>
      <c r="T957" s="2">
        <f t="shared" si="808"/>
        <v>0</v>
      </c>
      <c r="U957" s="2">
        <f>U927</f>
        <v>2347.5673999999999</v>
      </c>
      <c r="V957" s="2">
        <f>V927</f>
        <v>0</v>
      </c>
      <c r="W957" s="2">
        <f>ROUND(W927,2)</f>
        <v>0</v>
      </c>
      <c r="X957" s="2">
        <f>ROUND(X927,2)</f>
        <v>987932.15</v>
      </c>
      <c r="Y957" s="2">
        <f>ROUND(Y927,2)</f>
        <v>141133.20000000001</v>
      </c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>
        <f t="shared" ref="AO957:BD957" si="809">ROUND(AO927,2)</f>
        <v>0</v>
      </c>
      <c r="AP957" s="2">
        <f t="shared" si="809"/>
        <v>0</v>
      </c>
      <c r="AQ957" s="2">
        <f t="shared" si="809"/>
        <v>0</v>
      </c>
      <c r="AR957" s="2">
        <f t="shared" si="809"/>
        <v>2641814.9300000002</v>
      </c>
      <c r="AS957" s="2">
        <f t="shared" si="809"/>
        <v>0</v>
      </c>
      <c r="AT957" s="2">
        <f t="shared" si="809"/>
        <v>0</v>
      </c>
      <c r="AU957" s="2">
        <f t="shared" si="809"/>
        <v>2641814.9300000002</v>
      </c>
      <c r="AV957" s="2">
        <f t="shared" si="809"/>
        <v>18897.810000000001</v>
      </c>
      <c r="AW957" s="2">
        <f t="shared" si="809"/>
        <v>18897.810000000001</v>
      </c>
      <c r="AX957" s="2">
        <f t="shared" si="809"/>
        <v>0</v>
      </c>
      <c r="AY957" s="2">
        <f t="shared" si="809"/>
        <v>18897.810000000001</v>
      </c>
      <c r="AZ957" s="2">
        <f t="shared" si="809"/>
        <v>0</v>
      </c>
      <c r="BA957" s="2">
        <f t="shared" si="809"/>
        <v>0</v>
      </c>
      <c r="BB957" s="2">
        <f t="shared" si="809"/>
        <v>0</v>
      </c>
      <c r="BC957" s="2">
        <f t="shared" si="809"/>
        <v>0</v>
      </c>
      <c r="BD957" s="2">
        <f t="shared" si="809"/>
        <v>0</v>
      </c>
      <c r="BE957" s="2"/>
      <c r="BF957" s="2"/>
      <c r="BG957" s="2"/>
      <c r="BH957" s="2"/>
      <c r="BI957" s="2"/>
      <c r="BJ957" s="2"/>
      <c r="BK957" s="2"/>
      <c r="BL957" s="2"/>
      <c r="BM957" s="2"/>
      <c r="BN957" s="2"/>
      <c r="BO957" s="2"/>
      <c r="BP957" s="2"/>
      <c r="BQ957" s="2"/>
      <c r="BR957" s="2"/>
      <c r="BS957" s="2"/>
      <c r="BT957" s="2"/>
      <c r="BU957" s="2"/>
      <c r="BV957" s="2"/>
      <c r="BW957" s="2"/>
      <c r="BX957" s="2"/>
      <c r="BY957" s="2"/>
      <c r="BZ957" s="2"/>
      <c r="CA957" s="2"/>
      <c r="CB957" s="2"/>
      <c r="CC957" s="2"/>
      <c r="CD957" s="2"/>
      <c r="CE957" s="2"/>
      <c r="CF957" s="2"/>
      <c r="CG957" s="2"/>
      <c r="CH957" s="2"/>
      <c r="CI957" s="2"/>
      <c r="CJ957" s="2"/>
      <c r="CK957" s="2"/>
      <c r="CL957" s="2"/>
      <c r="CM957" s="2"/>
      <c r="CN957" s="2"/>
      <c r="CO957" s="2"/>
      <c r="CP957" s="2"/>
      <c r="CQ957" s="2"/>
      <c r="CR957" s="2"/>
      <c r="CS957" s="2"/>
      <c r="CT957" s="2"/>
      <c r="CU957" s="2"/>
      <c r="CV957" s="2"/>
      <c r="CW957" s="2"/>
      <c r="CX957" s="2"/>
      <c r="CY957" s="2"/>
      <c r="CZ957" s="2"/>
      <c r="DA957" s="2"/>
      <c r="DB957" s="2"/>
      <c r="DC957" s="2"/>
      <c r="DD957" s="2"/>
      <c r="DE957" s="2"/>
      <c r="DF957" s="2"/>
      <c r="DG957" s="3"/>
      <c r="DH957" s="3"/>
      <c r="DI957" s="3"/>
      <c r="DJ957" s="3"/>
      <c r="DK957" s="3"/>
      <c r="DL957" s="3"/>
      <c r="DM957" s="3"/>
      <c r="DN957" s="3"/>
      <c r="DO957" s="3"/>
      <c r="DP957" s="3"/>
      <c r="DQ957" s="3"/>
      <c r="DR957" s="3"/>
      <c r="DS957" s="3"/>
      <c r="DT957" s="3"/>
      <c r="DU957" s="3"/>
      <c r="DV957" s="3"/>
      <c r="DW957" s="3"/>
      <c r="DX957" s="3"/>
      <c r="DY957" s="3"/>
      <c r="DZ957" s="3"/>
      <c r="EA957" s="3"/>
      <c r="EB957" s="3"/>
      <c r="EC957" s="3"/>
      <c r="ED957" s="3"/>
      <c r="EE957" s="3"/>
      <c r="EF957" s="3"/>
      <c r="EG957" s="3"/>
      <c r="EH957" s="3"/>
      <c r="EI957" s="3"/>
      <c r="EJ957" s="3"/>
      <c r="EK957" s="3"/>
      <c r="EL957" s="3"/>
      <c r="EM957" s="3"/>
      <c r="EN957" s="3"/>
      <c r="EO957" s="3"/>
      <c r="EP957" s="3"/>
      <c r="EQ957" s="3"/>
      <c r="ER957" s="3"/>
      <c r="ES957" s="3"/>
      <c r="ET957" s="3"/>
      <c r="EU957" s="3"/>
      <c r="EV957" s="3"/>
      <c r="EW957" s="3"/>
      <c r="EX957" s="3"/>
      <c r="EY957" s="3"/>
      <c r="EZ957" s="3"/>
      <c r="FA957" s="3"/>
      <c r="FB957" s="3"/>
      <c r="FC957" s="3"/>
      <c r="FD957" s="3"/>
      <c r="FE957" s="3"/>
      <c r="FF957" s="3"/>
      <c r="FG957" s="3"/>
      <c r="FH957" s="3"/>
      <c r="FI957" s="3"/>
      <c r="FJ957" s="3"/>
      <c r="FK957" s="3"/>
      <c r="FL957" s="3"/>
      <c r="FM957" s="3"/>
      <c r="FN957" s="3"/>
      <c r="FO957" s="3"/>
      <c r="FP957" s="3"/>
      <c r="FQ957" s="3"/>
      <c r="FR957" s="3"/>
      <c r="FS957" s="3"/>
      <c r="FT957" s="3"/>
      <c r="FU957" s="3"/>
      <c r="FV957" s="3"/>
      <c r="FW957" s="3"/>
      <c r="FX957" s="3"/>
      <c r="FY957" s="3"/>
      <c r="FZ957" s="3"/>
      <c r="GA957" s="3"/>
      <c r="GB957" s="3"/>
      <c r="GC957" s="3"/>
      <c r="GD957" s="3"/>
      <c r="GE957" s="3"/>
      <c r="GF957" s="3"/>
      <c r="GG957" s="3"/>
      <c r="GH957" s="3"/>
      <c r="GI957" s="3"/>
      <c r="GJ957" s="3"/>
      <c r="GK957" s="3"/>
      <c r="GL957" s="3"/>
      <c r="GM957" s="3"/>
      <c r="GN957" s="3"/>
      <c r="GO957" s="3"/>
      <c r="GP957" s="3"/>
      <c r="GQ957" s="3"/>
      <c r="GR957" s="3"/>
      <c r="GS957" s="3"/>
      <c r="GT957" s="3"/>
      <c r="GU957" s="3"/>
      <c r="GV957" s="3"/>
      <c r="GW957" s="3"/>
      <c r="GX957" s="3">
        <v>0</v>
      </c>
    </row>
    <row r="959" spans="1:206" x14ac:dyDescent="0.2">
      <c r="A959" s="4">
        <v>50</v>
      </c>
      <c r="B959" s="4">
        <v>0</v>
      </c>
      <c r="C959" s="4">
        <v>0</v>
      </c>
      <c r="D959" s="4">
        <v>1</v>
      </c>
      <c r="E959" s="4">
        <v>201</v>
      </c>
      <c r="F959" s="4">
        <f>ROUND(Source!O957,O959)</f>
        <v>1479506.74</v>
      </c>
      <c r="G959" s="4" t="s">
        <v>46</v>
      </c>
      <c r="H959" s="4" t="s">
        <v>47</v>
      </c>
      <c r="I959" s="4"/>
      <c r="J959" s="4"/>
      <c r="K959" s="4">
        <v>201</v>
      </c>
      <c r="L959" s="4">
        <v>1</v>
      </c>
      <c r="M959" s="4">
        <v>3</v>
      </c>
      <c r="N959" s="4" t="s">
        <v>3</v>
      </c>
      <c r="O959" s="4">
        <v>2</v>
      </c>
      <c r="P959" s="4"/>
      <c r="Q959" s="4"/>
      <c r="R959" s="4"/>
      <c r="S959" s="4"/>
      <c r="T959" s="4"/>
      <c r="U959" s="4"/>
      <c r="V959" s="4"/>
      <c r="W959" s="4">
        <v>1340.19</v>
      </c>
      <c r="X959" s="4">
        <v>1</v>
      </c>
      <c r="Y959" s="4">
        <v>1340.19</v>
      </c>
      <c r="Z959" s="4"/>
      <c r="AA959" s="4"/>
      <c r="AB959" s="4"/>
    </row>
    <row r="960" spans="1:206" x14ac:dyDescent="0.2">
      <c r="A960" s="4">
        <v>50</v>
      </c>
      <c r="B960" s="4">
        <v>0</v>
      </c>
      <c r="C960" s="4">
        <v>0</v>
      </c>
      <c r="D960" s="4">
        <v>1</v>
      </c>
      <c r="E960" s="4">
        <v>202</v>
      </c>
      <c r="F960" s="4">
        <f>ROUND(Source!P957,O960)</f>
        <v>18897.810000000001</v>
      </c>
      <c r="G960" s="4" t="s">
        <v>48</v>
      </c>
      <c r="H960" s="4" t="s">
        <v>49</v>
      </c>
      <c r="I960" s="4"/>
      <c r="J960" s="4"/>
      <c r="K960" s="4">
        <v>202</v>
      </c>
      <c r="L960" s="4">
        <v>2</v>
      </c>
      <c r="M960" s="4">
        <v>3</v>
      </c>
      <c r="N960" s="4" t="s">
        <v>3</v>
      </c>
      <c r="O960" s="4">
        <v>2</v>
      </c>
      <c r="P960" s="4"/>
      <c r="Q960" s="4"/>
      <c r="R960" s="4"/>
      <c r="S960" s="4"/>
      <c r="T960" s="4"/>
      <c r="U960" s="4"/>
      <c r="V960" s="4"/>
      <c r="W960" s="4">
        <v>4.84</v>
      </c>
      <c r="X960" s="4">
        <v>1</v>
      </c>
      <c r="Y960" s="4">
        <v>4.84</v>
      </c>
      <c r="Z960" s="4"/>
      <c r="AA960" s="4"/>
      <c r="AB960" s="4"/>
    </row>
    <row r="961" spans="1:28" x14ac:dyDescent="0.2">
      <c r="A961" s="4">
        <v>50</v>
      </c>
      <c r="B961" s="4">
        <v>0</v>
      </c>
      <c r="C961" s="4">
        <v>0</v>
      </c>
      <c r="D961" s="4">
        <v>1</v>
      </c>
      <c r="E961" s="4">
        <v>222</v>
      </c>
      <c r="F961" s="4">
        <f>ROUND(Source!AO957,O961)</f>
        <v>0</v>
      </c>
      <c r="G961" s="4" t="s">
        <v>50</v>
      </c>
      <c r="H961" s="4" t="s">
        <v>51</v>
      </c>
      <c r="I961" s="4"/>
      <c r="J961" s="4"/>
      <c r="K961" s="4">
        <v>222</v>
      </c>
      <c r="L961" s="4">
        <v>3</v>
      </c>
      <c r="M961" s="4">
        <v>3</v>
      </c>
      <c r="N961" s="4" t="s">
        <v>3</v>
      </c>
      <c r="O961" s="4">
        <v>2</v>
      </c>
      <c r="P961" s="4"/>
      <c r="Q961" s="4"/>
      <c r="R961" s="4"/>
      <c r="S961" s="4"/>
      <c r="T961" s="4"/>
      <c r="U961" s="4"/>
      <c r="V961" s="4"/>
      <c r="W961" s="4">
        <v>0</v>
      </c>
      <c r="X961" s="4">
        <v>1</v>
      </c>
      <c r="Y961" s="4">
        <v>0</v>
      </c>
      <c r="Z961" s="4"/>
      <c r="AA961" s="4"/>
      <c r="AB961" s="4"/>
    </row>
    <row r="962" spans="1:28" x14ac:dyDescent="0.2">
      <c r="A962" s="4">
        <v>50</v>
      </c>
      <c r="B962" s="4">
        <v>0</v>
      </c>
      <c r="C962" s="4">
        <v>0</v>
      </c>
      <c r="D962" s="4">
        <v>1</v>
      </c>
      <c r="E962" s="4">
        <v>225</v>
      </c>
      <c r="F962" s="4">
        <f>ROUND(Source!AV957,O962)</f>
        <v>18897.810000000001</v>
      </c>
      <c r="G962" s="4" t="s">
        <v>52</v>
      </c>
      <c r="H962" s="4" t="s">
        <v>53</v>
      </c>
      <c r="I962" s="4"/>
      <c r="J962" s="4"/>
      <c r="K962" s="4">
        <v>225</v>
      </c>
      <c r="L962" s="4">
        <v>4</v>
      </c>
      <c r="M962" s="4">
        <v>3</v>
      </c>
      <c r="N962" s="4" t="s">
        <v>3</v>
      </c>
      <c r="O962" s="4">
        <v>2</v>
      </c>
      <c r="P962" s="4"/>
      <c r="Q962" s="4"/>
      <c r="R962" s="4"/>
      <c r="S962" s="4"/>
      <c r="T962" s="4"/>
      <c r="U962" s="4"/>
      <c r="V962" s="4"/>
      <c r="W962" s="4">
        <v>4.84</v>
      </c>
      <c r="X962" s="4">
        <v>1</v>
      </c>
      <c r="Y962" s="4">
        <v>4.84</v>
      </c>
      <c r="Z962" s="4"/>
      <c r="AA962" s="4"/>
      <c r="AB962" s="4"/>
    </row>
    <row r="963" spans="1:28" x14ac:dyDescent="0.2">
      <c r="A963" s="4">
        <v>50</v>
      </c>
      <c r="B963" s="4">
        <v>0</v>
      </c>
      <c r="C963" s="4">
        <v>0</v>
      </c>
      <c r="D963" s="4">
        <v>1</v>
      </c>
      <c r="E963" s="4">
        <v>226</v>
      </c>
      <c r="F963" s="4">
        <f>ROUND(Source!AW957,O963)</f>
        <v>18897.810000000001</v>
      </c>
      <c r="G963" s="4" t="s">
        <v>54</v>
      </c>
      <c r="H963" s="4" t="s">
        <v>55</v>
      </c>
      <c r="I963" s="4"/>
      <c r="J963" s="4"/>
      <c r="K963" s="4">
        <v>226</v>
      </c>
      <c r="L963" s="4">
        <v>5</v>
      </c>
      <c r="M963" s="4">
        <v>3</v>
      </c>
      <c r="N963" s="4" t="s">
        <v>3</v>
      </c>
      <c r="O963" s="4">
        <v>2</v>
      </c>
      <c r="P963" s="4"/>
      <c r="Q963" s="4"/>
      <c r="R963" s="4"/>
      <c r="S963" s="4"/>
      <c r="T963" s="4"/>
      <c r="U963" s="4"/>
      <c r="V963" s="4"/>
      <c r="W963" s="4">
        <v>4.84</v>
      </c>
      <c r="X963" s="4">
        <v>1</v>
      </c>
      <c r="Y963" s="4">
        <v>4.84</v>
      </c>
      <c r="Z963" s="4"/>
      <c r="AA963" s="4"/>
      <c r="AB963" s="4"/>
    </row>
    <row r="964" spans="1:28" x14ac:dyDescent="0.2">
      <c r="A964" s="4">
        <v>50</v>
      </c>
      <c r="B964" s="4">
        <v>0</v>
      </c>
      <c r="C964" s="4">
        <v>0</v>
      </c>
      <c r="D964" s="4">
        <v>1</v>
      </c>
      <c r="E964" s="4">
        <v>227</v>
      </c>
      <c r="F964" s="4">
        <f>ROUND(Source!AX957,O964)</f>
        <v>0</v>
      </c>
      <c r="G964" s="4" t="s">
        <v>56</v>
      </c>
      <c r="H964" s="4" t="s">
        <v>57</v>
      </c>
      <c r="I964" s="4"/>
      <c r="J964" s="4"/>
      <c r="K964" s="4">
        <v>227</v>
      </c>
      <c r="L964" s="4">
        <v>6</v>
      </c>
      <c r="M964" s="4">
        <v>3</v>
      </c>
      <c r="N964" s="4" t="s">
        <v>3</v>
      </c>
      <c r="O964" s="4">
        <v>2</v>
      </c>
      <c r="P964" s="4"/>
      <c r="Q964" s="4"/>
      <c r="R964" s="4"/>
      <c r="S964" s="4"/>
      <c r="T964" s="4"/>
      <c r="U964" s="4"/>
      <c r="V964" s="4"/>
      <c r="W964" s="4">
        <v>0</v>
      </c>
      <c r="X964" s="4">
        <v>1</v>
      </c>
      <c r="Y964" s="4">
        <v>0</v>
      </c>
      <c r="Z964" s="4"/>
      <c r="AA964" s="4"/>
      <c r="AB964" s="4"/>
    </row>
    <row r="965" spans="1:28" x14ac:dyDescent="0.2">
      <c r="A965" s="4">
        <v>50</v>
      </c>
      <c r="B965" s="4">
        <v>0</v>
      </c>
      <c r="C965" s="4">
        <v>0</v>
      </c>
      <c r="D965" s="4">
        <v>1</v>
      </c>
      <c r="E965" s="4">
        <v>228</v>
      </c>
      <c r="F965" s="4">
        <f>ROUND(Source!AY957,O965)</f>
        <v>18897.810000000001</v>
      </c>
      <c r="G965" s="4" t="s">
        <v>58</v>
      </c>
      <c r="H965" s="4" t="s">
        <v>59</v>
      </c>
      <c r="I965" s="4"/>
      <c r="J965" s="4"/>
      <c r="K965" s="4">
        <v>228</v>
      </c>
      <c r="L965" s="4">
        <v>7</v>
      </c>
      <c r="M965" s="4">
        <v>3</v>
      </c>
      <c r="N965" s="4" t="s">
        <v>3</v>
      </c>
      <c r="O965" s="4">
        <v>2</v>
      </c>
      <c r="P965" s="4"/>
      <c r="Q965" s="4"/>
      <c r="R965" s="4"/>
      <c r="S965" s="4"/>
      <c r="T965" s="4"/>
      <c r="U965" s="4"/>
      <c r="V965" s="4"/>
      <c r="W965" s="4">
        <v>4.84</v>
      </c>
      <c r="X965" s="4">
        <v>1</v>
      </c>
      <c r="Y965" s="4">
        <v>4.84</v>
      </c>
      <c r="Z965" s="4"/>
      <c r="AA965" s="4"/>
      <c r="AB965" s="4"/>
    </row>
    <row r="966" spans="1:28" x14ac:dyDescent="0.2">
      <c r="A966" s="4">
        <v>50</v>
      </c>
      <c r="B966" s="4">
        <v>0</v>
      </c>
      <c r="C966" s="4">
        <v>0</v>
      </c>
      <c r="D966" s="4">
        <v>1</v>
      </c>
      <c r="E966" s="4">
        <v>216</v>
      </c>
      <c r="F966" s="4">
        <f>ROUND(Source!AP957,O966)</f>
        <v>0</v>
      </c>
      <c r="G966" s="4" t="s">
        <v>60</v>
      </c>
      <c r="H966" s="4" t="s">
        <v>61</v>
      </c>
      <c r="I966" s="4"/>
      <c r="J966" s="4"/>
      <c r="K966" s="4">
        <v>216</v>
      </c>
      <c r="L966" s="4">
        <v>8</v>
      </c>
      <c r="M966" s="4">
        <v>3</v>
      </c>
      <c r="N966" s="4" t="s">
        <v>3</v>
      </c>
      <c r="O966" s="4">
        <v>2</v>
      </c>
      <c r="P966" s="4"/>
      <c r="Q966" s="4"/>
      <c r="R966" s="4"/>
      <c r="S966" s="4"/>
      <c r="T966" s="4"/>
      <c r="U966" s="4"/>
      <c r="V966" s="4"/>
      <c r="W966" s="4">
        <v>0</v>
      </c>
      <c r="X966" s="4">
        <v>1</v>
      </c>
      <c r="Y966" s="4">
        <v>0</v>
      </c>
      <c r="Z966" s="4"/>
      <c r="AA966" s="4"/>
      <c r="AB966" s="4"/>
    </row>
    <row r="967" spans="1:28" x14ac:dyDescent="0.2">
      <c r="A967" s="4">
        <v>50</v>
      </c>
      <c r="B967" s="4">
        <v>0</v>
      </c>
      <c r="C967" s="4">
        <v>0</v>
      </c>
      <c r="D967" s="4">
        <v>1</v>
      </c>
      <c r="E967" s="4">
        <v>223</v>
      </c>
      <c r="F967" s="4">
        <f>ROUND(Source!AQ957,O967)</f>
        <v>0</v>
      </c>
      <c r="G967" s="4" t="s">
        <v>62</v>
      </c>
      <c r="H967" s="4" t="s">
        <v>63</v>
      </c>
      <c r="I967" s="4"/>
      <c r="J967" s="4"/>
      <c r="K967" s="4">
        <v>223</v>
      </c>
      <c r="L967" s="4">
        <v>9</v>
      </c>
      <c r="M967" s="4">
        <v>3</v>
      </c>
      <c r="N967" s="4" t="s">
        <v>3</v>
      </c>
      <c r="O967" s="4">
        <v>2</v>
      </c>
      <c r="P967" s="4"/>
      <c r="Q967" s="4"/>
      <c r="R967" s="4"/>
      <c r="S967" s="4"/>
      <c r="T967" s="4"/>
      <c r="U967" s="4"/>
      <c r="V967" s="4"/>
      <c r="W967" s="4">
        <v>0</v>
      </c>
      <c r="X967" s="4">
        <v>1</v>
      </c>
      <c r="Y967" s="4">
        <v>0</v>
      </c>
      <c r="Z967" s="4"/>
      <c r="AA967" s="4"/>
      <c r="AB967" s="4"/>
    </row>
    <row r="968" spans="1:28" x14ac:dyDescent="0.2">
      <c r="A968" s="4">
        <v>50</v>
      </c>
      <c r="B968" s="4">
        <v>0</v>
      </c>
      <c r="C968" s="4">
        <v>0</v>
      </c>
      <c r="D968" s="4">
        <v>1</v>
      </c>
      <c r="E968" s="4">
        <v>229</v>
      </c>
      <c r="F968" s="4">
        <f>ROUND(Source!AZ957,O968)</f>
        <v>0</v>
      </c>
      <c r="G968" s="4" t="s">
        <v>64</v>
      </c>
      <c r="H968" s="4" t="s">
        <v>65</v>
      </c>
      <c r="I968" s="4"/>
      <c r="J968" s="4"/>
      <c r="K968" s="4">
        <v>229</v>
      </c>
      <c r="L968" s="4">
        <v>10</v>
      </c>
      <c r="M968" s="4">
        <v>3</v>
      </c>
      <c r="N968" s="4" t="s">
        <v>3</v>
      </c>
      <c r="O968" s="4">
        <v>2</v>
      </c>
      <c r="P968" s="4"/>
      <c r="Q968" s="4"/>
      <c r="R968" s="4"/>
      <c r="S968" s="4"/>
      <c r="T968" s="4"/>
      <c r="U968" s="4"/>
      <c r="V968" s="4"/>
      <c r="W968" s="4">
        <v>0</v>
      </c>
      <c r="X968" s="4">
        <v>1</v>
      </c>
      <c r="Y968" s="4">
        <v>0</v>
      </c>
      <c r="Z968" s="4"/>
      <c r="AA968" s="4"/>
      <c r="AB968" s="4"/>
    </row>
    <row r="969" spans="1:28" x14ac:dyDescent="0.2">
      <c r="A969" s="4">
        <v>50</v>
      </c>
      <c r="B969" s="4">
        <v>0</v>
      </c>
      <c r="C969" s="4">
        <v>0</v>
      </c>
      <c r="D969" s="4">
        <v>1</v>
      </c>
      <c r="E969" s="4">
        <v>203</v>
      </c>
      <c r="F969" s="4">
        <f>ROUND(Source!Q957,O969)</f>
        <v>49277.29</v>
      </c>
      <c r="G969" s="4" t="s">
        <v>66</v>
      </c>
      <c r="H969" s="4" t="s">
        <v>67</v>
      </c>
      <c r="I969" s="4"/>
      <c r="J969" s="4"/>
      <c r="K969" s="4">
        <v>203</v>
      </c>
      <c r="L969" s="4">
        <v>11</v>
      </c>
      <c r="M969" s="4">
        <v>3</v>
      </c>
      <c r="N969" s="4" t="s">
        <v>3</v>
      </c>
      <c r="O969" s="4">
        <v>2</v>
      </c>
      <c r="P969" s="4"/>
      <c r="Q969" s="4"/>
      <c r="R969" s="4"/>
      <c r="S969" s="4"/>
      <c r="T969" s="4"/>
      <c r="U969" s="4"/>
      <c r="V969" s="4"/>
      <c r="W969" s="4">
        <v>0</v>
      </c>
      <c r="X969" s="4">
        <v>1</v>
      </c>
      <c r="Y969" s="4">
        <v>0</v>
      </c>
      <c r="Z969" s="4"/>
      <c r="AA969" s="4"/>
      <c r="AB969" s="4"/>
    </row>
    <row r="970" spans="1:28" x14ac:dyDescent="0.2">
      <c r="A970" s="4">
        <v>50</v>
      </c>
      <c r="B970" s="4">
        <v>0</v>
      </c>
      <c r="C970" s="4">
        <v>0</v>
      </c>
      <c r="D970" s="4">
        <v>1</v>
      </c>
      <c r="E970" s="4">
        <v>231</v>
      </c>
      <c r="F970" s="4">
        <f>ROUND(Source!BB957,O970)</f>
        <v>0</v>
      </c>
      <c r="G970" s="4" t="s">
        <v>68</v>
      </c>
      <c r="H970" s="4" t="s">
        <v>69</v>
      </c>
      <c r="I970" s="4"/>
      <c r="J970" s="4"/>
      <c r="K970" s="4">
        <v>231</v>
      </c>
      <c r="L970" s="4">
        <v>12</v>
      </c>
      <c r="M970" s="4">
        <v>3</v>
      </c>
      <c r="N970" s="4" t="s">
        <v>3</v>
      </c>
      <c r="O970" s="4">
        <v>2</v>
      </c>
      <c r="P970" s="4"/>
      <c r="Q970" s="4"/>
      <c r="R970" s="4"/>
      <c r="S970" s="4"/>
      <c r="T970" s="4"/>
      <c r="U970" s="4"/>
      <c r="V970" s="4"/>
      <c r="W970" s="4">
        <v>0</v>
      </c>
      <c r="X970" s="4">
        <v>1</v>
      </c>
      <c r="Y970" s="4">
        <v>0</v>
      </c>
      <c r="Z970" s="4"/>
      <c r="AA970" s="4"/>
      <c r="AB970" s="4"/>
    </row>
    <row r="971" spans="1:28" x14ac:dyDescent="0.2">
      <c r="A971" s="4">
        <v>50</v>
      </c>
      <c r="B971" s="4">
        <v>0</v>
      </c>
      <c r="C971" s="4">
        <v>0</v>
      </c>
      <c r="D971" s="4">
        <v>1</v>
      </c>
      <c r="E971" s="4">
        <v>204</v>
      </c>
      <c r="F971" s="4">
        <f>ROUND(Source!R957,O971)</f>
        <v>30780.400000000001</v>
      </c>
      <c r="G971" s="4" t="s">
        <v>70</v>
      </c>
      <c r="H971" s="4" t="s">
        <v>71</v>
      </c>
      <c r="I971" s="4"/>
      <c r="J971" s="4"/>
      <c r="K971" s="4">
        <v>204</v>
      </c>
      <c r="L971" s="4">
        <v>13</v>
      </c>
      <c r="M971" s="4">
        <v>3</v>
      </c>
      <c r="N971" s="4" t="s">
        <v>3</v>
      </c>
      <c r="O971" s="4">
        <v>2</v>
      </c>
      <c r="P971" s="4"/>
      <c r="Q971" s="4"/>
      <c r="R971" s="4"/>
      <c r="S971" s="4"/>
      <c r="T971" s="4"/>
      <c r="U971" s="4"/>
      <c r="V971" s="4"/>
      <c r="W971" s="4">
        <v>0</v>
      </c>
      <c r="X971" s="4">
        <v>1</v>
      </c>
      <c r="Y971" s="4">
        <v>0</v>
      </c>
      <c r="Z971" s="4"/>
      <c r="AA971" s="4"/>
      <c r="AB971" s="4"/>
    </row>
    <row r="972" spans="1:28" x14ac:dyDescent="0.2">
      <c r="A972" s="4">
        <v>50</v>
      </c>
      <c r="B972" s="4">
        <v>0</v>
      </c>
      <c r="C972" s="4">
        <v>0</v>
      </c>
      <c r="D972" s="4">
        <v>1</v>
      </c>
      <c r="E972" s="4">
        <v>205</v>
      </c>
      <c r="F972" s="4">
        <f>ROUND(Source!S957,O972)</f>
        <v>1411331.64</v>
      </c>
      <c r="G972" s="4" t="s">
        <v>72</v>
      </c>
      <c r="H972" s="4" t="s">
        <v>73</v>
      </c>
      <c r="I972" s="4"/>
      <c r="J972" s="4"/>
      <c r="K972" s="4">
        <v>205</v>
      </c>
      <c r="L972" s="4">
        <v>14</v>
      </c>
      <c r="M972" s="4">
        <v>3</v>
      </c>
      <c r="N972" s="4" t="s">
        <v>3</v>
      </c>
      <c r="O972" s="4">
        <v>2</v>
      </c>
      <c r="P972" s="4"/>
      <c r="Q972" s="4"/>
      <c r="R972" s="4"/>
      <c r="S972" s="4"/>
      <c r="T972" s="4"/>
      <c r="U972" s="4"/>
      <c r="V972" s="4"/>
      <c r="W972" s="4">
        <v>1335.35</v>
      </c>
      <c r="X972" s="4">
        <v>1</v>
      </c>
      <c r="Y972" s="4">
        <v>1335.35</v>
      </c>
      <c r="Z972" s="4"/>
      <c r="AA972" s="4"/>
      <c r="AB972" s="4"/>
    </row>
    <row r="973" spans="1:28" x14ac:dyDescent="0.2">
      <c r="A973" s="4">
        <v>50</v>
      </c>
      <c r="B973" s="4">
        <v>0</v>
      </c>
      <c r="C973" s="4">
        <v>0</v>
      </c>
      <c r="D973" s="4">
        <v>1</v>
      </c>
      <c r="E973" s="4">
        <v>232</v>
      </c>
      <c r="F973" s="4">
        <f>ROUND(Source!BC957,O973)</f>
        <v>0</v>
      </c>
      <c r="G973" s="4" t="s">
        <v>74</v>
      </c>
      <c r="H973" s="4" t="s">
        <v>75</v>
      </c>
      <c r="I973" s="4"/>
      <c r="J973" s="4"/>
      <c r="K973" s="4">
        <v>232</v>
      </c>
      <c r="L973" s="4">
        <v>15</v>
      </c>
      <c r="M973" s="4">
        <v>3</v>
      </c>
      <c r="N973" s="4" t="s">
        <v>3</v>
      </c>
      <c r="O973" s="4">
        <v>2</v>
      </c>
      <c r="P973" s="4"/>
      <c r="Q973" s="4"/>
      <c r="R973" s="4"/>
      <c r="S973" s="4"/>
      <c r="T973" s="4"/>
      <c r="U973" s="4"/>
      <c r="V973" s="4"/>
      <c r="W973" s="4">
        <v>0</v>
      </c>
      <c r="X973" s="4">
        <v>1</v>
      </c>
      <c r="Y973" s="4">
        <v>0</v>
      </c>
      <c r="Z973" s="4"/>
      <c r="AA973" s="4"/>
      <c r="AB973" s="4"/>
    </row>
    <row r="974" spans="1:28" x14ac:dyDescent="0.2">
      <c r="A974" s="4">
        <v>50</v>
      </c>
      <c r="B974" s="4">
        <v>0</v>
      </c>
      <c r="C974" s="4">
        <v>0</v>
      </c>
      <c r="D974" s="4">
        <v>1</v>
      </c>
      <c r="E974" s="4">
        <v>214</v>
      </c>
      <c r="F974" s="4">
        <f>ROUND(Source!AS957,O974)</f>
        <v>0</v>
      </c>
      <c r="G974" s="4" t="s">
        <v>76</v>
      </c>
      <c r="H974" s="4" t="s">
        <v>77</v>
      </c>
      <c r="I974" s="4"/>
      <c r="J974" s="4"/>
      <c r="K974" s="4">
        <v>214</v>
      </c>
      <c r="L974" s="4">
        <v>16</v>
      </c>
      <c r="M974" s="4">
        <v>3</v>
      </c>
      <c r="N974" s="4" t="s">
        <v>3</v>
      </c>
      <c r="O974" s="4">
        <v>2</v>
      </c>
      <c r="P974" s="4"/>
      <c r="Q974" s="4"/>
      <c r="R974" s="4"/>
      <c r="S974" s="4"/>
      <c r="T974" s="4"/>
      <c r="U974" s="4"/>
      <c r="V974" s="4"/>
      <c r="W974" s="4">
        <v>0</v>
      </c>
      <c r="X974" s="4">
        <v>1</v>
      </c>
      <c r="Y974" s="4">
        <v>0</v>
      </c>
      <c r="Z974" s="4"/>
      <c r="AA974" s="4"/>
      <c r="AB974" s="4"/>
    </row>
    <row r="975" spans="1:28" x14ac:dyDescent="0.2">
      <c r="A975" s="4">
        <v>50</v>
      </c>
      <c r="B975" s="4">
        <v>0</v>
      </c>
      <c r="C975" s="4">
        <v>0</v>
      </c>
      <c r="D975" s="4">
        <v>1</v>
      </c>
      <c r="E975" s="4">
        <v>215</v>
      </c>
      <c r="F975" s="4">
        <f>ROUND(Source!AT957,O975)</f>
        <v>0</v>
      </c>
      <c r="G975" s="4" t="s">
        <v>78</v>
      </c>
      <c r="H975" s="4" t="s">
        <v>79</v>
      </c>
      <c r="I975" s="4"/>
      <c r="J975" s="4"/>
      <c r="K975" s="4">
        <v>215</v>
      </c>
      <c r="L975" s="4">
        <v>17</v>
      </c>
      <c r="M975" s="4">
        <v>3</v>
      </c>
      <c r="N975" s="4" t="s">
        <v>3</v>
      </c>
      <c r="O975" s="4">
        <v>2</v>
      </c>
      <c r="P975" s="4"/>
      <c r="Q975" s="4"/>
      <c r="R975" s="4"/>
      <c r="S975" s="4"/>
      <c r="T975" s="4"/>
      <c r="U975" s="4"/>
      <c r="V975" s="4"/>
      <c r="W975" s="4">
        <v>0</v>
      </c>
      <c r="X975" s="4">
        <v>1</v>
      </c>
      <c r="Y975" s="4">
        <v>0</v>
      </c>
      <c r="Z975" s="4"/>
      <c r="AA975" s="4"/>
      <c r="AB975" s="4"/>
    </row>
    <row r="976" spans="1:28" x14ac:dyDescent="0.2">
      <c r="A976" s="4">
        <v>50</v>
      </c>
      <c r="B976" s="4">
        <v>0</v>
      </c>
      <c r="C976" s="4">
        <v>0</v>
      </c>
      <c r="D976" s="4">
        <v>1</v>
      </c>
      <c r="E976" s="4">
        <v>217</v>
      </c>
      <c r="F976" s="4">
        <f>ROUND(Source!AU957,O976)</f>
        <v>2641814.9300000002</v>
      </c>
      <c r="G976" s="4" t="s">
        <v>80</v>
      </c>
      <c r="H976" s="4" t="s">
        <v>81</v>
      </c>
      <c r="I976" s="4"/>
      <c r="J976" s="4"/>
      <c r="K976" s="4">
        <v>217</v>
      </c>
      <c r="L976" s="4">
        <v>18</v>
      </c>
      <c r="M976" s="4">
        <v>3</v>
      </c>
      <c r="N976" s="4" t="s">
        <v>3</v>
      </c>
      <c r="O976" s="4">
        <v>2</v>
      </c>
      <c r="P976" s="4"/>
      <c r="Q976" s="4"/>
      <c r="R976" s="4"/>
      <c r="S976" s="4"/>
      <c r="T976" s="4"/>
      <c r="U976" s="4"/>
      <c r="V976" s="4"/>
      <c r="W976" s="4">
        <v>2408.4699999999998</v>
      </c>
      <c r="X976" s="4">
        <v>1</v>
      </c>
      <c r="Y976" s="4">
        <v>2408.4699999999998</v>
      </c>
      <c r="Z976" s="4"/>
      <c r="AA976" s="4"/>
      <c r="AB976" s="4"/>
    </row>
    <row r="977" spans="1:28" x14ac:dyDescent="0.2">
      <c r="A977" s="4">
        <v>50</v>
      </c>
      <c r="B977" s="4">
        <v>0</v>
      </c>
      <c r="C977" s="4">
        <v>0</v>
      </c>
      <c r="D977" s="4">
        <v>1</v>
      </c>
      <c r="E977" s="4">
        <v>230</v>
      </c>
      <c r="F977" s="4">
        <f>ROUND(Source!BA957,O977)</f>
        <v>0</v>
      </c>
      <c r="G977" s="4" t="s">
        <v>82</v>
      </c>
      <c r="H977" s="4" t="s">
        <v>83</v>
      </c>
      <c r="I977" s="4"/>
      <c r="J977" s="4"/>
      <c r="K977" s="4">
        <v>230</v>
      </c>
      <c r="L977" s="4">
        <v>19</v>
      </c>
      <c r="M977" s="4">
        <v>3</v>
      </c>
      <c r="N977" s="4" t="s">
        <v>3</v>
      </c>
      <c r="O977" s="4">
        <v>2</v>
      </c>
      <c r="P977" s="4"/>
      <c r="Q977" s="4"/>
      <c r="R977" s="4"/>
      <c r="S977" s="4"/>
      <c r="T977" s="4"/>
      <c r="U977" s="4"/>
      <c r="V977" s="4"/>
      <c r="W977" s="4">
        <v>0</v>
      </c>
      <c r="X977" s="4">
        <v>1</v>
      </c>
      <c r="Y977" s="4">
        <v>0</v>
      </c>
      <c r="Z977" s="4"/>
      <c r="AA977" s="4"/>
      <c r="AB977" s="4"/>
    </row>
    <row r="978" spans="1:28" x14ac:dyDescent="0.2">
      <c r="A978" s="4">
        <v>50</v>
      </c>
      <c r="B978" s="4">
        <v>0</v>
      </c>
      <c r="C978" s="4">
        <v>0</v>
      </c>
      <c r="D978" s="4">
        <v>1</v>
      </c>
      <c r="E978" s="4">
        <v>206</v>
      </c>
      <c r="F978" s="4">
        <f>ROUND(Source!T957,O978)</f>
        <v>0</v>
      </c>
      <c r="G978" s="4" t="s">
        <v>84</v>
      </c>
      <c r="H978" s="4" t="s">
        <v>85</v>
      </c>
      <c r="I978" s="4"/>
      <c r="J978" s="4"/>
      <c r="K978" s="4">
        <v>206</v>
      </c>
      <c r="L978" s="4">
        <v>20</v>
      </c>
      <c r="M978" s="4">
        <v>3</v>
      </c>
      <c r="N978" s="4" t="s">
        <v>3</v>
      </c>
      <c r="O978" s="4">
        <v>2</v>
      </c>
      <c r="P978" s="4"/>
      <c r="Q978" s="4"/>
      <c r="R978" s="4"/>
      <c r="S978" s="4"/>
      <c r="T978" s="4"/>
      <c r="U978" s="4"/>
      <c r="V978" s="4"/>
      <c r="W978" s="4">
        <v>0</v>
      </c>
      <c r="X978" s="4">
        <v>1</v>
      </c>
      <c r="Y978" s="4">
        <v>0</v>
      </c>
      <c r="Z978" s="4"/>
      <c r="AA978" s="4"/>
      <c r="AB978" s="4"/>
    </row>
    <row r="979" spans="1:28" x14ac:dyDescent="0.2">
      <c r="A979" s="4">
        <v>50</v>
      </c>
      <c r="B979" s="4">
        <v>0</v>
      </c>
      <c r="C979" s="4">
        <v>0</v>
      </c>
      <c r="D979" s="4">
        <v>1</v>
      </c>
      <c r="E979" s="4">
        <v>207</v>
      </c>
      <c r="F979" s="4">
        <f>Source!U957</f>
        <v>2347.5673999999999</v>
      </c>
      <c r="G979" s="4" t="s">
        <v>86</v>
      </c>
      <c r="H979" s="4" t="s">
        <v>87</v>
      </c>
      <c r="I979" s="4"/>
      <c r="J979" s="4"/>
      <c r="K979" s="4">
        <v>207</v>
      </c>
      <c r="L979" s="4">
        <v>21</v>
      </c>
      <c r="M979" s="4">
        <v>3</v>
      </c>
      <c r="N979" s="4" t="s">
        <v>3</v>
      </c>
      <c r="O979" s="4">
        <v>-1</v>
      </c>
      <c r="P979" s="4"/>
      <c r="Q979" s="4"/>
      <c r="R979" s="4"/>
      <c r="S979" s="4"/>
      <c r="T979" s="4"/>
      <c r="U979" s="4"/>
      <c r="V979" s="4"/>
      <c r="W979" s="4">
        <v>2.4945120000000003</v>
      </c>
      <c r="X979" s="4">
        <v>1</v>
      </c>
      <c r="Y979" s="4">
        <v>2.4945120000000003</v>
      </c>
      <c r="Z979" s="4"/>
      <c r="AA979" s="4"/>
      <c r="AB979" s="4"/>
    </row>
    <row r="980" spans="1:28" x14ac:dyDescent="0.2">
      <c r="A980" s="4">
        <v>50</v>
      </c>
      <c r="B980" s="4">
        <v>0</v>
      </c>
      <c r="C980" s="4">
        <v>0</v>
      </c>
      <c r="D980" s="4">
        <v>1</v>
      </c>
      <c r="E980" s="4">
        <v>208</v>
      </c>
      <c r="F980" s="4">
        <f>Source!V957</f>
        <v>0</v>
      </c>
      <c r="G980" s="4" t="s">
        <v>88</v>
      </c>
      <c r="H980" s="4" t="s">
        <v>89</v>
      </c>
      <c r="I980" s="4"/>
      <c r="J980" s="4"/>
      <c r="K980" s="4">
        <v>208</v>
      </c>
      <c r="L980" s="4">
        <v>22</v>
      </c>
      <c r="M980" s="4">
        <v>3</v>
      </c>
      <c r="N980" s="4" t="s">
        <v>3</v>
      </c>
      <c r="O980" s="4">
        <v>-1</v>
      </c>
      <c r="P980" s="4"/>
      <c r="Q980" s="4"/>
      <c r="R980" s="4"/>
      <c r="S980" s="4"/>
      <c r="T980" s="4"/>
      <c r="U980" s="4"/>
      <c r="V980" s="4"/>
      <c r="W980" s="4">
        <v>0</v>
      </c>
      <c r="X980" s="4">
        <v>1</v>
      </c>
      <c r="Y980" s="4">
        <v>0</v>
      </c>
      <c r="Z980" s="4"/>
      <c r="AA980" s="4"/>
      <c r="AB980" s="4"/>
    </row>
    <row r="981" spans="1:28" x14ac:dyDescent="0.2">
      <c r="A981" s="4">
        <v>50</v>
      </c>
      <c r="B981" s="4">
        <v>0</v>
      </c>
      <c r="C981" s="4">
        <v>0</v>
      </c>
      <c r="D981" s="4">
        <v>1</v>
      </c>
      <c r="E981" s="4">
        <v>209</v>
      </c>
      <c r="F981" s="4">
        <f>ROUND(Source!W957,O981)</f>
        <v>0</v>
      </c>
      <c r="G981" s="4" t="s">
        <v>90</v>
      </c>
      <c r="H981" s="4" t="s">
        <v>91</v>
      </c>
      <c r="I981" s="4"/>
      <c r="J981" s="4"/>
      <c r="K981" s="4">
        <v>209</v>
      </c>
      <c r="L981" s="4">
        <v>23</v>
      </c>
      <c r="M981" s="4">
        <v>3</v>
      </c>
      <c r="N981" s="4" t="s">
        <v>3</v>
      </c>
      <c r="O981" s="4">
        <v>2</v>
      </c>
      <c r="P981" s="4"/>
      <c r="Q981" s="4"/>
      <c r="R981" s="4"/>
      <c r="S981" s="4"/>
      <c r="T981" s="4"/>
      <c r="U981" s="4"/>
      <c r="V981" s="4"/>
      <c r="W981" s="4">
        <v>0</v>
      </c>
      <c r="X981" s="4">
        <v>1</v>
      </c>
      <c r="Y981" s="4">
        <v>0</v>
      </c>
      <c r="Z981" s="4"/>
      <c r="AA981" s="4"/>
      <c r="AB981" s="4"/>
    </row>
    <row r="982" spans="1:28" x14ac:dyDescent="0.2">
      <c r="A982" s="4">
        <v>50</v>
      </c>
      <c r="B982" s="4">
        <v>0</v>
      </c>
      <c r="C982" s="4">
        <v>0</v>
      </c>
      <c r="D982" s="4">
        <v>1</v>
      </c>
      <c r="E982" s="4">
        <v>233</v>
      </c>
      <c r="F982" s="4">
        <f>ROUND(Source!BD957,O982)</f>
        <v>0</v>
      </c>
      <c r="G982" s="4" t="s">
        <v>92</v>
      </c>
      <c r="H982" s="4" t="s">
        <v>93</v>
      </c>
      <c r="I982" s="4"/>
      <c r="J982" s="4"/>
      <c r="K982" s="4">
        <v>233</v>
      </c>
      <c r="L982" s="4">
        <v>24</v>
      </c>
      <c r="M982" s="4">
        <v>3</v>
      </c>
      <c r="N982" s="4" t="s">
        <v>3</v>
      </c>
      <c r="O982" s="4">
        <v>2</v>
      </c>
      <c r="P982" s="4"/>
      <c r="Q982" s="4"/>
      <c r="R982" s="4"/>
      <c r="S982" s="4"/>
      <c r="T982" s="4"/>
      <c r="U982" s="4"/>
      <c r="V982" s="4"/>
      <c r="W982" s="4">
        <v>0</v>
      </c>
      <c r="X982" s="4">
        <v>1</v>
      </c>
      <c r="Y982" s="4">
        <v>0</v>
      </c>
      <c r="Z982" s="4"/>
      <c r="AA982" s="4"/>
      <c r="AB982" s="4"/>
    </row>
    <row r="983" spans="1:28" x14ac:dyDescent="0.2">
      <c r="A983" s="4">
        <v>50</v>
      </c>
      <c r="B983" s="4">
        <v>0</v>
      </c>
      <c r="C983" s="4">
        <v>0</v>
      </c>
      <c r="D983" s="4">
        <v>1</v>
      </c>
      <c r="E983" s="4">
        <v>210</v>
      </c>
      <c r="F983" s="4">
        <f>ROUND(Source!X957,O983)</f>
        <v>987932.15</v>
      </c>
      <c r="G983" s="4" t="s">
        <v>94</v>
      </c>
      <c r="H983" s="4" t="s">
        <v>95</v>
      </c>
      <c r="I983" s="4"/>
      <c r="J983" s="4"/>
      <c r="K983" s="4">
        <v>210</v>
      </c>
      <c r="L983" s="4">
        <v>25</v>
      </c>
      <c r="M983" s="4">
        <v>3</v>
      </c>
      <c r="N983" s="4" t="s">
        <v>3</v>
      </c>
      <c r="O983" s="4">
        <v>2</v>
      </c>
      <c r="P983" s="4"/>
      <c r="Q983" s="4"/>
      <c r="R983" s="4"/>
      <c r="S983" s="4"/>
      <c r="T983" s="4"/>
      <c r="U983" s="4"/>
      <c r="V983" s="4"/>
      <c r="W983" s="4">
        <v>934.75</v>
      </c>
      <c r="X983" s="4">
        <v>1</v>
      </c>
      <c r="Y983" s="4">
        <v>934.75</v>
      </c>
      <c r="Z983" s="4"/>
      <c r="AA983" s="4"/>
      <c r="AB983" s="4"/>
    </row>
    <row r="984" spans="1:28" x14ac:dyDescent="0.2">
      <c r="A984" s="4">
        <v>50</v>
      </c>
      <c r="B984" s="4">
        <v>0</v>
      </c>
      <c r="C984" s="4">
        <v>0</v>
      </c>
      <c r="D984" s="4">
        <v>1</v>
      </c>
      <c r="E984" s="4">
        <v>211</v>
      </c>
      <c r="F984" s="4">
        <f>ROUND(Source!Y957,O984)</f>
        <v>141133.20000000001</v>
      </c>
      <c r="G984" s="4" t="s">
        <v>96</v>
      </c>
      <c r="H984" s="4" t="s">
        <v>97</v>
      </c>
      <c r="I984" s="4"/>
      <c r="J984" s="4"/>
      <c r="K984" s="4">
        <v>211</v>
      </c>
      <c r="L984" s="4">
        <v>26</v>
      </c>
      <c r="M984" s="4">
        <v>3</v>
      </c>
      <c r="N984" s="4" t="s">
        <v>3</v>
      </c>
      <c r="O984" s="4">
        <v>2</v>
      </c>
      <c r="P984" s="4"/>
      <c r="Q984" s="4"/>
      <c r="R984" s="4"/>
      <c r="S984" s="4"/>
      <c r="T984" s="4"/>
      <c r="U984" s="4"/>
      <c r="V984" s="4"/>
      <c r="W984" s="4">
        <v>133.53</v>
      </c>
      <c r="X984" s="4">
        <v>1</v>
      </c>
      <c r="Y984" s="4">
        <v>133.53</v>
      </c>
      <c r="Z984" s="4"/>
      <c r="AA984" s="4"/>
      <c r="AB984" s="4"/>
    </row>
    <row r="985" spans="1:28" x14ac:dyDescent="0.2">
      <c r="A985" s="4">
        <v>50</v>
      </c>
      <c r="B985" s="4">
        <v>0</v>
      </c>
      <c r="C985" s="4">
        <v>0</v>
      </c>
      <c r="D985" s="4">
        <v>1</v>
      </c>
      <c r="E985" s="4">
        <v>224</v>
      </c>
      <c r="F985" s="4">
        <f>ROUND(Source!AR957,O985)</f>
        <v>2641814.9300000002</v>
      </c>
      <c r="G985" s="4" t="s">
        <v>98</v>
      </c>
      <c r="H985" s="4" t="s">
        <v>99</v>
      </c>
      <c r="I985" s="4"/>
      <c r="J985" s="4"/>
      <c r="K985" s="4">
        <v>224</v>
      </c>
      <c r="L985" s="4">
        <v>27</v>
      </c>
      <c r="M985" s="4">
        <v>3</v>
      </c>
      <c r="N985" s="4" t="s">
        <v>3</v>
      </c>
      <c r="O985" s="4">
        <v>2</v>
      </c>
      <c r="P985" s="4"/>
      <c r="Q985" s="4"/>
      <c r="R985" s="4"/>
      <c r="S985" s="4"/>
      <c r="T985" s="4"/>
      <c r="U985" s="4"/>
      <c r="V985" s="4"/>
      <c r="W985" s="4">
        <v>2408.4699999999998</v>
      </c>
      <c r="X985" s="4">
        <v>1</v>
      </c>
      <c r="Y985" s="4">
        <v>2408.4699999999998</v>
      </c>
      <c r="Z985" s="4"/>
      <c r="AA985" s="4"/>
      <c r="AB985" s="4"/>
    </row>
    <row r="986" spans="1:28" x14ac:dyDescent="0.2">
      <c r="A986" s="4">
        <v>50</v>
      </c>
      <c r="B986" s="4">
        <v>0</v>
      </c>
      <c r="C986" s="4">
        <v>0</v>
      </c>
      <c r="D986" s="4">
        <v>2</v>
      </c>
      <c r="E986" s="4">
        <v>0</v>
      </c>
      <c r="F986" s="4">
        <f>ROUND(F985,O986)</f>
        <v>2641814.9300000002</v>
      </c>
      <c r="G986" s="4" t="s">
        <v>638</v>
      </c>
      <c r="H986" s="4" t="s">
        <v>639</v>
      </c>
      <c r="I986" s="4"/>
      <c r="J986" s="4"/>
      <c r="K986" s="4">
        <v>212</v>
      </c>
      <c r="L986" s="4">
        <v>28</v>
      </c>
      <c r="M986" s="4">
        <v>0</v>
      </c>
      <c r="N986" s="4" t="s">
        <v>3</v>
      </c>
      <c r="O986" s="4">
        <v>2</v>
      </c>
      <c r="P986" s="4"/>
      <c r="Q986" s="4"/>
      <c r="R986" s="4"/>
      <c r="S986" s="4"/>
      <c r="T986" s="4"/>
      <c r="U986" s="4"/>
      <c r="V986" s="4"/>
      <c r="W986" s="4">
        <v>2408.4699999999998</v>
      </c>
      <c r="X986" s="4">
        <v>1</v>
      </c>
      <c r="Y986" s="4">
        <v>2408.4699999999998</v>
      </c>
      <c r="Z986" s="4"/>
      <c r="AA986" s="4"/>
      <c r="AB986" s="4"/>
    </row>
    <row r="987" spans="1:28" x14ac:dyDescent="0.2">
      <c r="A987" s="4">
        <v>50</v>
      </c>
      <c r="B987" s="4">
        <v>0</v>
      </c>
      <c r="C987" s="4">
        <v>0</v>
      </c>
      <c r="D987" s="4">
        <v>2</v>
      </c>
      <c r="E987" s="4">
        <v>0</v>
      </c>
      <c r="F987" s="4">
        <f>ROUND(F986*0.2,O987)</f>
        <v>528362.99</v>
      </c>
      <c r="G987" s="4" t="s">
        <v>640</v>
      </c>
      <c r="H987" s="4" t="s">
        <v>641</v>
      </c>
      <c r="I987" s="4"/>
      <c r="J987" s="4"/>
      <c r="K987" s="4">
        <v>212</v>
      </c>
      <c r="L987" s="4">
        <v>29</v>
      </c>
      <c r="M987" s="4">
        <v>0</v>
      </c>
      <c r="N987" s="4" t="s">
        <v>3</v>
      </c>
      <c r="O987" s="4">
        <v>2</v>
      </c>
      <c r="P987" s="4"/>
      <c r="Q987" s="4"/>
      <c r="R987" s="4"/>
      <c r="S987" s="4"/>
      <c r="T987" s="4"/>
      <c r="U987" s="4"/>
      <c r="V987" s="4"/>
      <c r="W987" s="4">
        <v>481.69</v>
      </c>
      <c r="X987" s="4">
        <v>1</v>
      </c>
      <c r="Y987" s="4">
        <v>481.69</v>
      </c>
      <c r="Z987" s="4"/>
      <c r="AA987" s="4"/>
      <c r="AB987" s="4"/>
    </row>
    <row r="988" spans="1:28" x14ac:dyDescent="0.2">
      <c r="A988" s="4">
        <v>50</v>
      </c>
      <c r="B988" s="4">
        <v>0</v>
      </c>
      <c r="C988" s="4">
        <v>0</v>
      </c>
      <c r="D988" s="4">
        <v>2</v>
      </c>
      <c r="E988" s="4">
        <v>0</v>
      </c>
      <c r="F988" s="4">
        <f>ROUND(F986+F987,O988)</f>
        <v>3170177.92</v>
      </c>
      <c r="G988" s="4" t="s">
        <v>642</v>
      </c>
      <c r="H988" s="4" t="s">
        <v>643</v>
      </c>
      <c r="I988" s="4"/>
      <c r="J988" s="4"/>
      <c r="K988" s="4">
        <v>212</v>
      </c>
      <c r="L988" s="4">
        <v>30</v>
      </c>
      <c r="M988" s="4">
        <v>0</v>
      </c>
      <c r="N988" s="4" t="s">
        <v>3</v>
      </c>
      <c r="O988" s="4">
        <v>2</v>
      </c>
      <c r="P988" s="4"/>
      <c r="Q988" s="4"/>
      <c r="R988" s="4"/>
      <c r="S988" s="4"/>
      <c r="T988" s="4"/>
      <c r="U988" s="4"/>
      <c r="V988" s="4"/>
      <c r="W988" s="4">
        <v>2890.16</v>
      </c>
      <c r="X988" s="4">
        <v>1</v>
      </c>
      <c r="Y988" s="4">
        <v>2890.16</v>
      </c>
      <c r="Z988" s="4"/>
      <c r="AA988" s="4"/>
      <c r="AB988" s="4"/>
    </row>
    <row r="990" spans="1:28" x14ac:dyDescent="0.2">
      <c r="A990" s="5">
        <v>61</v>
      </c>
      <c r="B990" s="5"/>
      <c r="C990" s="5"/>
      <c r="D990" s="5"/>
      <c r="E990" s="5"/>
      <c r="F990" s="5">
        <v>0</v>
      </c>
      <c r="G990" s="5" t="s">
        <v>3</v>
      </c>
      <c r="H990" s="5" t="s">
        <v>3</v>
      </c>
    </row>
    <row r="991" spans="1:28" x14ac:dyDescent="0.2">
      <c r="A991" s="5">
        <v>61</v>
      </c>
      <c r="B991" s="5"/>
      <c r="C991" s="5"/>
      <c r="D991" s="5"/>
      <c r="E991" s="5"/>
      <c r="F991" s="5">
        <v>0</v>
      </c>
      <c r="G991" s="5" t="s">
        <v>644</v>
      </c>
      <c r="H991" s="5" t="s">
        <v>645</v>
      </c>
    </row>
    <row r="994" spans="1:15" x14ac:dyDescent="0.2">
      <c r="A994">
        <v>-1</v>
      </c>
    </row>
    <row r="996" spans="1:15" x14ac:dyDescent="0.2">
      <c r="A996" s="3">
        <v>75</v>
      </c>
      <c r="B996" s="3" t="s">
        <v>646</v>
      </c>
      <c r="C996" s="3">
        <v>2025</v>
      </c>
      <c r="D996" s="3">
        <v>0</v>
      </c>
      <c r="E996" s="3">
        <v>10</v>
      </c>
      <c r="F996" s="3">
        <v>0</v>
      </c>
      <c r="G996" s="3">
        <v>0</v>
      </c>
      <c r="H996" s="3">
        <v>1</v>
      </c>
      <c r="I996" s="3">
        <v>0</v>
      </c>
      <c r="J996" s="3">
        <v>1</v>
      </c>
      <c r="K996" s="3">
        <v>78</v>
      </c>
      <c r="L996" s="3">
        <v>30</v>
      </c>
      <c r="M996" s="3">
        <v>0</v>
      </c>
      <c r="N996" s="3">
        <v>1472224561</v>
      </c>
      <c r="O996" s="3">
        <v>1</v>
      </c>
    </row>
    <row r="1000" spans="1:15" x14ac:dyDescent="0.2">
      <c r="A1000">
        <v>65</v>
      </c>
      <c r="C1000">
        <v>1</v>
      </c>
      <c r="D1000">
        <v>0</v>
      </c>
      <c r="E1000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647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1472224561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12</v>
      </c>
      <c r="D16" s="6" t="s">
        <v>12</v>
      </c>
      <c r="E16" s="7">
        <f>ROUND((Source!F944)/1000,2)</f>
        <v>0</v>
      </c>
      <c r="F16" s="7">
        <f>ROUND((Source!F945)/1000,2)</f>
        <v>0</v>
      </c>
      <c r="G16" s="7">
        <f>ROUND((Source!F936)/1000,2)</f>
        <v>0</v>
      </c>
      <c r="H16" s="7">
        <f>ROUND((Source!F946)/1000+(Source!F947)/1000,2)</f>
        <v>2641.81</v>
      </c>
      <c r="I16" s="7">
        <f>E16+F16+G16+H16</f>
        <v>2641.81</v>
      </c>
      <c r="J16" s="7">
        <f>ROUND((Source!F942+Source!F941)/1000,2)</f>
        <v>1442.11</v>
      </c>
      <c r="AI16" s="6">
        <v>0</v>
      </c>
      <c r="AJ16" s="6">
        <v>0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1340.19</v>
      </c>
      <c r="AU16" s="7">
        <v>4.84</v>
      </c>
      <c r="AV16" s="7">
        <v>0</v>
      </c>
      <c r="AW16" s="7">
        <v>0</v>
      </c>
      <c r="AX16" s="7">
        <v>0</v>
      </c>
      <c r="AY16" s="7">
        <v>0</v>
      </c>
      <c r="AZ16" s="7">
        <v>0</v>
      </c>
      <c r="BA16" s="7">
        <v>1335.35</v>
      </c>
      <c r="BB16" s="7">
        <v>0</v>
      </c>
      <c r="BC16" s="7">
        <v>0</v>
      </c>
      <c r="BD16" s="7">
        <v>2408.4699999999998</v>
      </c>
      <c r="BE16" s="7">
        <v>0</v>
      </c>
      <c r="BF16" s="7">
        <v>2.4945120000000003</v>
      </c>
      <c r="BG16" s="7">
        <v>0</v>
      </c>
      <c r="BH16" s="7">
        <v>0</v>
      </c>
      <c r="BI16" s="7">
        <v>934.75</v>
      </c>
      <c r="BJ16" s="7">
        <v>133.53</v>
      </c>
      <c r="BK16" s="7">
        <v>2408.4699999999998</v>
      </c>
    </row>
    <row r="18" spans="1:19" x14ac:dyDescent="0.2">
      <c r="A18">
        <v>51</v>
      </c>
      <c r="E18" s="5">
        <f>SUMIF(A16:A17,3,E16:E17)</f>
        <v>0</v>
      </c>
      <c r="F18" s="5">
        <f>SUMIF(A16:A17,3,F16:F17)</f>
        <v>0</v>
      </c>
      <c r="G18" s="5">
        <f>SUMIF(A16:A17,3,G16:G17)</f>
        <v>0</v>
      </c>
      <c r="H18" s="5">
        <f>SUMIF(A16:A17,3,H16:H17)</f>
        <v>2641.81</v>
      </c>
      <c r="I18" s="5">
        <f>SUMIF(A16:A17,3,I16:I17)</f>
        <v>2641.81</v>
      </c>
      <c r="J18" s="5">
        <f>SUMIF(A16:A17,3,J16:J17)</f>
        <v>1442.11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1340.19</v>
      </c>
      <c r="G20" s="4" t="s">
        <v>46</v>
      </c>
      <c r="H20" s="4" t="s">
        <v>47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4.84</v>
      </c>
      <c r="G21" s="4" t="s">
        <v>48</v>
      </c>
      <c r="H21" s="4" t="s">
        <v>49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50</v>
      </c>
      <c r="H22" s="4" t="s">
        <v>51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4.84</v>
      </c>
      <c r="G23" s="4" t="s">
        <v>52</v>
      </c>
      <c r="H23" s="4" t="s">
        <v>53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4.84</v>
      </c>
      <c r="G24" s="4" t="s">
        <v>54</v>
      </c>
      <c r="H24" s="4" t="s">
        <v>55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56</v>
      </c>
      <c r="H25" s="4" t="s">
        <v>57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4.84</v>
      </c>
      <c r="G26" s="4" t="s">
        <v>58</v>
      </c>
      <c r="H26" s="4" t="s">
        <v>59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60</v>
      </c>
      <c r="H27" s="4" t="s">
        <v>61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62</v>
      </c>
      <c r="H28" s="4" t="s">
        <v>63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64</v>
      </c>
      <c r="H29" s="4" t="s">
        <v>65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0</v>
      </c>
      <c r="G30" s="4" t="s">
        <v>66</v>
      </c>
      <c r="H30" s="4" t="s">
        <v>67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68</v>
      </c>
      <c r="H31" s="4" t="s">
        <v>69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0</v>
      </c>
      <c r="G32" s="4" t="s">
        <v>70</v>
      </c>
      <c r="H32" s="4" t="s">
        <v>71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1335.35</v>
      </c>
      <c r="G33" s="4" t="s">
        <v>72</v>
      </c>
      <c r="H33" s="4" t="s">
        <v>73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74</v>
      </c>
      <c r="H34" s="4" t="s">
        <v>75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76</v>
      </c>
      <c r="H35" s="4" t="s">
        <v>77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78</v>
      </c>
      <c r="H36" s="4" t="s">
        <v>79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2408.4699999999998</v>
      </c>
      <c r="G37" s="4" t="s">
        <v>80</v>
      </c>
      <c r="H37" s="4" t="s">
        <v>81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82</v>
      </c>
      <c r="H38" s="4" t="s">
        <v>83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84</v>
      </c>
      <c r="H39" s="4" t="s">
        <v>85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2.4945120000000003</v>
      </c>
      <c r="G40" s="4" t="s">
        <v>86</v>
      </c>
      <c r="H40" s="4" t="s">
        <v>87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88</v>
      </c>
      <c r="H41" s="4" t="s">
        <v>89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90</v>
      </c>
      <c r="H42" s="4" t="s">
        <v>91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92</v>
      </c>
      <c r="H43" s="4" t="s">
        <v>93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934.75</v>
      </c>
      <c r="G44" s="4" t="s">
        <v>94</v>
      </c>
      <c r="H44" s="4" t="s">
        <v>95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133.53</v>
      </c>
      <c r="G45" s="4" t="s">
        <v>96</v>
      </c>
      <c r="H45" s="4" t="s">
        <v>97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2408.4699999999998</v>
      </c>
      <c r="G46" s="4" t="s">
        <v>98</v>
      </c>
      <c r="H46" s="4" t="s">
        <v>99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0</v>
      </c>
      <c r="C47" s="4">
        <v>0</v>
      </c>
      <c r="D47" s="4">
        <v>2</v>
      </c>
      <c r="E47" s="4">
        <v>0</v>
      </c>
      <c r="F47" s="4">
        <v>2408.4699999999998</v>
      </c>
      <c r="G47" s="4" t="s">
        <v>638</v>
      </c>
      <c r="H47" s="4" t="s">
        <v>639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0</v>
      </c>
      <c r="C48" s="4">
        <v>0</v>
      </c>
      <c r="D48" s="4">
        <v>2</v>
      </c>
      <c r="E48" s="4">
        <v>0</v>
      </c>
      <c r="F48" s="4">
        <v>481.69</v>
      </c>
      <c r="G48" s="4" t="s">
        <v>640</v>
      </c>
      <c r="H48" s="4" t="s">
        <v>641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0</v>
      </c>
      <c r="C49" s="4">
        <v>0</v>
      </c>
      <c r="D49" s="4">
        <v>2</v>
      </c>
      <c r="E49" s="4">
        <v>0</v>
      </c>
      <c r="F49" s="4">
        <v>2890.16</v>
      </c>
      <c r="G49" s="4" t="s">
        <v>642</v>
      </c>
      <c r="H49" s="4" t="s">
        <v>643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1" spans="1:16" x14ac:dyDescent="0.2">
      <c r="A51">
        <v>-1</v>
      </c>
    </row>
    <row r="54" spans="1:16" x14ac:dyDescent="0.2">
      <c r="A54" s="3">
        <v>75</v>
      </c>
      <c r="B54" s="3" t="s">
        <v>646</v>
      </c>
      <c r="C54" s="3">
        <v>2025</v>
      </c>
      <c r="D54" s="3">
        <v>0</v>
      </c>
      <c r="E54" s="3">
        <v>10</v>
      </c>
      <c r="F54" s="3">
        <v>0</v>
      </c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1472224561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66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ROW(Source!A33)</f>
        <v>33</v>
      </c>
      <c r="B1">
        <v>1474096548</v>
      </c>
      <c r="C1">
        <v>1472039327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648</v>
      </c>
      <c r="J1" t="s">
        <v>3</v>
      </c>
      <c r="K1" t="s">
        <v>649</v>
      </c>
      <c r="L1">
        <v>1191</v>
      </c>
      <c r="N1">
        <v>1013</v>
      </c>
      <c r="O1" t="s">
        <v>650</v>
      </c>
      <c r="P1" t="s">
        <v>650</v>
      </c>
      <c r="Q1">
        <v>1</v>
      </c>
      <c r="X1">
        <v>0.9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22</v>
      </c>
      <c r="AG1">
        <v>3.6</v>
      </c>
      <c r="AH1">
        <v>3</v>
      </c>
      <c r="AI1">
        <v>-1</v>
      </c>
      <c r="AJ1" t="s">
        <v>3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ROW(Source!A34)</f>
        <v>34</v>
      </c>
      <c r="B2">
        <v>1474096549</v>
      </c>
      <c r="C2">
        <v>1472039331</v>
      </c>
      <c r="D2">
        <v>1441819193</v>
      </c>
      <c r="E2">
        <v>15514512</v>
      </c>
      <c r="F2">
        <v>1</v>
      </c>
      <c r="G2">
        <v>15514512</v>
      </c>
      <c r="H2">
        <v>1</v>
      </c>
      <c r="I2" t="s">
        <v>648</v>
      </c>
      <c r="J2" t="s">
        <v>3</v>
      </c>
      <c r="K2" t="s">
        <v>649</v>
      </c>
      <c r="L2">
        <v>1191</v>
      </c>
      <c r="N2">
        <v>1013</v>
      </c>
      <c r="O2" t="s">
        <v>650</v>
      </c>
      <c r="P2" t="s">
        <v>650</v>
      </c>
      <c r="Q2">
        <v>1</v>
      </c>
      <c r="X2">
        <v>4.84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22</v>
      </c>
      <c r="AG2">
        <v>19.36</v>
      </c>
      <c r="AH2">
        <v>3</v>
      </c>
      <c r="AI2">
        <v>-1</v>
      </c>
      <c r="AJ2" t="s">
        <v>3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ROW(Source!A35)</f>
        <v>35</v>
      </c>
      <c r="B3">
        <v>1474096550</v>
      </c>
      <c r="C3">
        <v>1472039335</v>
      </c>
      <c r="D3">
        <v>1441819193</v>
      </c>
      <c r="E3">
        <v>15514512</v>
      </c>
      <c r="F3">
        <v>1</v>
      </c>
      <c r="G3">
        <v>15514512</v>
      </c>
      <c r="H3">
        <v>1</v>
      </c>
      <c r="I3" t="s">
        <v>648</v>
      </c>
      <c r="J3" t="s">
        <v>3</v>
      </c>
      <c r="K3" t="s">
        <v>649</v>
      </c>
      <c r="L3">
        <v>1191</v>
      </c>
      <c r="N3">
        <v>1013</v>
      </c>
      <c r="O3" t="s">
        <v>650</v>
      </c>
      <c r="P3" t="s">
        <v>650</v>
      </c>
      <c r="Q3">
        <v>1</v>
      </c>
      <c r="X3">
        <v>0.37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3</v>
      </c>
      <c r="AG3">
        <v>0.37</v>
      </c>
      <c r="AH3">
        <v>3</v>
      </c>
      <c r="AI3">
        <v>-1</v>
      </c>
      <c r="AJ3" t="s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ROW(Source!A35)</f>
        <v>35</v>
      </c>
      <c r="B4">
        <v>1474096551</v>
      </c>
      <c r="C4">
        <v>1472039335</v>
      </c>
      <c r="D4">
        <v>1441834258</v>
      </c>
      <c r="E4">
        <v>1</v>
      </c>
      <c r="F4">
        <v>1</v>
      </c>
      <c r="G4">
        <v>15514512</v>
      </c>
      <c r="H4">
        <v>2</v>
      </c>
      <c r="I4" t="s">
        <v>651</v>
      </c>
      <c r="J4" t="s">
        <v>652</v>
      </c>
      <c r="K4" t="s">
        <v>653</v>
      </c>
      <c r="L4">
        <v>1368</v>
      </c>
      <c r="N4">
        <v>1011</v>
      </c>
      <c r="O4" t="s">
        <v>603</v>
      </c>
      <c r="P4" t="s">
        <v>603</v>
      </c>
      <c r="Q4">
        <v>1</v>
      </c>
      <c r="X4">
        <v>0.06</v>
      </c>
      <c r="Y4">
        <v>0</v>
      </c>
      <c r="Z4">
        <v>1303.01</v>
      </c>
      <c r="AA4">
        <v>826.2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0.06</v>
      </c>
      <c r="AH4">
        <v>3</v>
      </c>
      <c r="AI4">
        <v>-1</v>
      </c>
      <c r="AJ4" t="s">
        <v>3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ROW(Source!A36)</f>
        <v>36</v>
      </c>
      <c r="B5">
        <v>1474096552</v>
      </c>
      <c r="C5">
        <v>1472039342</v>
      </c>
      <c r="D5">
        <v>1441819193</v>
      </c>
      <c r="E5">
        <v>15514512</v>
      </c>
      <c r="F5">
        <v>1</v>
      </c>
      <c r="G5">
        <v>15514512</v>
      </c>
      <c r="H5">
        <v>1</v>
      </c>
      <c r="I5" t="s">
        <v>648</v>
      </c>
      <c r="J5" t="s">
        <v>3</v>
      </c>
      <c r="K5" t="s">
        <v>649</v>
      </c>
      <c r="L5">
        <v>1191</v>
      </c>
      <c r="N5">
        <v>1013</v>
      </c>
      <c r="O5" t="s">
        <v>650</v>
      </c>
      <c r="P5" t="s">
        <v>650</v>
      </c>
      <c r="Q5">
        <v>1</v>
      </c>
      <c r="X5">
        <v>0.45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1</v>
      </c>
      <c r="AF5" t="s">
        <v>3</v>
      </c>
      <c r="AG5">
        <v>0.45</v>
      </c>
      <c r="AH5">
        <v>3</v>
      </c>
      <c r="AI5">
        <v>-1</v>
      </c>
      <c r="AJ5" t="s">
        <v>3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ROW(Source!A37)</f>
        <v>37</v>
      </c>
      <c r="B6">
        <v>1474096553</v>
      </c>
      <c r="C6">
        <v>1472039346</v>
      </c>
      <c r="D6">
        <v>1441819193</v>
      </c>
      <c r="E6">
        <v>15514512</v>
      </c>
      <c r="F6">
        <v>1</v>
      </c>
      <c r="G6">
        <v>15514512</v>
      </c>
      <c r="H6">
        <v>1</v>
      </c>
      <c r="I6" t="s">
        <v>648</v>
      </c>
      <c r="J6" t="s">
        <v>3</v>
      </c>
      <c r="K6" t="s">
        <v>649</v>
      </c>
      <c r="L6">
        <v>1191</v>
      </c>
      <c r="N6">
        <v>1013</v>
      </c>
      <c r="O6" t="s">
        <v>650</v>
      </c>
      <c r="P6" t="s">
        <v>650</v>
      </c>
      <c r="Q6">
        <v>1</v>
      </c>
      <c r="X6">
        <v>0.74</v>
      </c>
      <c r="Y6">
        <v>0</v>
      </c>
      <c r="Z6">
        <v>0</v>
      </c>
      <c r="AA6">
        <v>0</v>
      </c>
      <c r="AB6">
        <v>0</v>
      </c>
      <c r="AC6">
        <v>0</v>
      </c>
      <c r="AD6">
        <v>1</v>
      </c>
      <c r="AE6">
        <v>1</v>
      </c>
      <c r="AF6" t="s">
        <v>3</v>
      </c>
      <c r="AG6">
        <v>0.74</v>
      </c>
      <c r="AH6">
        <v>3</v>
      </c>
      <c r="AI6">
        <v>-1</v>
      </c>
      <c r="AJ6" t="s">
        <v>3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ROW(Source!A37)</f>
        <v>37</v>
      </c>
      <c r="B7">
        <v>1474096554</v>
      </c>
      <c r="C7">
        <v>1472039346</v>
      </c>
      <c r="D7">
        <v>1441834666</v>
      </c>
      <c r="E7">
        <v>1</v>
      </c>
      <c r="F7">
        <v>1</v>
      </c>
      <c r="G7">
        <v>15514512</v>
      </c>
      <c r="H7">
        <v>3</v>
      </c>
      <c r="I7" t="s">
        <v>654</v>
      </c>
      <c r="J7" t="s">
        <v>655</v>
      </c>
      <c r="K7" t="s">
        <v>656</v>
      </c>
      <c r="L7">
        <v>1346</v>
      </c>
      <c r="N7">
        <v>1009</v>
      </c>
      <c r="O7" t="s">
        <v>657</v>
      </c>
      <c r="P7" t="s">
        <v>657</v>
      </c>
      <c r="Q7">
        <v>1</v>
      </c>
      <c r="X7">
        <v>2.9999999999999997E-4</v>
      </c>
      <c r="Y7">
        <v>924.76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2.9999999999999997E-4</v>
      </c>
      <c r="AH7">
        <v>3</v>
      </c>
      <c r="AI7">
        <v>-1</v>
      </c>
      <c r="AJ7" t="s">
        <v>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ROW(Source!A37)</f>
        <v>37</v>
      </c>
      <c r="B8">
        <v>1474096555</v>
      </c>
      <c r="C8">
        <v>1472039346</v>
      </c>
      <c r="D8">
        <v>1441821349</v>
      </c>
      <c r="E8">
        <v>15514512</v>
      </c>
      <c r="F8">
        <v>1</v>
      </c>
      <c r="G8">
        <v>15514512</v>
      </c>
      <c r="H8">
        <v>3</v>
      </c>
      <c r="I8" t="s">
        <v>658</v>
      </c>
      <c r="J8" t="s">
        <v>3</v>
      </c>
      <c r="K8" t="s">
        <v>659</v>
      </c>
      <c r="L8">
        <v>1035</v>
      </c>
      <c r="N8">
        <v>1013</v>
      </c>
      <c r="O8" t="s">
        <v>660</v>
      </c>
      <c r="P8" t="s">
        <v>660</v>
      </c>
      <c r="Q8">
        <v>1</v>
      </c>
      <c r="X8">
        <v>1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 t="s">
        <v>3</v>
      </c>
      <c r="AG8">
        <v>1</v>
      </c>
      <c r="AH8">
        <v>3</v>
      </c>
      <c r="AI8">
        <v>-1</v>
      </c>
      <c r="AJ8" t="s">
        <v>3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ROW(Source!A39)</f>
        <v>39</v>
      </c>
      <c r="B9">
        <v>1474096556</v>
      </c>
      <c r="C9">
        <v>1472039358</v>
      </c>
      <c r="D9">
        <v>1441819193</v>
      </c>
      <c r="E9">
        <v>15514512</v>
      </c>
      <c r="F9">
        <v>1</v>
      </c>
      <c r="G9">
        <v>15514512</v>
      </c>
      <c r="H9">
        <v>1</v>
      </c>
      <c r="I9" t="s">
        <v>648</v>
      </c>
      <c r="J9" t="s">
        <v>3</v>
      </c>
      <c r="K9" t="s">
        <v>649</v>
      </c>
      <c r="L9">
        <v>1191</v>
      </c>
      <c r="N9">
        <v>1013</v>
      </c>
      <c r="O9" t="s">
        <v>650</v>
      </c>
      <c r="P9" t="s">
        <v>650</v>
      </c>
      <c r="Q9">
        <v>1</v>
      </c>
      <c r="X9">
        <v>0.9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1</v>
      </c>
      <c r="AF9" t="s">
        <v>22</v>
      </c>
      <c r="AG9">
        <v>3.6</v>
      </c>
      <c r="AH9">
        <v>3</v>
      </c>
      <c r="AI9">
        <v>-1</v>
      </c>
      <c r="AJ9" t="s">
        <v>3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ROW(Source!A40)</f>
        <v>40</v>
      </c>
      <c r="B10">
        <v>1474096557</v>
      </c>
      <c r="C10">
        <v>1472039362</v>
      </c>
      <c r="D10">
        <v>1441819193</v>
      </c>
      <c r="E10">
        <v>15514512</v>
      </c>
      <c r="F10">
        <v>1</v>
      </c>
      <c r="G10">
        <v>15514512</v>
      </c>
      <c r="H10">
        <v>1</v>
      </c>
      <c r="I10" t="s">
        <v>648</v>
      </c>
      <c r="J10" t="s">
        <v>3</v>
      </c>
      <c r="K10" t="s">
        <v>649</v>
      </c>
      <c r="L10">
        <v>1191</v>
      </c>
      <c r="N10">
        <v>1013</v>
      </c>
      <c r="O10" t="s">
        <v>650</v>
      </c>
      <c r="P10" t="s">
        <v>650</v>
      </c>
      <c r="Q10">
        <v>1</v>
      </c>
      <c r="X10">
        <v>4.84</v>
      </c>
      <c r="Y10">
        <v>0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1</v>
      </c>
      <c r="AF10" t="s">
        <v>22</v>
      </c>
      <c r="AG10">
        <v>19.36</v>
      </c>
      <c r="AH10">
        <v>3</v>
      </c>
      <c r="AI10">
        <v>-1</v>
      </c>
      <c r="AJ10" t="s">
        <v>3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ROW(Source!A41)</f>
        <v>41</v>
      </c>
      <c r="B11">
        <v>1474096558</v>
      </c>
      <c r="C11">
        <v>1472039366</v>
      </c>
      <c r="D11">
        <v>1441819193</v>
      </c>
      <c r="E11">
        <v>15514512</v>
      </c>
      <c r="F11">
        <v>1</v>
      </c>
      <c r="G11">
        <v>15514512</v>
      </c>
      <c r="H11">
        <v>1</v>
      </c>
      <c r="I11" t="s">
        <v>648</v>
      </c>
      <c r="J11" t="s">
        <v>3</v>
      </c>
      <c r="K11" t="s">
        <v>649</v>
      </c>
      <c r="L11">
        <v>1191</v>
      </c>
      <c r="N11">
        <v>1013</v>
      </c>
      <c r="O11" t="s">
        <v>650</v>
      </c>
      <c r="P11" t="s">
        <v>650</v>
      </c>
      <c r="Q11">
        <v>1</v>
      </c>
      <c r="X11">
        <v>0.45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1</v>
      </c>
      <c r="AF11" t="s">
        <v>3</v>
      </c>
      <c r="AG11">
        <v>0.45</v>
      </c>
      <c r="AH11">
        <v>3</v>
      </c>
      <c r="AI11">
        <v>-1</v>
      </c>
      <c r="AJ11" t="s">
        <v>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ROW(Source!A42)</f>
        <v>42</v>
      </c>
      <c r="B12">
        <v>1474096559</v>
      </c>
      <c r="C12">
        <v>1472039370</v>
      </c>
      <c r="D12">
        <v>1441819193</v>
      </c>
      <c r="E12">
        <v>15514512</v>
      </c>
      <c r="F12">
        <v>1</v>
      </c>
      <c r="G12">
        <v>15514512</v>
      </c>
      <c r="H12">
        <v>1</v>
      </c>
      <c r="I12" t="s">
        <v>648</v>
      </c>
      <c r="J12" t="s">
        <v>3</v>
      </c>
      <c r="K12" t="s">
        <v>649</v>
      </c>
      <c r="L12">
        <v>1191</v>
      </c>
      <c r="N12">
        <v>1013</v>
      </c>
      <c r="O12" t="s">
        <v>650</v>
      </c>
      <c r="P12" t="s">
        <v>650</v>
      </c>
      <c r="Q12">
        <v>1</v>
      </c>
      <c r="X12">
        <v>0.37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1</v>
      </c>
      <c r="AF12" t="s">
        <v>3</v>
      </c>
      <c r="AG12">
        <v>0.37</v>
      </c>
      <c r="AH12">
        <v>3</v>
      </c>
      <c r="AI12">
        <v>-1</v>
      </c>
      <c r="AJ12" t="s">
        <v>3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ROW(Source!A42)</f>
        <v>42</v>
      </c>
      <c r="B13">
        <v>1474096560</v>
      </c>
      <c r="C13">
        <v>1472039370</v>
      </c>
      <c r="D13">
        <v>1441834258</v>
      </c>
      <c r="E13">
        <v>1</v>
      </c>
      <c r="F13">
        <v>1</v>
      </c>
      <c r="G13">
        <v>15514512</v>
      </c>
      <c r="H13">
        <v>2</v>
      </c>
      <c r="I13" t="s">
        <v>651</v>
      </c>
      <c r="J13" t="s">
        <v>652</v>
      </c>
      <c r="K13" t="s">
        <v>653</v>
      </c>
      <c r="L13">
        <v>1368</v>
      </c>
      <c r="N13">
        <v>1011</v>
      </c>
      <c r="O13" t="s">
        <v>603</v>
      </c>
      <c r="P13" t="s">
        <v>603</v>
      </c>
      <c r="Q13">
        <v>1</v>
      </c>
      <c r="X13">
        <v>0.06</v>
      </c>
      <c r="Y13">
        <v>0</v>
      </c>
      <c r="Z13">
        <v>1303.01</v>
      </c>
      <c r="AA13">
        <v>826.2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0.06</v>
      </c>
      <c r="AH13">
        <v>3</v>
      </c>
      <c r="AI13">
        <v>-1</v>
      </c>
      <c r="AJ13" t="s">
        <v>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ROW(Source!A79)</f>
        <v>79</v>
      </c>
      <c r="B14">
        <v>1474096561</v>
      </c>
      <c r="C14">
        <v>1472039378</v>
      </c>
      <c r="D14">
        <v>1441819193</v>
      </c>
      <c r="E14">
        <v>15514512</v>
      </c>
      <c r="F14">
        <v>1</v>
      </c>
      <c r="G14">
        <v>15514512</v>
      </c>
      <c r="H14">
        <v>1</v>
      </c>
      <c r="I14" t="s">
        <v>648</v>
      </c>
      <c r="J14" t="s">
        <v>3</v>
      </c>
      <c r="K14" t="s">
        <v>649</v>
      </c>
      <c r="L14">
        <v>1191</v>
      </c>
      <c r="N14">
        <v>1013</v>
      </c>
      <c r="O14" t="s">
        <v>650</v>
      </c>
      <c r="P14" t="s">
        <v>650</v>
      </c>
      <c r="Q14">
        <v>1</v>
      </c>
      <c r="X14">
        <v>1.26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1</v>
      </c>
      <c r="AF14" t="s">
        <v>105</v>
      </c>
      <c r="AG14">
        <v>21.42</v>
      </c>
      <c r="AH14">
        <v>3</v>
      </c>
      <c r="AI14">
        <v>-1</v>
      </c>
      <c r="AJ14" t="s">
        <v>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ROW(Source!A80)</f>
        <v>80</v>
      </c>
      <c r="B15">
        <v>1474096562</v>
      </c>
      <c r="C15">
        <v>1472039382</v>
      </c>
      <c r="D15">
        <v>1441819193</v>
      </c>
      <c r="E15">
        <v>15514512</v>
      </c>
      <c r="F15">
        <v>1</v>
      </c>
      <c r="G15">
        <v>15514512</v>
      </c>
      <c r="H15">
        <v>1</v>
      </c>
      <c r="I15" t="s">
        <v>648</v>
      </c>
      <c r="J15" t="s">
        <v>3</v>
      </c>
      <c r="K15" t="s">
        <v>649</v>
      </c>
      <c r="L15">
        <v>1191</v>
      </c>
      <c r="N15">
        <v>1013</v>
      </c>
      <c r="O15" t="s">
        <v>650</v>
      </c>
      <c r="P15" t="s">
        <v>650</v>
      </c>
      <c r="Q15">
        <v>1</v>
      </c>
      <c r="X15">
        <v>0.23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105</v>
      </c>
      <c r="AG15">
        <v>3.91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ROW(Source!A81)</f>
        <v>81</v>
      </c>
      <c r="B16">
        <v>1474096563</v>
      </c>
      <c r="C16">
        <v>1472039386</v>
      </c>
      <c r="D16">
        <v>1441819193</v>
      </c>
      <c r="E16">
        <v>15514512</v>
      </c>
      <c r="F16">
        <v>1</v>
      </c>
      <c r="G16">
        <v>15514512</v>
      </c>
      <c r="H16">
        <v>1</v>
      </c>
      <c r="I16" t="s">
        <v>648</v>
      </c>
      <c r="J16" t="s">
        <v>3</v>
      </c>
      <c r="K16" t="s">
        <v>649</v>
      </c>
      <c r="L16">
        <v>1191</v>
      </c>
      <c r="N16">
        <v>1013</v>
      </c>
      <c r="O16" t="s">
        <v>650</v>
      </c>
      <c r="P16" t="s">
        <v>650</v>
      </c>
      <c r="Q16">
        <v>1</v>
      </c>
      <c r="X16">
        <v>104.44</v>
      </c>
      <c r="Y16">
        <v>0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1</v>
      </c>
      <c r="AF16" t="s">
        <v>3</v>
      </c>
      <c r="AG16">
        <v>104.44</v>
      </c>
      <c r="AH16">
        <v>3</v>
      </c>
      <c r="AI16">
        <v>-1</v>
      </c>
      <c r="AJ16" t="s">
        <v>3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ROW(Source!A81)</f>
        <v>81</v>
      </c>
      <c r="B17">
        <v>1474096564</v>
      </c>
      <c r="C17">
        <v>1472039386</v>
      </c>
      <c r="D17">
        <v>1441834334</v>
      </c>
      <c r="E17">
        <v>1</v>
      </c>
      <c r="F17">
        <v>1</v>
      </c>
      <c r="G17">
        <v>15514512</v>
      </c>
      <c r="H17">
        <v>2</v>
      </c>
      <c r="I17" t="s">
        <v>661</v>
      </c>
      <c r="J17" t="s">
        <v>662</v>
      </c>
      <c r="K17" t="s">
        <v>663</v>
      </c>
      <c r="L17">
        <v>1368</v>
      </c>
      <c r="N17">
        <v>1011</v>
      </c>
      <c r="O17" t="s">
        <v>603</v>
      </c>
      <c r="P17" t="s">
        <v>603</v>
      </c>
      <c r="Q17">
        <v>1</v>
      </c>
      <c r="X17">
        <v>5.8</v>
      </c>
      <c r="Y17">
        <v>0</v>
      </c>
      <c r="Z17">
        <v>10.66</v>
      </c>
      <c r="AA17">
        <v>0.12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5.8</v>
      </c>
      <c r="AH17">
        <v>3</v>
      </c>
      <c r="AI17">
        <v>-1</v>
      </c>
      <c r="AJ17" t="s">
        <v>3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ROW(Source!A81)</f>
        <v>81</v>
      </c>
      <c r="B18">
        <v>1474096566</v>
      </c>
      <c r="C18">
        <v>1472039386</v>
      </c>
      <c r="D18">
        <v>1441834443</v>
      </c>
      <c r="E18">
        <v>1</v>
      </c>
      <c r="F18">
        <v>1</v>
      </c>
      <c r="G18">
        <v>15514512</v>
      </c>
      <c r="H18">
        <v>3</v>
      </c>
      <c r="I18" t="s">
        <v>664</v>
      </c>
      <c r="J18" t="s">
        <v>665</v>
      </c>
      <c r="K18" t="s">
        <v>666</v>
      </c>
      <c r="L18">
        <v>1296</v>
      </c>
      <c r="N18">
        <v>1002</v>
      </c>
      <c r="O18" t="s">
        <v>667</v>
      </c>
      <c r="P18" t="s">
        <v>667</v>
      </c>
      <c r="Q18">
        <v>1</v>
      </c>
      <c r="X18">
        <v>0.31</v>
      </c>
      <c r="Y18">
        <v>785.72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0.31</v>
      </c>
      <c r="AH18">
        <v>3</v>
      </c>
      <c r="AI18">
        <v>-1</v>
      </c>
      <c r="AJ18" t="s">
        <v>3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ROW(Source!A81)</f>
        <v>81</v>
      </c>
      <c r="B19">
        <v>1474096567</v>
      </c>
      <c r="C19">
        <v>1472039386</v>
      </c>
      <c r="D19">
        <v>1441821225</v>
      </c>
      <c r="E19">
        <v>15514512</v>
      </c>
      <c r="F19">
        <v>1</v>
      </c>
      <c r="G19">
        <v>15514512</v>
      </c>
      <c r="H19">
        <v>3</v>
      </c>
      <c r="I19" t="s">
        <v>668</v>
      </c>
      <c r="J19" t="s">
        <v>3</v>
      </c>
      <c r="K19" t="s">
        <v>669</v>
      </c>
      <c r="L19">
        <v>1346</v>
      </c>
      <c r="N19">
        <v>1009</v>
      </c>
      <c r="O19" t="s">
        <v>657</v>
      </c>
      <c r="P19" t="s">
        <v>657</v>
      </c>
      <c r="Q19">
        <v>1</v>
      </c>
      <c r="X19">
        <v>1.08</v>
      </c>
      <c r="Y19">
        <v>292.57515999999998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1.08</v>
      </c>
      <c r="AH19">
        <v>3</v>
      </c>
      <c r="AI19">
        <v>-1</v>
      </c>
      <c r="AJ19" t="s">
        <v>3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ROW(Source!A81)</f>
        <v>81</v>
      </c>
      <c r="B20">
        <v>1474096565</v>
      </c>
      <c r="C20">
        <v>1472039386</v>
      </c>
      <c r="D20">
        <v>1441821223</v>
      </c>
      <c r="E20">
        <v>15514512</v>
      </c>
      <c r="F20">
        <v>1</v>
      </c>
      <c r="G20">
        <v>15514512</v>
      </c>
      <c r="H20">
        <v>3</v>
      </c>
      <c r="I20" t="s">
        <v>670</v>
      </c>
      <c r="J20" t="s">
        <v>3</v>
      </c>
      <c r="K20" t="s">
        <v>671</v>
      </c>
      <c r="L20">
        <v>1346</v>
      </c>
      <c r="N20">
        <v>1009</v>
      </c>
      <c r="O20" t="s">
        <v>657</v>
      </c>
      <c r="P20" t="s">
        <v>657</v>
      </c>
      <c r="Q20">
        <v>1</v>
      </c>
      <c r="X20">
        <v>0.98</v>
      </c>
      <c r="Y20">
        <v>221.4237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0.98</v>
      </c>
      <c r="AH20">
        <v>3</v>
      </c>
      <c r="AI20">
        <v>-1</v>
      </c>
      <c r="AJ20" t="s">
        <v>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ROW(Source!A82)</f>
        <v>82</v>
      </c>
      <c r="B21">
        <v>1474096568</v>
      </c>
      <c r="C21">
        <v>1472039402</v>
      </c>
      <c r="D21">
        <v>1441819193</v>
      </c>
      <c r="E21">
        <v>15514512</v>
      </c>
      <c r="F21">
        <v>1</v>
      </c>
      <c r="G21">
        <v>15514512</v>
      </c>
      <c r="H21">
        <v>1</v>
      </c>
      <c r="I21" t="s">
        <v>648</v>
      </c>
      <c r="J21" t="s">
        <v>3</v>
      </c>
      <c r="K21" t="s">
        <v>649</v>
      </c>
      <c r="L21">
        <v>1191</v>
      </c>
      <c r="N21">
        <v>1013</v>
      </c>
      <c r="O21" t="s">
        <v>650</v>
      </c>
      <c r="P21" t="s">
        <v>650</v>
      </c>
      <c r="Q21">
        <v>1</v>
      </c>
      <c r="X21">
        <v>151.93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3</v>
      </c>
      <c r="AG21">
        <v>151.93</v>
      </c>
      <c r="AH21">
        <v>3</v>
      </c>
      <c r="AI21">
        <v>-1</v>
      </c>
      <c r="AJ21" t="s">
        <v>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ROW(Source!A82)</f>
        <v>82</v>
      </c>
      <c r="B22">
        <v>1474096569</v>
      </c>
      <c r="C22">
        <v>1472039402</v>
      </c>
      <c r="D22">
        <v>1441834334</v>
      </c>
      <c r="E22">
        <v>1</v>
      </c>
      <c r="F22">
        <v>1</v>
      </c>
      <c r="G22">
        <v>15514512</v>
      </c>
      <c r="H22">
        <v>2</v>
      </c>
      <c r="I22" t="s">
        <v>661</v>
      </c>
      <c r="J22" t="s">
        <v>662</v>
      </c>
      <c r="K22" t="s">
        <v>663</v>
      </c>
      <c r="L22">
        <v>1368</v>
      </c>
      <c r="N22">
        <v>1011</v>
      </c>
      <c r="O22" t="s">
        <v>603</v>
      </c>
      <c r="P22" t="s">
        <v>603</v>
      </c>
      <c r="Q22">
        <v>1</v>
      </c>
      <c r="X22">
        <v>5.8</v>
      </c>
      <c r="Y22">
        <v>0</v>
      </c>
      <c r="Z22">
        <v>10.66</v>
      </c>
      <c r="AA22">
        <v>0.12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5.8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ROW(Source!A82)</f>
        <v>82</v>
      </c>
      <c r="B23">
        <v>1474096571</v>
      </c>
      <c r="C23">
        <v>1472039402</v>
      </c>
      <c r="D23">
        <v>1441834443</v>
      </c>
      <c r="E23">
        <v>1</v>
      </c>
      <c r="F23">
        <v>1</v>
      </c>
      <c r="G23">
        <v>15514512</v>
      </c>
      <c r="H23">
        <v>3</v>
      </c>
      <c r="I23" t="s">
        <v>664</v>
      </c>
      <c r="J23" t="s">
        <v>665</v>
      </c>
      <c r="K23" t="s">
        <v>666</v>
      </c>
      <c r="L23">
        <v>1296</v>
      </c>
      <c r="N23">
        <v>1002</v>
      </c>
      <c r="O23" t="s">
        <v>667</v>
      </c>
      <c r="P23" t="s">
        <v>667</v>
      </c>
      <c r="Q23">
        <v>1</v>
      </c>
      <c r="X23">
        <v>0.31</v>
      </c>
      <c r="Y23">
        <v>785.72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0.31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ROW(Source!A82)</f>
        <v>82</v>
      </c>
      <c r="B24">
        <v>1474096572</v>
      </c>
      <c r="C24">
        <v>1472039402</v>
      </c>
      <c r="D24">
        <v>1441821225</v>
      </c>
      <c r="E24">
        <v>15514512</v>
      </c>
      <c r="F24">
        <v>1</v>
      </c>
      <c r="G24">
        <v>15514512</v>
      </c>
      <c r="H24">
        <v>3</v>
      </c>
      <c r="I24" t="s">
        <v>668</v>
      </c>
      <c r="J24" t="s">
        <v>3</v>
      </c>
      <c r="K24" t="s">
        <v>669</v>
      </c>
      <c r="L24">
        <v>1346</v>
      </c>
      <c r="N24">
        <v>1009</v>
      </c>
      <c r="O24" t="s">
        <v>657</v>
      </c>
      <c r="P24" t="s">
        <v>657</v>
      </c>
      <c r="Q24">
        <v>1</v>
      </c>
      <c r="X24">
        <v>1.08</v>
      </c>
      <c r="Y24">
        <v>292.57515999999998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1.08</v>
      </c>
      <c r="AH24">
        <v>3</v>
      </c>
      <c r="AI24">
        <v>-1</v>
      </c>
      <c r="AJ24" t="s">
        <v>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ROW(Source!A82)</f>
        <v>82</v>
      </c>
      <c r="B25">
        <v>1474096570</v>
      </c>
      <c r="C25">
        <v>1472039402</v>
      </c>
      <c r="D25">
        <v>1441821223</v>
      </c>
      <c r="E25">
        <v>15514512</v>
      </c>
      <c r="F25">
        <v>1</v>
      </c>
      <c r="G25">
        <v>15514512</v>
      </c>
      <c r="H25">
        <v>3</v>
      </c>
      <c r="I25" t="s">
        <v>670</v>
      </c>
      <c r="J25" t="s">
        <v>3</v>
      </c>
      <c r="K25" t="s">
        <v>671</v>
      </c>
      <c r="L25">
        <v>1346</v>
      </c>
      <c r="N25">
        <v>1009</v>
      </c>
      <c r="O25" t="s">
        <v>657</v>
      </c>
      <c r="P25" t="s">
        <v>657</v>
      </c>
      <c r="Q25">
        <v>1</v>
      </c>
      <c r="X25">
        <v>0.98</v>
      </c>
      <c r="Y25">
        <v>221.4237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0.98</v>
      </c>
      <c r="AH25">
        <v>3</v>
      </c>
      <c r="AI25">
        <v>-1</v>
      </c>
      <c r="AJ25" t="s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ROW(Source!A83)</f>
        <v>83</v>
      </c>
      <c r="B26">
        <v>1474096573</v>
      </c>
      <c r="C26">
        <v>1472039418</v>
      </c>
      <c r="D26">
        <v>1441819193</v>
      </c>
      <c r="E26">
        <v>15514512</v>
      </c>
      <c r="F26">
        <v>1</v>
      </c>
      <c r="G26">
        <v>15514512</v>
      </c>
      <c r="H26">
        <v>1</v>
      </c>
      <c r="I26" t="s">
        <v>648</v>
      </c>
      <c r="J26" t="s">
        <v>3</v>
      </c>
      <c r="K26" t="s">
        <v>649</v>
      </c>
      <c r="L26">
        <v>1191</v>
      </c>
      <c r="N26">
        <v>1013</v>
      </c>
      <c r="O26" t="s">
        <v>650</v>
      </c>
      <c r="P26" t="s">
        <v>650</v>
      </c>
      <c r="Q26">
        <v>1</v>
      </c>
      <c r="X26">
        <v>0.37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1</v>
      </c>
      <c r="AF26" t="s">
        <v>3</v>
      </c>
      <c r="AG26">
        <v>0.37</v>
      </c>
      <c r="AH26">
        <v>3</v>
      </c>
      <c r="AI26">
        <v>-1</v>
      </c>
      <c r="AJ26" t="s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ROW(Source!A83)</f>
        <v>83</v>
      </c>
      <c r="B27">
        <v>1474096574</v>
      </c>
      <c r="C27">
        <v>1472039418</v>
      </c>
      <c r="D27">
        <v>1441834258</v>
      </c>
      <c r="E27">
        <v>1</v>
      </c>
      <c r="F27">
        <v>1</v>
      </c>
      <c r="G27">
        <v>15514512</v>
      </c>
      <c r="H27">
        <v>2</v>
      </c>
      <c r="I27" t="s">
        <v>651</v>
      </c>
      <c r="J27" t="s">
        <v>652</v>
      </c>
      <c r="K27" t="s">
        <v>653</v>
      </c>
      <c r="L27">
        <v>1368</v>
      </c>
      <c r="N27">
        <v>1011</v>
      </c>
      <c r="O27" t="s">
        <v>603</v>
      </c>
      <c r="P27" t="s">
        <v>603</v>
      </c>
      <c r="Q27">
        <v>1</v>
      </c>
      <c r="X27">
        <v>0.06</v>
      </c>
      <c r="Y27">
        <v>0</v>
      </c>
      <c r="Z27">
        <v>1303.01</v>
      </c>
      <c r="AA27">
        <v>826.2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0.06</v>
      </c>
      <c r="AH27">
        <v>3</v>
      </c>
      <c r="AI27">
        <v>-1</v>
      </c>
      <c r="AJ27" t="s">
        <v>3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ROW(Source!A84)</f>
        <v>84</v>
      </c>
      <c r="B28">
        <v>1474096575</v>
      </c>
      <c r="C28">
        <v>1472039425</v>
      </c>
      <c r="D28">
        <v>1441819193</v>
      </c>
      <c r="E28">
        <v>15514512</v>
      </c>
      <c r="F28">
        <v>1</v>
      </c>
      <c r="G28">
        <v>15514512</v>
      </c>
      <c r="H28">
        <v>1</v>
      </c>
      <c r="I28" t="s">
        <v>648</v>
      </c>
      <c r="J28" t="s">
        <v>3</v>
      </c>
      <c r="K28" t="s">
        <v>649</v>
      </c>
      <c r="L28">
        <v>1191</v>
      </c>
      <c r="N28">
        <v>1013</v>
      </c>
      <c r="O28" t="s">
        <v>650</v>
      </c>
      <c r="P28" t="s">
        <v>650</v>
      </c>
      <c r="Q28">
        <v>1</v>
      </c>
      <c r="X28">
        <v>26.7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1</v>
      </c>
      <c r="AF28" t="s">
        <v>3</v>
      </c>
      <c r="AG28">
        <v>26.7</v>
      </c>
      <c r="AH28">
        <v>3</v>
      </c>
      <c r="AI28">
        <v>-1</v>
      </c>
      <c r="AJ28" t="s">
        <v>3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ROW(Source!A85)</f>
        <v>85</v>
      </c>
      <c r="B29">
        <v>1474096576</v>
      </c>
      <c r="C29">
        <v>1472039429</v>
      </c>
      <c r="D29">
        <v>1441819193</v>
      </c>
      <c r="E29">
        <v>15514512</v>
      </c>
      <c r="F29">
        <v>1</v>
      </c>
      <c r="G29">
        <v>15514512</v>
      </c>
      <c r="H29">
        <v>1</v>
      </c>
      <c r="I29" t="s">
        <v>648</v>
      </c>
      <c r="J29" t="s">
        <v>3</v>
      </c>
      <c r="K29" t="s">
        <v>649</v>
      </c>
      <c r="L29">
        <v>1191</v>
      </c>
      <c r="N29">
        <v>1013</v>
      </c>
      <c r="O29" t="s">
        <v>650</v>
      </c>
      <c r="P29" t="s">
        <v>650</v>
      </c>
      <c r="Q29">
        <v>1</v>
      </c>
      <c r="X29">
        <v>28.02</v>
      </c>
      <c r="Y29">
        <v>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1</v>
      </c>
      <c r="AF29" t="s">
        <v>22</v>
      </c>
      <c r="AG29">
        <v>112.08</v>
      </c>
      <c r="AH29">
        <v>3</v>
      </c>
      <c r="AI29">
        <v>-1</v>
      </c>
      <c r="AJ29" t="s">
        <v>3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ROW(Source!A85)</f>
        <v>85</v>
      </c>
      <c r="B30">
        <v>1474096577</v>
      </c>
      <c r="C30">
        <v>1472039429</v>
      </c>
      <c r="D30">
        <v>1441834443</v>
      </c>
      <c r="E30">
        <v>1</v>
      </c>
      <c r="F30">
        <v>1</v>
      </c>
      <c r="G30">
        <v>15514512</v>
      </c>
      <c r="H30">
        <v>3</v>
      </c>
      <c r="I30" t="s">
        <v>664</v>
      </c>
      <c r="J30" t="s">
        <v>665</v>
      </c>
      <c r="K30" t="s">
        <v>666</v>
      </c>
      <c r="L30">
        <v>1296</v>
      </c>
      <c r="N30">
        <v>1002</v>
      </c>
      <c r="O30" t="s">
        <v>667</v>
      </c>
      <c r="P30" t="s">
        <v>667</v>
      </c>
      <c r="Q30">
        <v>1</v>
      </c>
      <c r="X30">
        <v>0.31</v>
      </c>
      <c r="Y30">
        <v>785.72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22</v>
      </c>
      <c r="AG30">
        <v>1.24</v>
      </c>
      <c r="AH30">
        <v>3</v>
      </c>
      <c r="AI30">
        <v>-1</v>
      </c>
      <c r="AJ30" t="s">
        <v>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ROW(Source!A86)</f>
        <v>86</v>
      </c>
      <c r="B31">
        <v>1474096578</v>
      </c>
      <c r="C31">
        <v>1472039436</v>
      </c>
      <c r="D31">
        <v>1441819193</v>
      </c>
      <c r="E31">
        <v>15514512</v>
      </c>
      <c r="F31">
        <v>1</v>
      </c>
      <c r="G31">
        <v>15514512</v>
      </c>
      <c r="H31">
        <v>1</v>
      </c>
      <c r="I31" t="s">
        <v>648</v>
      </c>
      <c r="J31" t="s">
        <v>3</v>
      </c>
      <c r="K31" t="s">
        <v>649</v>
      </c>
      <c r="L31">
        <v>1191</v>
      </c>
      <c r="N31">
        <v>1013</v>
      </c>
      <c r="O31" t="s">
        <v>650</v>
      </c>
      <c r="P31" t="s">
        <v>650</v>
      </c>
      <c r="Q31">
        <v>1</v>
      </c>
      <c r="X31">
        <v>0.73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1</v>
      </c>
      <c r="AF31" t="s">
        <v>22</v>
      </c>
      <c r="AG31">
        <v>2.92</v>
      </c>
      <c r="AH31">
        <v>3</v>
      </c>
      <c r="AI31">
        <v>-1</v>
      </c>
      <c r="AJ31" t="s">
        <v>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ROW(Source!A88)</f>
        <v>88</v>
      </c>
      <c r="B32">
        <v>1474096579</v>
      </c>
      <c r="C32">
        <v>1472039441</v>
      </c>
      <c r="D32">
        <v>1441819193</v>
      </c>
      <c r="E32">
        <v>15514512</v>
      </c>
      <c r="F32">
        <v>1</v>
      </c>
      <c r="G32">
        <v>15514512</v>
      </c>
      <c r="H32">
        <v>1</v>
      </c>
      <c r="I32" t="s">
        <v>648</v>
      </c>
      <c r="J32" t="s">
        <v>3</v>
      </c>
      <c r="K32" t="s">
        <v>649</v>
      </c>
      <c r="L32">
        <v>1191</v>
      </c>
      <c r="N32">
        <v>1013</v>
      </c>
      <c r="O32" t="s">
        <v>650</v>
      </c>
      <c r="P32" t="s">
        <v>650</v>
      </c>
      <c r="Q32">
        <v>1</v>
      </c>
      <c r="X32">
        <v>1.26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1</v>
      </c>
      <c r="AF32" t="s">
        <v>105</v>
      </c>
      <c r="AG32">
        <v>21.42</v>
      </c>
      <c r="AH32">
        <v>3</v>
      </c>
      <c r="AI32">
        <v>-1</v>
      </c>
      <c r="AJ32" t="s">
        <v>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ROW(Source!A89)</f>
        <v>89</v>
      </c>
      <c r="B33">
        <v>1474096580</v>
      </c>
      <c r="C33">
        <v>1472039445</v>
      </c>
      <c r="D33">
        <v>1441819193</v>
      </c>
      <c r="E33">
        <v>15514512</v>
      </c>
      <c r="F33">
        <v>1</v>
      </c>
      <c r="G33">
        <v>15514512</v>
      </c>
      <c r="H33">
        <v>1</v>
      </c>
      <c r="I33" t="s">
        <v>648</v>
      </c>
      <c r="J33" t="s">
        <v>3</v>
      </c>
      <c r="K33" t="s">
        <v>649</v>
      </c>
      <c r="L33">
        <v>1191</v>
      </c>
      <c r="N33">
        <v>1013</v>
      </c>
      <c r="O33" t="s">
        <v>650</v>
      </c>
      <c r="P33" t="s">
        <v>650</v>
      </c>
      <c r="Q33">
        <v>1</v>
      </c>
      <c r="X33">
        <v>0.23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1</v>
      </c>
      <c r="AF33" t="s">
        <v>105</v>
      </c>
      <c r="AG33">
        <v>3.91</v>
      </c>
      <c r="AH33">
        <v>3</v>
      </c>
      <c r="AI33">
        <v>-1</v>
      </c>
      <c r="AJ33" t="s">
        <v>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ROW(Source!A90)</f>
        <v>90</v>
      </c>
      <c r="B34">
        <v>1474096581</v>
      </c>
      <c r="C34">
        <v>1472039449</v>
      </c>
      <c r="D34">
        <v>1441819193</v>
      </c>
      <c r="E34">
        <v>15514512</v>
      </c>
      <c r="F34">
        <v>1</v>
      </c>
      <c r="G34">
        <v>15514512</v>
      </c>
      <c r="H34">
        <v>1</v>
      </c>
      <c r="I34" t="s">
        <v>648</v>
      </c>
      <c r="J34" t="s">
        <v>3</v>
      </c>
      <c r="K34" t="s">
        <v>649</v>
      </c>
      <c r="L34">
        <v>1191</v>
      </c>
      <c r="N34">
        <v>1013</v>
      </c>
      <c r="O34" t="s">
        <v>650</v>
      </c>
      <c r="P34" t="s">
        <v>650</v>
      </c>
      <c r="Q34">
        <v>1</v>
      </c>
      <c r="X34">
        <v>0.23</v>
      </c>
      <c r="Y34">
        <v>0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1</v>
      </c>
      <c r="AF34" t="s">
        <v>105</v>
      </c>
      <c r="AG34">
        <v>3.91</v>
      </c>
      <c r="AH34">
        <v>3</v>
      </c>
      <c r="AI34">
        <v>-1</v>
      </c>
      <c r="AJ34" t="s">
        <v>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ROW(Source!A91)</f>
        <v>91</v>
      </c>
      <c r="B35">
        <v>1474096582</v>
      </c>
      <c r="C35">
        <v>1472039453</v>
      </c>
      <c r="D35">
        <v>1441819193</v>
      </c>
      <c r="E35">
        <v>15514512</v>
      </c>
      <c r="F35">
        <v>1</v>
      </c>
      <c r="G35">
        <v>15514512</v>
      </c>
      <c r="H35">
        <v>1</v>
      </c>
      <c r="I35" t="s">
        <v>648</v>
      </c>
      <c r="J35" t="s">
        <v>3</v>
      </c>
      <c r="K35" t="s">
        <v>649</v>
      </c>
      <c r="L35">
        <v>1191</v>
      </c>
      <c r="N35">
        <v>1013</v>
      </c>
      <c r="O35" t="s">
        <v>650</v>
      </c>
      <c r="P35" t="s">
        <v>650</v>
      </c>
      <c r="Q35">
        <v>1</v>
      </c>
      <c r="X35">
        <v>104.44</v>
      </c>
      <c r="Y35">
        <v>0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1</v>
      </c>
      <c r="AF35" t="s">
        <v>3</v>
      </c>
      <c r="AG35">
        <v>104.44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ROW(Source!A91)</f>
        <v>91</v>
      </c>
      <c r="B36">
        <v>1474096583</v>
      </c>
      <c r="C36">
        <v>1472039453</v>
      </c>
      <c r="D36">
        <v>1441834334</v>
      </c>
      <c r="E36">
        <v>1</v>
      </c>
      <c r="F36">
        <v>1</v>
      </c>
      <c r="G36">
        <v>15514512</v>
      </c>
      <c r="H36">
        <v>2</v>
      </c>
      <c r="I36" t="s">
        <v>661</v>
      </c>
      <c r="J36" t="s">
        <v>662</v>
      </c>
      <c r="K36" t="s">
        <v>663</v>
      </c>
      <c r="L36">
        <v>1368</v>
      </c>
      <c r="N36">
        <v>1011</v>
      </c>
      <c r="O36" t="s">
        <v>603</v>
      </c>
      <c r="P36" t="s">
        <v>603</v>
      </c>
      <c r="Q36">
        <v>1</v>
      </c>
      <c r="X36">
        <v>5.8</v>
      </c>
      <c r="Y36">
        <v>0</v>
      </c>
      <c r="Z36">
        <v>10.66</v>
      </c>
      <c r="AA36">
        <v>0.12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5.8</v>
      </c>
      <c r="AH36">
        <v>3</v>
      </c>
      <c r="AI36">
        <v>-1</v>
      </c>
      <c r="AJ36" t="s">
        <v>3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ROW(Source!A91)</f>
        <v>91</v>
      </c>
      <c r="B37">
        <v>1474096585</v>
      </c>
      <c r="C37">
        <v>1472039453</v>
      </c>
      <c r="D37">
        <v>1441834443</v>
      </c>
      <c r="E37">
        <v>1</v>
      </c>
      <c r="F37">
        <v>1</v>
      </c>
      <c r="G37">
        <v>15514512</v>
      </c>
      <c r="H37">
        <v>3</v>
      </c>
      <c r="I37" t="s">
        <v>664</v>
      </c>
      <c r="J37" t="s">
        <v>665</v>
      </c>
      <c r="K37" t="s">
        <v>666</v>
      </c>
      <c r="L37">
        <v>1296</v>
      </c>
      <c r="N37">
        <v>1002</v>
      </c>
      <c r="O37" t="s">
        <v>667</v>
      </c>
      <c r="P37" t="s">
        <v>667</v>
      </c>
      <c r="Q37">
        <v>1</v>
      </c>
      <c r="X37">
        <v>0.31</v>
      </c>
      <c r="Y37">
        <v>785.72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0.31</v>
      </c>
      <c r="AH37">
        <v>3</v>
      </c>
      <c r="AI37">
        <v>-1</v>
      </c>
      <c r="AJ37" t="s">
        <v>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ROW(Source!A91)</f>
        <v>91</v>
      </c>
      <c r="B38">
        <v>1474096586</v>
      </c>
      <c r="C38">
        <v>1472039453</v>
      </c>
      <c r="D38">
        <v>1441821225</v>
      </c>
      <c r="E38">
        <v>15514512</v>
      </c>
      <c r="F38">
        <v>1</v>
      </c>
      <c r="G38">
        <v>15514512</v>
      </c>
      <c r="H38">
        <v>3</v>
      </c>
      <c r="I38" t="s">
        <v>668</v>
      </c>
      <c r="J38" t="s">
        <v>3</v>
      </c>
      <c r="K38" t="s">
        <v>669</v>
      </c>
      <c r="L38">
        <v>1346</v>
      </c>
      <c r="N38">
        <v>1009</v>
      </c>
      <c r="O38" t="s">
        <v>657</v>
      </c>
      <c r="P38" t="s">
        <v>657</v>
      </c>
      <c r="Q38">
        <v>1</v>
      </c>
      <c r="X38">
        <v>1.08</v>
      </c>
      <c r="Y38">
        <v>292.57515999999998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3</v>
      </c>
      <c r="AG38">
        <v>1.08</v>
      </c>
      <c r="AH38">
        <v>3</v>
      </c>
      <c r="AI38">
        <v>-1</v>
      </c>
      <c r="AJ38" t="s">
        <v>3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ROW(Source!A91)</f>
        <v>91</v>
      </c>
      <c r="B39">
        <v>1474096584</v>
      </c>
      <c r="C39">
        <v>1472039453</v>
      </c>
      <c r="D39">
        <v>1441821223</v>
      </c>
      <c r="E39">
        <v>15514512</v>
      </c>
      <c r="F39">
        <v>1</v>
      </c>
      <c r="G39">
        <v>15514512</v>
      </c>
      <c r="H39">
        <v>3</v>
      </c>
      <c r="I39" t="s">
        <v>670</v>
      </c>
      <c r="J39" t="s">
        <v>3</v>
      </c>
      <c r="K39" t="s">
        <v>671</v>
      </c>
      <c r="L39">
        <v>1346</v>
      </c>
      <c r="N39">
        <v>1009</v>
      </c>
      <c r="O39" t="s">
        <v>657</v>
      </c>
      <c r="P39" t="s">
        <v>657</v>
      </c>
      <c r="Q39">
        <v>1</v>
      </c>
      <c r="X39">
        <v>0.98</v>
      </c>
      <c r="Y39">
        <v>221.4237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0.98</v>
      </c>
      <c r="AH39">
        <v>3</v>
      </c>
      <c r="AI39">
        <v>-1</v>
      </c>
      <c r="AJ39" t="s">
        <v>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ROW(Source!A92)</f>
        <v>92</v>
      </c>
      <c r="B40">
        <v>1474096587</v>
      </c>
      <c r="C40">
        <v>1472039469</v>
      </c>
      <c r="D40">
        <v>1441819193</v>
      </c>
      <c r="E40">
        <v>15514512</v>
      </c>
      <c r="F40">
        <v>1</v>
      </c>
      <c r="G40">
        <v>15514512</v>
      </c>
      <c r="H40">
        <v>1</v>
      </c>
      <c r="I40" t="s">
        <v>648</v>
      </c>
      <c r="J40" t="s">
        <v>3</v>
      </c>
      <c r="K40" t="s">
        <v>649</v>
      </c>
      <c r="L40">
        <v>1191</v>
      </c>
      <c r="N40">
        <v>1013</v>
      </c>
      <c r="O40" t="s">
        <v>650</v>
      </c>
      <c r="P40" t="s">
        <v>650</v>
      </c>
      <c r="Q40">
        <v>1</v>
      </c>
      <c r="X40">
        <v>151.93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1</v>
      </c>
      <c r="AF40" t="s">
        <v>3</v>
      </c>
      <c r="AG40">
        <v>151.93</v>
      </c>
      <c r="AH40">
        <v>3</v>
      </c>
      <c r="AI40">
        <v>-1</v>
      </c>
      <c r="AJ40" t="s">
        <v>3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ROW(Source!A92)</f>
        <v>92</v>
      </c>
      <c r="B41">
        <v>1474096588</v>
      </c>
      <c r="C41">
        <v>1472039469</v>
      </c>
      <c r="D41">
        <v>1441834334</v>
      </c>
      <c r="E41">
        <v>1</v>
      </c>
      <c r="F41">
        <v>1</v>
      </c>
      <c r="G41">
        <v>15514512</v>
      </c>
      <c r="H41">
        <v>2</v>
      </c>
      <c r="I41" t="s">
        <v>661</v>
      </c>
      <c r="J41" t="s">
        <v>662</v>
      </c>
      <c r="K41" t="s">
        <v>663</v>
      </c>
      <c r="L41">
        <v>1368</v>
      </c>
      <c r="N41">
        <v>1011</v>
      </c>
      <c r="O41" t="s">
        <v>603</v>
      </c>
      <c r="P41" t="s">
        <v>603</v>
      </c>
      <c r="Q41">
        <v>1</v>
      </c>
      <c r="X41">
        <v>5.8</v>
      </c>
      <c r="Y41">
        <v>0</v>
      </c>
      <c r="Z41">
        <v>10.66</v>
      </c>
      <c r="AA41">
        <v>0.12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5.8</v>
      </c>
      <c r="AH41">
        <v>3</v>
      </c>
      <c r="AI41">
        <v>-1</v>
      </c>
      <c r="AJ41" t="s">
        <v>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ROW(Source!A92)</f>
        <v>92</v>
      </c>
      <c r="B42">
        <v>1474096590</v>
      </c>
      <c r="C42">
        <v>1472039469</v>
      </c>
      <c r="D42">
        <v>1441834443</v>
      </c>
      <c r="E42">
        <v>1</v>
      </c>
      <c r="F42">
        <v>1</v>
      </c>
      <c r="G42">
        <v>15514512</v>
      </c>
      <c r="H42">
        <v>3</v>
      </c>
      <c r="I42" t="s">
        <v>664</v>
      </c>
      <c r="J42" t="s">
        <v>665</v>
      </c>
      <c r="K42" t="s">
        <v>666</v>
      </c>
      <c r="L42">
        <v>1296</v>
      </c>
      <c r="N42">
        <v>1002</v>
      </c>
      <c r="O42" t="s">
        <v>667</v>
      </c>
      <c r="P42" t="s">
        <v>667</v>
      </c>
      <c r="Q42">
        <v>1</v>
      </c>
      <c r="X42">
        <v>0.31</v>
      </c>
      <c r="Y42">
        <v>785.72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0.31</v>
      </c>
      <c r="AH42">
        <v>3</v>
      </c>
      <c r="AI42">
        <v>-1</v>
      </c>
      <c r="AJ42" t="s">
        <v>3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ROW(Source!A92)</f>
        <v>92</v>
      </c>
      <c r="B43">
        <v>1474096591</v>
      </c>
      <c r="C43">
        <v>1472039469</v>
      </c>
      <c r="D43">
        <v>1441821225</v>
      </c>
      <c r="E43">
        <v>15514512</v>
      </c>
      <c r="F43">
        <v>1</v>
      </c>
      <c r="G43">
        <v>15514512</v>
      </c>
      <c r="H43">
        <v>3</v>
      </c>
      <c r="I43" t="s">
        <v>668</v>
      </c>
      <c r="J43" t="s">
        <v>3</v>
      </c>
      <c r="K43" t="s">
        <v>669</v>
      </c>
      <c r="L43">
        <v>1346</v>
      </c>
      <c r="N43">
        <v>1009</v>
      </c>
      <c r="O43" t="s">
        <v>657</v>
      </c>
      <c r="P43" t="s">
        <v>657</v>
      </c>
      <c r="Q43">
        <v>1</v>
      </c>
      <c r="X43">
        <v>1.08</v>
      </c>
      <c r="Y43">
        <v>292.57515999999998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1.08</v>
      </c>
      <c r="AH43">
        <v>3</v>
      </c>
      <c r="AI43">
        <v>-1</v>
      </c>
      <c r="AJ43" t="s">
        <v>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ROW(Source!A92)</f>
        <v>92</v>
      </c>
      <c r="B44">
        <v>1474096589</v>
      </c>
      <c r="C44">
        <v>1472039469</v>
      </c>
      <c r="D44">
        <v>1441821223</v>
      </c>
      <c r="E44">
        <v>15514512</v>
      </c>
      <c r="F44">
        <v>1</v>
      </c>
      <c r="G44">
        <v>15514512</v>
      </c>
      <c r="H44">
        <v>3</v>
      </c>
      <c r="I44" t="s">
        <v>670</v>
      </c>
      <c r="J44" t="s">
        <v>3</v>
      </c>
      <c r="K44" t="s">
        <v>671</v>
      </c>
      <c r="L44">
        <v>1346</v>
      </c>
      <c r="N44">
        <v>1009</v>
      </c>
      <c r="O44" t="s">
        <v>657</v>
      </c>
      <c r="P44" t="s">
        <v>657</v>
      </c>
      <c r="Q44">
        <v>1</v>
      </c>
      <c r="X44">
        <v>0.98</v>
      </c>
      <c r="Y44">
        <v>221.4237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0.98</v>
      </c>
      <c r="AH44">
        <v>3</v>
      </c>
      <c r="AI44">
        <v>-1</v>
      </c>
      <c r="AJ44" t="s">
        <v>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ROW(Source!A93)</f>
        <v>93</v>
      </c>
      <c r="B45">
        <v>1474096592</v>
      </c>
      <c r="C45">
        <v>1472039485</v>
      </c>
      <c r="D45">
        <v>1441819193</v>
      </c>
      <c r="E45">
        <v>15514512</v>
      </c>
      <c r="F45">
        <v>1</v>
      </c>
      <c r="G45">
        <v>15514512</v>
      </c>
      <c r="H45">
        <v>1</v>
      </c>
      <c r="I45" t="s">
        <v>648</v>
      </c>
      <c r="J45" t="s">
        <v>3</v>
      </c>
      <c r="K45" t="s">
        <v>649</v>
      </c>
      <c r="L45">
        <v>1191</v>
      </c>
      <c r="N45">
        <v>1013</v>
      </c>
      <c r="O45" t="s">
        <v>650</v>
      </c>
      <c r="P45" t="s">
        <v>650</v>
      </c>
      <c r="Q45">
        <v>1</v>
      </c>
      <c r="X45">
        <v>0.37</v>
      </c>
      <c r="Y45">
        <v>0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1</v>
      </c>
      <c r="AF45" t="s">
        <v>3</v>
      </c>
      <c r="AG45">
        <v>0.37</v>
      </c>
      <c r="AH45">
        <v>3</v>
      </c>
      <c r="AI45">
        <v>-1</v>
      </c>
      <c r="AJ45" t="s">
        <v>3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ROW(Source!A93)</f>
        <v>93</v>
      </c>
      <c r="B46">
        <v>1474096593</v>
      </c>
      <c r="C46">
        <v>1472039485</v>
      </c>
      <c r="D46">
        <v>1441834258</v>
      </c>
      <c r="E46">
        <v>1</v>
      </c>
      <c r="F46">
        <v>1</v>
      </c>
      <c r="G46">
        <v>15514512</v>
      </c>
      <c r="H46">
        <v>2</v>
      </c>
      <c r="I46" t="s">
        <v>651</v>
      </c>
      <c r="J46" t="s">
        <v>652</v>
      </c>
      <c r="K46" t="s">
        <v>653</v>
      </c>
      <c r="L46">
        <v>1368</v>
      </c>
      <c r="N46">
        <v>1011</v>
      </c>
      <c r="O46" t="s">
        <v>603</v>
      </c>
      <c r="P46" t="s">
        <v>603</v>
      </c>
      <c r="Q46">
        <v>1</v>
      </c>
      <c r="X46">
        <v>0.06</v>
      </c>
      <c r="Y46">
        <v>0</v>
      </c>
      <c r="Z46">
        <v>1303.01</v>
      </c>
      <c r="AA46">
        <v>826.2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0.06</v>
      </c>
      <c r="AH46">
        <v>3</v>
      </c>
      <c r="AI46">
        <v>-1</v>
      </c>
      <c r="AJ46" t="s">
        <v>3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ROW(Source!A94)</f>
        <v>94</v>
      </c>
      <c r="B47">
        <v>1474096594</v>
      </c>
      <c r="C47">
        <v>1472039492</v>
      </c>
      <c r="D47">
        <v>1441819193</v>
      </c>
      <c r="E47">
        <v>15514512</v>
      </c>
      <c r="F47">
        <v>1</v>
      </c>
      <c r="G47">
        <v>15514512</v>
      </c>
      <c r="H47">
        <v>1</v>
      </c>
      <c r="I47" t="s">
        <v>648</v>
      </c>
      <c r="J47" t="s">
        <v>3</v>
      </c>
      <c r="K47" t="s">
        <v>649</v>
      </c>
      <c r="L47">
        <v>1191</v>
      </c>
      <c r="N47">
        <v>1013</v>
      </c>
      <c r="O47" t="s">
        <v>650</v>
      </c>
      <c r="P47" t="s">
        <v>650</v>
      </c>
      <c r="Q47">
        <v>1</v>
      </c>
      <c r="X47">
        <v>26.7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1</v>
      </c>
      <c r="AF47" t="s">
        <v>3</v>
      </c>
      <c r="AG47">
        <v>26.7</v>
      </c>
      <c r="AH47">
        <v>3</v>
      </c>
      <c r="AI47">
        <v>-1</v>
      </c>
      <c r="AJ47" t="s">
        <v>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ROW(Source!A95)</f>
        <v>95</v>
      </c>
      <c r="B48">
        <v>1474096595</v>
      </c>
      <c r="C48">
        <v>1472039496</v>
      </c>
      <c r="D48">
        <v>1441819193</v>
      </c>
      <c r="E48">
        <v>15514512</v>
      </c>
      <c r="F48">
        <v>1</v>
      </c>
      <c r="G48">
        <v>15514512</v>
      </c>
      <c r="H48">
        <v>1</v>
      </c>
      <c r="I48" t="s">
        <v>648</v>
      </c>
      <c r="J48" t="s">
        <v>3</v>
      </c>
      <c r="K48" t="s">
        <v>649</v>
      </c>
      <c r="L48">
        <v>1191</v>
      </c>
      <c r="N48">
        <v>1013</v>
      </c>
      <c r="O48" t="s">
        <v>650</v>
      </c>
      <c r="P48" t="s">
        <v>650</v>
      </c>
      <c r="Q48">
        <v>1</v>
      </c>
      <c r="X48">
        <v>28.02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1</v>
      </c>
      <c r="AF48" t="s">
        <v>22</v>
      </c>
      <c r="AG48">
        <v>112.08</v>
      </c>
      <c r="AH48">
        <v>3</v>
      </c>
      <c r="AI48">
        <v>-1</v>
      </c>
      <c r="AJ48" t="s">
        <v>3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ROW(Source!A95)</f>
        <v>95</v>
      </c>
      <c r="B49">
        <v>1474096596</v>
      </c>
      <c r="C49">
        <v>1472039496</v>
      </c>
      <c r="D49">
        <v>1441834443</v>
      </c>
      <c r="E49">
        <v>1</v>
      </c>
      <c r="F49">
        <v>1</v>
      </c>
      <c r="G49">
        <v>15514512</v>
      </c>
      <c r="H49">
        <v>3</v>
      </c>
      <c r="I49" t="s">
        <v>664</v>
      </c>
      <c r="J49" t="s">
        <v>665</v>
      </c>
      <c r="K49" t="s">
        <v>666</v>
      </c>
      <c r="L49">
        <v>1296</v>
      </c>
      <c r="N49">
        <v>1002</v>
      </c>
      <c r="O49" t="s">
        <v>667</v>
      </c>
      <c r="P49" t="s">
        <v>667</v>
      </c>
      <c r="Q49">
        <v>1</v>
      </c>
      <c r="X49">
        <v>0.31</v>
      </c>
      <c r="Y49">
        <v>785.72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22</v>
      </c>
      <c r="AG49">
        <v>1.24</v>
      </c>
      <c r="AH49">
        <v>3</v>
      </c>
      <c r="AI49">
        <v>-1</v>
      </c>
      <c r="AJ49" t="s">
        <v>3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ROW(Source!A132)</f>
        <v>132</v>
      </c>
      <c r="B50">
        <v>1474096597</v>
      </c>
      <c r="C50">
        <v>1472039504</v>
      </c>
      <c r="D50">
        <v>1441819193</v>
      </c>
      <c r="E50">
        <v>15514512</v>
      </c>
      <c r="F50">
        <v>1</v>
      </c>
      <c r="G50">
        <v>15514512</v>
      </c>
      <c r="H50">
        <v>1</v>
      </c>
      <c r="I50" t="s">
        <v>648</v>
      </c>
      <c r="J50" t="s">
        <v>3</v>
      </c>
      <c r="K50" t="s">
        <v>649</v>
      </c>
      <c r="L50">
        <v>1191</v>
      </c>
      <c r="N50">
        <v>1013</v>
      </c>
      <c r="O50" t="s">
        <v>650</v>
      </c>
      <c r="P50" t="s">
        <v>650</v>
      </c>
      <c r="Q50">
        <v>1</v>
      </c>
      <c r="X50">
        <v>29.54</v>
      </c>
      <c r="Y50">
        <v>0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1</v>
      </c>
      <c r="AF50" t="s">
        <v>3</v>
      </c>
      <c r="AG50">
        <v>29.54</v>
      </c>
      <c r="AH50">
        <v>3</v>
      </c>
      <c r="AI50">
        <v>-1</v>
      </c>
      <c r="AJ50" t="s">
        <v>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ROW(Source!A132)</f>
        <v>132</v>
      </c>
      <c r="B51">
        <v>1474096598</v>
      </c>
      <c r="C51">
        <v>1472039504</v>
      </c>
      <c r="D51">
        <v>1441835469</v>
      </c>
      <c r="E51">
        <v>1</v>
      </c>
      <c r="F51">
        <v>1</v>
      </c>
      <c r="G51">
        <v>15514512</v>
      </c>
      <c r="H51">
        <v>3</v>
      </c>
      <c r="I51" t="s">
        <v>672</v>
      </c>
      <c r="J51" t="s">
        <v>673</v>
      </c>
      <c r="K51" t="s">
        <v>674</v>
      </c>
      <c r="L51">
        <v>1348</v>
      </c>
      <c r="N51">
        <v>1009</v>
      </c>
      <c r="O51" t="s">
        <v>675</v>
      </c>
      <c r="P51" t="s">
        <v>675</v>
      </c>
      <c r="Q51">
        <v>1000</v>
      </c>
      <c r="X51">
        <v>5.0000000000000001E-3</v>
      </c>
      <c r="Y51">
        <v>163237.26999999999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5.0000000000000001E-3</v>
      </c>
      <c r="AH51">
        <v>3</v>
      </c>
      <c r="AI51">
        <v>-1</v>
      </c>
      <c r="AJ51" t="s">
        <v>3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ROW(Source!A132)</f>
        <v>132</v>
      </c>
      <c r="B52">
        <v>1474096599</v>
      </c>
      <c r="C52">
        <v>1472039504</v>
      </c>
      <c r="D52">
        <v>1441836514</v>
      </c>
      <c r="E52">
        <v>1</v>
      </c>
      <c r="F52">
        <v>1</v>
      </c>
      <c r="G52">
        <v>15514512</v>
      </c>
      <c r="H52">
        <v>3</v>
      </c>
      <c r="I52" t="s">
        <v>676</v>
      </c>
      <c r="J52" t="s">
        <v>677</v>
      </c>
      <c r="K52" t="s">
        <v>678</v>
      </c>
      <c r="L52">
        <v>1339</v>
      </c>
      <c r="N52">
        <v>1007</v>
      </c>
      <c r="O52" t="s">
        <v>679</v>
      </c>
      <c r="P52" t="s">
        <v>679</v>
      </c>
      <c r="Q52">
        <v>1</v>
      </c>
      <c r="X52">
        <v>7.8</v>
      </c>
      <c r="Y52">
        <v>54.81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7.8</v>
      </c>
      <c r="AH52">
        <v>3</v>
      </c>
      <c r="AI52">
        <v>-1</v>
      </c>
      <c r="AJ52" t="s">
        <v>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ROW(Source!A132)</f>
        <v>132</v>
      </c>
      <c r="B53">
        <v>1474096600</v>
      </c>
      <c r="C53">
        <v>1472039504</v>
      </c>
      <c r="D53">
        <v>1441847238</v>
      </c>
      <c r="E53">
        <v>1</v>
      </c>
      <c r="F53">
        <v>1</v>
      </c>
      <c r="G53">
        <v>15514512</v>
      </c>
      <c r="H53">
        <v>3</v>
      </c>
      <c r="I53" t="s">
        <v>680</v>
      </c>
      <c r="J53" t="s">
        <v>681</v>
      </c>
      <c r="K53" t="s">
        <v>682</v>
      </c>
      <c r="L53">
        <v>1346</v>
      </c>
      <c r="N53">
        <v>1009</v>
      </c>
      <c r="O53" t="s">
        <v>657</v>
      </c>
      <c r="P53" t="s">
        <v>657</v>
      </c>
      <c r="Q53">
        <v>1</v>
      </c>
      <c r="X53">
        <v>2</v>
      </c>
      <c r="Y53">
        <v>742.26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2</v>
      </c>
      <c r="AH53">
        <v>3</v>
      </c>
      <c r="AI53">
        <v>-1</v>
      </c>
      <c r="AJ53" t="s">
        <v>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ROW(Source!A133)</f>
        <v>133</v>
      </c>
      <c r="B54">
        <v>1474096601</v>
      </c>
      <c r="C54">
        <v>1472039517</v>
      </c>
      <c r="D54">
        <v>1441819193</v>
      </c>
      <c r="E54">
        <v>15514512</v>
      </c>
      <c r="F54">
        <v>1</v>
      </c>
      <c r="G54">
        <v>15514512</v>
      </c>
      <c r="H54">
        <v>1</v>
      </c>
      <c r="I54" t="s">
        <v>648</v>
      </c>
      <c r="J54" t="s">
        <v>3</v>
      </c>
      <c r="K54" t="s">
        <v>649</v>
      </c>
      <c r="L54">
        <v>1191</v>
      </c>
      <c r="N54">
        <v>1013</v>
      </c>
      <c r="O54" t="s">
        <v>650</v>
      </c>
      <c r="P54" t="s">
        <v>650</v>
      </c>
      <c r="Q54">
        <v>1</v>
      </c>
      <c r="X54">
        <v>1.38</v>
      </c>
      <c r="Y54">
        <v>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1</v>
      </c>
      <c r="AF54" t="s">
        <v>22</v>
      </c>
      <c r="AG54">
        <v>5.52</v>
      </c>
      <c r="AH54">
        <v>3</v>
      </c>
      <c r="AI54">
        <v>-1</v>
      </c>
      <c r="AJ54" t="s">
        <v>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ROW(Source!A134)</f>
        <v>134</v>
      </c>
      <c r="B55">
        <v>1474096602</v>
      </c>
      <c r="C55">
        <v>1472039521</v>
      </c>
      <c r="D55">
        <v>1441819193</v>
      </c>
      <c r="E55">
        <v>15514512</v>
      </c>
      <c r="F55">
        <v>1</v>
      </c>
      <c r="G55">
        <v>15514512</v>
      </c>
      <c r="H55">
        <v>1</v>
      </c>
      <c r="I55" t="s">
        <v>648</v>
      </c>
      <c r="J55" t="s">
        <v>3</v>
      </c>
      <c r="K55" t="s">
        <v>649</v>
      </c>
      <c r="L55">
        <v>1191</v>
      </c>
      <c r="N55">
        <v>1013</v>
      </c>
      <c r="O55" t="s">
        <v>650</v>
      </c>
      <c r="P55" t="s">
        <v>650</v>
      </c>
      <c r="Q55">
        <v>1</v>
      </c>
      <c r="X55">
        <v>4.9000000000000004</v>
      </c>
      <c r="Y55">
        <v>0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1</v>
      </c>
      <c r="AF55" t="s">
        <v>22</v>
      </c>
      <c r="AG55">
        <v>19.600000000000001</v>
      </c>
      <c r="AH55">
        <v>3</v>
      </c>
      <c r="AI55">
        <v>-1</v>
      </c>
      <c r="AJ55" t="s">
        <v>3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ROW(Source!A135)</f>
        <v>135</v>
      </c>
      <c r="B56">
        <v>1474096603</v>
      </c>
      <c r="C56">
        <v>1472039525</v>
      </c>
      <c r="D56">
        <v>1441819193</v>
      </c>
      <c r="E56">
        <v>15514512</v>
      </c>
      <c r="F56">
        <v>1</v>
      </c>
      <c r="G56">
        <v>15514512</v>
      </c>
      <c r="H56">
        <v>1</v>
      </c>
      <c r="I56" t="s">
        <v>648</v>
      </c>
      <c r="J56" t="s">
        <v>3</v>
      </c>
      <c r="K56" t="s">
        <v>649</v>
      </c>
      <c r="L56">
        <v>1191</v>
      </c>
      <c r="N56">
        <v>1013</v>
      </c>
      <c r="O56" t="s">
        <v>650</v>
      </c>
      <c r="P56" t="s">
        <v>650</v>
      </c>
      <c r="Q56">
        <v>1</v>
      </c>
      <c r="X56">
        <v>0.13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1</v>
      </c>
      <c r="AF56" t="s">
        <v>22</v>
      </c>
      <c r="AG56">
        <v>0.52</v>
      </c>
      <c r="AH56">
        <v>3</v>
      </c>
      <c r="AI56">
        <v>-1</v>
      </c>
      <c r="AJ56" t="s">
        <v>3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ROW(Source!A137)</f>
        <v>137</v>
      </c>
      <c r="B57">
        <v>1474096604</v>
      </c>
      <c r="C57">
        <v>1472039530</v>
      </c>
      <c r="D57">
        <v>1441819193</v>
      </c>
      <c r="E57">
        <v>15514512</v>
      </c>
      <c r="F57">
        <v>1</v>
      </c>
      <c r="G57">
        <v>15514512</v>
      </c>
      <c r="H57">
        <v>1</v>
      </c>
      <c r="I57" t="s">
        <v>648</v>
      </c>
      <c r="J57" t="s">
        <v>3</v>
      </c>
      <c r="K57" t="s">
        <v>649</v>
      </c>
      <c r="L57">
        <v>1191</v>
      </c>
      <c r="N57">
        <v>1013</v>
      </c>
      <c r="O57" t="s">
        <v>650</v>
      </c>
      <c r="P57" t="s">
        <v>650</v>
      </c>
      <c r="Q57">
        <v>1</v>
      </c>
      <c r="X57">
        <v>29.54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1</v>
      </c>
      <c r="AF57" t="s">
        <v>3</v>
      </c>
      <c r="AG57">
        <v>29.54</v>
      </c>
      <c r="AH57">
        <v>3</v>
      </c>
      <c r="AI57">
        <v>-1</v>
      </c>
      <c r="AJ57" t="s">
        <v>3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ROW(Source!A137)</f>
        <v>137</v>
      </c>
      <c r="B58">
        <v>1474096605</v>
      </c>
      <c r="C58">
        <v>1472039530</v>
      </c>
      <c r="D58">
        <v>1441835469</v>
      </c>
      <c r="E58">
        <v>1</v>
      </c>
      <c r="F58">
        <v>1</v>
      </c>
      <c r="G58">
        <v>15514512</v>
      </c>
      <c r="H58">
        <v>3</v>
      </c>
      <c r="I58" t="s">
        <v>672</v>
      </c>
      <c r="J58" t="s">
        <v>673</v>
      </c>
      <c r="K58" t="s">
        <v>674</v>
      </c>
      <c r="L58">
        <v>1348</v>
      </c>
      <c r="N58">
        <v>1009</v>
      </c>
      <c r="O58" t="s">
        <v>675</v>
      </c>
      <c r="P58" t="s">
        <v>675</v>
      </c>
      <c r="Q58">
        <v>1000</v>
      </c>
      <c r="X58">
        <v>5.0000000000000001E-3</v>
      </c>
      <c r="Y58">
        <v>163237.26999999999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5.0000000000000001E-3</v>
      </c>
      <c r="AH58">
        <v>3</v>
      </c>
      <c r="AI58">
        <v>-1</v>
      </c>
      <c r="AJ58" t="s">
        <v>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ROW(Source!A137)</f>
        <v>137</v>
      </c>
      <c r="B59">
        <v>1474096606</v>
      </c>
      <c r="C59">
        <v>1472039530</v>
      </c>
      <c r="D59">
        <v>1441836514</v>
      </c>
      <c r="E59">
        <v>1</v>
      </c>
      <c r="F59">
        <v>1</v>
      </c>
      <c r="G59">
        <v>15514512</v>
      </c>
      <c r="H59">
        <v>3</v>
      </c>
      <c r="I59" t="s">
        <v>676</v>
      </c>
      <c r="J59" t="s">
        <v>677</v>
      </c>
      <c r="K59" t="s">
        <v>678</v>
      </c>
      <c r="L59">
        <v>1339</v>
      </c>
      <c r="N59">
        <v>1007</v>
      </c>
      <c r="O59" t="s">
        <v>679</v>
      </c>
      <c r="P59" t="s">
        <v>679</v>
      </c>
      <c r="Q59">
        <v>1</v>
      </c>
      <c r="X59">
        <v>7.8</v>
      </c>
      <c r="Y59">
        <v>54.81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7.8</v>
      </c>
      <c r="AH59">
        <v>3</v>
      </c>
      <c r="AI59">
        <v>-1</v>
      </c>
      <c r="AJ59" t="s">
        <v>3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ROW(Source!A137)</f>
        <v>137</v>
      </c>
      <c r="B60">
        <v>1474096607</v>
      </c>
      <c r="C60">
        <v>1472039530</v>
      </c>
      <c r="D60">
        <v>1441847238</v>
      </c>
      <c r="E60">
        <v>1</v>
      </c>
      <c r="F60">
        <v>1</v>
      </c>
      <c r="G60">
        <v>15514512</v>
      </c>
      <c r="H60">
        <v>3</v>
      </c>
      <c r="I60" t="s">
        <v>680</v>
      </c>
      <c r="J60" t="s">
        <v>681</v>
      </c>
      <c r="K60" t="s">
        <v>682</v>
      </c>
      <c r="L60">
        <v>1346</v>
      </c>
      <c r="N60">
        <v>1009</v>
      </c>
      <c r="O60" t="s">
        <v>657</v>
      </c>
      <c r="P60" t="s">
        <v>657</v>
      </c>
      <c r="Q60">
        <v>1</v>
      </c>
      <c r="X60">
        <v>2</v>
      </c>
      <c r="Y60">
        <v>742.26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2</v>
      </c>
      <c r="AH60">
        <v>3</v>
      </c>
      <c r="AI60">
        <v>-1</v>
      </c>
      <c r="AJ60" t="s">
        <v>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ROW(Source!A138)</f>
        <v>138</v>
      </c>
      <c r="B61">
        <v>1474096608</v>
      </c>
      <c r="C61">
        <v>1472039543</v>
      </c>
      <c r="D61">
        <v>1441819193</v>
      </c>
      <c r="E61">
        <v>15514512</v>
      </c>
      <c r="F61">
        <v>1</v>
      </c>
      <c r="G61">
        <v>15514512</v>
      </c>
      <c r="H61">
        <v>1</v>
      </c>
      <c r="I61" t="s">
        <v>648</v>
      </c>
      <c r="J61" t="s">
        <v>3</v>
      </c>
      <c r="K61" t="s">
        <v>649</v>
      </c>
      <c r="L61">
        <v>1191</v>
      </c>
      <c r="N61">
        <v>1013</v>
      </c>
      <c r="O61" t="s">
        <v>650</v>
      </c>
      <c r="P61" t="s">
        <v>650</v>
      </c>
      <c r="Q61">
        <v>1</v>
      </c>
      <c r="X61">
        <v>1.38</v>
      </c>
      <c r="Y61">
        <v>0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1</v>
      </c>
      <c r="AF61" t="s">
        <v>22</v>
      </c>
      <c r="AG61">
        <v>5.52</v>
      </c>
      <c r="AH61">
        <v>3</v>
      </c>
      <c r="AI61">
        <v>-1</v>
      </c>
      <c r="AJ61" t="s">
        <v>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ROW(Source!A139)</f>
        <v>139</v>
      </c>
      <c r="B62">
        <v>1474096609</v>
      </c>
      <c r="C62">
        <v>1472039547</v>
      </c>
      <c r="D62">
        <v>1441819193</v>
      </c>
      <c r="E62">
        <v>15514512</v>
      </c>
      <c r="F62">
        <v>1</v>
      </c>
      <c r="G62">
        <v>15514512</v>
      </c>
      <c r="H62">
        <v>1</v>
      </c>
      <c r="I62" t="s">
        <v>648</v>
      </c>
      <c r="J62" t="s">
        <v>3</v>
      </c>
      <c r="K62" t="s">
        <v>649</v>
      </c>
      <c r="L62">
        <v>1191</v>
      </c>
      <c r="N62">
        <v>1013</v>
      </c>
      <c r="O62" t="s">
        <v>650</v>
      </c>
      <c r="P62" t="s">
        <v>650</v>
      </c>
      <c r="Q62">
        <v>1</v>
      </c>
      <c r="X62">
        <v>4.9000000000000004</v>
      </c>
      <c r="Y62">
        <v>0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1</v>
      </c>
      <c r="AF62" t="s">
        <v>22</v>
      </c>
      <c r="AG62">
        <v>19.600000000000001</v>
      </c>
      <c r="AH62">
        <v>3</v>
      </c>
      <c r="AI62">
        <v>-1</v>
      </c>
      <c r="AJ62" t="s">
        <v>3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ROW(Source!A140)</f>
        <v>140</v>
      </c>
      <c r="B63">
        <v>1474096610</v>
      </c>
      <c r="C63">
        <v>1472039551</v>
      </c>
      <c r="D63">
        <v>1441819193</v>
      </c>
      <c r="E63">
        <v>15514512</v>
      </c>
      <c r="F63">
        <v>1</v>
      </c>
      <c r="G63">
        <v>15514512</v>
      </c>
      <c r="H63">
        <v>1</v>
      </c>
      <c r="I63" t="s">
        <v>648</v>
      </c>
      <c r="J63" t="s">
        <v>3</v>
      </c>
      <c r="K63" t="s">
        <v>649</v>
      </c>
      <c r="L63">
        <v>1191</v>
      </c>
      <c r="N63">
        <v>1013</v>
      </c>
      <c r="O63" t="s">
        <v>650</v>
      </c>
      <c r="P63" t="s">
        <v>650</v>
      </c>
      <c r="Q63">
        <v>1</v>
      </c>
      <c r="X63">
        <v>0.13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1</v>
      </c>
      <c r="AF63" t="s">
        <v>22</v>
      </c>
      <c r="AG63">
        <v>0.52</v>
      </c>
      <c r="AH63">
        <v>3</v>
      </c>
      <c r="AI63">
        <v>-1</v>
      </c>
      <c r="AJ63" t="s">
        <v>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ROW(Source!A212)</f>
        <v>212</v>
      </c>
      <c r="B64">
        <v>1474096611</v>
      </c>
      <c r="C64">
        <v>1472039557</v>
      </c>
      <c r="D64">
        <v>1441819193</v>
      </c>
      <c r="E64">
        <v>15514512</v>
      </c>
      <c r="F64">
        <v>1</v>
      </c>
      <c r="G64">
        <v>15514512</v>
      </c>
      <c r="H64">
        <v>1</v>
      </c>
      <c r="I64" t="s">
        <v>648</v>
      </c>
      <c r="J64" t="s">
        <v>3</v>
      </c>
      <c r="K64" t="s">
        <v>649</v>
      </c>
      <c r="L64">
        <v>1191</v>
      </c>
      <c r="N64">
        <v>1013</v>
      </c>
      <c r="O64" t="s">
        <v>650</v>
      </c>
      <c r="P64" t="s">
        <v>650</v>
      </c>
      <c r="Q64">
        <v>1</v>
      </c>
      <c r="X64">
        <v>17.34</v>
      </c>
      <c r="Y64">
        <v>0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1</v>
      </c>
      <c r="AF64" t="s">
        <v>3</v>
      </c>
      <c r="AG64">
        <v>17.34</v>
      </c>
      <c r="AH64">
        <v>3</v>
      </c>
      <c r="AI64">
        <v>-1</v>
      </c>
      <c r="AJ64" t="s">
        <v>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ROW(Source!A212)</f>
        <v>212</v>
      </c>
      <c r="B65">
        <v>1474096612</v>
      </c>
      <c r="C65">
        <v>1472039557</v>
      </c>
      <c r="D65">
        <v>1441836235</v>
      </c>
      <c r="E65">
        <v>1</v>
      </c>
      <c r="F65">
        <v>1</v>
      </c>
      <c r="G65">
        <v>15514512</v>
      </c>
      <c r="H65">
        <v>3</v>
      </c>
      <c r="I65" t="s">
        <v>683</v>
      </c>
      <c r="J65" t="s">
        <v>684</v>
      </c>
      <c r="K65" t="s">
        <v>685</v>
      </c>
      <c r="L65">
        <v>1346</v>
      </c>
      <c r="N65">
        <v>1009</v>
      </c>
      <c r="O65" t="s">
        <v>657</v>
      </c>
      <c r="P65" t="s">
        <v>657</v>
      </c>
      <c r="Q65">
        <v>1</v>
      </c>
      <c r="X65">
        <v>0.2</v>
      </c>
      <c r="Y65">
        <v>31.49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0.2</v>
      </c>
      <c r="AH65">
        <v>3</v>
      </c>
      <c r="AI65">
        <v>-1</v>
      </c>
      <c r="AJ65" t="s">
        <v>3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ROW(Source!A212)</f>
        <v>212</v>
      </c>
      <c r="B66">
        <v>1474096613</v>
      </c>
      <c r="C66">
        <v>1472039557</v>
      </c>
      <c r="D66">
        <v>1441834659</v>
      </c>
      <c r="E66">
        <v>1</v>
      </c>
      <c r="F66">
        <v>1</v>
      </c>
      <c r="G66">
        <v>15514512</v>
      </c>
      <c r="H66">
        <v>3</v>
      </c>
      <c r="I66" t="s">
        <v>686</v>
      </c>
      <c r="J66" t="s">
        <v>687</v>
      </c>
      <c r="K66" t="s">
        <v>688</v>
      </c>
      <c r="L66">
        <v>1348</v>
      </c>
      <c r="N66">
        <v>1009</v>
      </c>
      <c r="O66" t="s">
        <v>675</v>
      </c>
      <c r="P66" t="s">
        <v>675</v>
      </c>
      <c r="Q66">
        <v>1000</v>
      </c>
      <c r="X66">
        <v>1.4999999999999999E-4</v>
      </c>
      <c r="Y66">
        <v>113415.03999999999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1.4999999999999999E-4</v>
      </c>
      <c r="AH66">
        <v>3</v>
      </c>
      <c r="AI66">
        <v>-1</v>
      </c>
      <c r="AJ66" t="s">
        <v>3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ROW(Source!A212)</f>
        <v>212</v>
      </c>
      <c r="B67">
        <v>1474096614</v>
      </c>
      <c r="C67">
        <v>1472039557</v>
      </c>
      <c r="D67">
        <v>1441852762</v>
      </c>
      <c r="E67">
        <v>1</v>
      </c>
      <c r="F67">
        <v>1</v>
      </c>
      <c r="G67">
        <v>15514512</v>
      </c>
      <c r="H67">
        <v>3</v>
      </c>
      <c r="I67" t="s">
        <v>689</v>
      </c>
      <c r="J67" t="s">
        <v>690</v>
      </c>
      <c r="K67" t="s">
        <v>691</v>
      </c>
      <c r="L67">
        <v>1355</v>
      </c>
      <c r="N67">
        <v>16987630</v>
      </c>
      <c r="O67" t="s">
        <v>112</v>
      </c>
      <c r="P67" t="s">
        <v>112</v>
      </c>
      <c r="Q67">
        <v>100</v>
      </c>
      <c r="X67">
        <v>0.5</v>
      </c>
      <c r="Y67">
        <v>214.54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0.5</v>
      </c>
      <c r="AH67">
        <v>3</v>
      </c>
      <c r="AI67">
        <v>-1</v>
      </c>
      <c r="AJ67" t="s">
        <v>3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ROW(Source!A213)</f>
        <v>213</v>
      </c>
      <c r="B68">
        <v>1474096615</v>
      </c>
      <c r="C68">
        <v>1472039570</v>
      </c>
      <c r="D68">
        <v>1441819193</v>
      </c>
      <c r="E68">
        <v>15514512</v>
      </c>
      <c r="F68">
        <v>1</v>
      </c>
      <c r="G68">
        <v>15514512</v>
      </c>
      <c r="H68">
        <v>1</v>
      </c>
      <c r="I68" t="s">
        <v>648</v>
      </c>
      <c r="J68" t="s">
        <v>3</v>
      </c>
      <c r="K68" t="s">
        <v>649</v>
      </c>
      <c r="L68">
        <v>1191</v>
      </c>
      <c r="N68">
        <v>1013</v>
      </c>
      <c r="O68" t="s">
        <v>650</v>
      </c>
      <c r="P68" t="s">
        <v>650</v>
      </c>
      <c r="Q68">
        <v>1</v>
      </c>
      <c r="X68">
        <v>0.42</v>
      </c>
      <c r="Y68">
        <v>0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1</v>
      </c>
      <c r="AF68" t="s">
        <v>22</v>
      </c>
      <c r="AG68">
        <v>1.68</v>
      </c>
      <c r="AH68">
        <v>3</v>
      </c>
      <c r="AI68">
        <v>-1</v>
      </c>
      <c r="AJ68" t="s">
        <v>3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ROW(Source!A213)</f>
        <v>213</v>
      </c>
      <c r="B69">
        <v>1474096616</v>
      </c>
      <c r="C69">
        <v>1472039570</v>
      </c>
      <c r="D69">
        <v>1441834258</v>
      </c>
      <c r="E69">
        <v>1</v>
      </c>
      <c r="F69">
        <v>1</v>
      </c>
      <c r="G69">
        <v>15514512</v>
      </c>
      <c r="H69">
        <v>2</v>
      </c>
      <c r="I69" t="s">
        <v>651</v>
      </c>
      <c r="J69" t="s">
        <v>652</v>
      </c>
      <c r="K69" t="s">
        <v>653</v>
      </c>
      <c r="L69">
        <v>1368</v>
      </c>
      <c r="N69">
        <v>1011</v>
      </c>
      <c r="O69" t="s">
        <v>603</v>
      </c>
      <c r="P69" t="s">
        <v>603</v>
      </c>
      <c r="Q69">
        <v>1</v>
      </c>
      <c r="X69">
        <v>0.15</v>
      </c>
      <c r="Y69">
        <v>0</v>
      </c>
      <c r="Z69">
        <v>1303.01</v>
      </c>
      <c r="AA69">
        <v>826.2</v>
      </c>
      <c r="AB69">
        <v>0</v>
      </c>
      <c r="AC69">
        <v>0</v>
      </c>
      <c r="AD69">
        <v>1</v>
      </c>
      <c r="AE69">
        <v>0</v>
      </c>
      <c r="AF69" t="s">
        <v>22</v>
      </c>
      <c r="AG69">
        <v>0.6</v>
      </c>
      <c r="AH69">
        <v>3</v>
      </c>
      <c r="AI69">
        <v>-1</v>
      </c>
      <c r="AJ69" t="s">
        <v>3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ROW(Source!A213)</f>
        <v>213</v>
      </c>
      <c r="B70">
        <v>1474096617</v>
      </c>
      <c r="C70">
        <v>1472039570</v>
      </c>
      <c r="D70">
        <v>1441836235</v>
      </c>
      <c r="E70">
        <v>1</v>
      </c>
      <c r="F70">
        <v>1</v>
      </c>
      <c r="G70">
        <v>15514512</v>
      </c>
      <c r="H70">
        <v>3</v>
      </c>
      <c r="I70" t="s">
        <v>683</v>
      </c>
      <c r="J70" t="s">
        <v>684</v>
      </c>
      <c r="K70" t="s">
        <v>685</v>
      </c>
      <c r="L70">
        <v>1346</v>
      </c>
      <c r="N70">
        <v>1009</v>
      </c>
      <c r="O70" t="s">
        <v>657</v>
      </c>
      <c r="P70" t="s">
        <v>657</v>
      </c>
      <c r="Q70">
        <v>1</v>
      </c>
      <c r="X70">
        <v>0.02</v>
      </c>
      <c r="Y70">
        <v>31.49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22</v>
      </c>
      <c r="AG70">
        <v>0.08</v>
      </c>
      <c r="AH70">
        <v>3</v>
      </c>
      <c r="AI70">
        <v>-1</v>
      </c>
      <c r="AJ70" t="s">
        <v>3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ROW(Source!A214)</f>
        <v>214</v>
      </c>
      <c r="B71">
        <v>1474096618</v>
      </c>
      <c r="C71">
        <v>1472039580</v>
      </c>
      <c r="D71">
        <v>1441819193</v>
      </c>
      <c r="E71">
        <v>15514512</v>
      </c>
      <c r="F71">
        <v>1</v>
      </c>
      <c r="G71">
        <v>15514512</v>
      </c>
      <c r="H71">
        <v>1</v>
      </c>
      <c r="I71" t="s">
        <v>648</v>
      </c>
      <c r="J71" t="s">
        <v>3</v>
      </c>
      <c r="K71" t="s">
        <v>649</v>
      </c>
      <c r="L71">
        <v>1191</v>
      </c>
      <c r="N71">
        <v>1013</v>
      </c>
      <c r="O71" t="s">
        <v>650</v>
      </c>
      <c r="P71" t="s">
        <v>650</v>
      </c>
      <c r="Q71">
        <v>1</v>
      </c>
      <c r="X71">
        <v>0.37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1</v>
      </c>
      <c r="AF71" t="s">
        <v>164</v>
      </c>
      <c r="AG71">
        <v>0.74</v>
      </c>
      <c r="AH71">
        <v>3</v>
      </c>
      <c r="AI71">
        <v>-1</v>
      </c>
      <c r="AJ71" t="s">
        <v>3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ROW(Source!A214)</f>
        <v>214</v>
      </c>
      <c r="B72">
        <v>1474096619</v>
      </c>
      <c r="C72">
        <v>1472039580</v>
      </c>
      <c r="D72">
        <v>1441834258</v>
      </c>
      <c r="E72">
        <v>1</v>
      </c>
      <c r="F72">
        <v>1</v>
      </c>
      <c r="G72">
        <v>15514512</v>
      </c>
      <c r="H72">
        <v>2</v>
      </c>
      <c r="I72" t="s">
        <v>651</v>
      </c>
      <c r="J72" t="s">
        <v>652</v>
      </c>
      <c r="K72" t="s">
        <v>653</v>
      </c>
      <c r="L72">
        <v>1368</v>
      </c>
      <c r="N72">
        <v>1011</v>
      </c>
      <c r="O72" t="s">
        <v>603</v>
      </c>
      <c r="P72" t="s">
        <v>603</v>
      </c>
      <c r="Q72">
        <v>1</v>
      </c>
      <c r="X72">
        <v>0.06</v>
      </c>
      <c r="Y72">
        <v>0</v>
      </c>
      <c r="Z72">
        <v>1303.01</v>
      </c>
      <c r="AA72">
        <v>826.2</v>
      </c>
      <c r="AB72">
        <v>0</v>
      </c>
      <c r="AC72">
        <v>0</v>
      </c>
      <c r="AD72">
        <v>1</v>
      </c>
      <c r="AE72">
        <v>0</v>
      </c>
      <c r="AF72" t="s">
        <v>164</v>
      </c>
      <c r="AG72">
        <v>0.12</v>
      </c>
      <c r="AH72">
        <v>3</v>
      </c>
      <c r="AI72">
        <v>-1</v>
      </c>
      <c r="AJ72" t="s">
        <v>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ROW(Source!A215)</f>
        <v>215</v>
      </c>
      <c r="B73">
        <v>1474096620</v>
      </c>
      <c r="C73">
        <v>1472039587</v>
      </c>
      <c r="D73">
        <v>1441819193</v>
      </c>
      <c r="E73">
        <v>15514512</v>
      </c>
      <c r="F73">
        <v>1</v>
      </c>
      <c r="G73">
        <v>15514512</v>
      </c>
      <c r="H73">
        <v>1</v>
      </c>
      <c r="I73" t="s">
        <v>648</v>
      </c>
      <c r="J73" t="s">
        <v>3</v>
      </c>
      <c r="K73" t="s">
        <v>649</v>
      </c>
      <c r="L73">
        <v>1191</v>
      </c>
      <c r="N73">
        <v>1013</v>
      </c>
      <c r="O73" t="s">
        <v>650</v>
      </c>
      <c r="P73" t="s">
        <v>650</v>
      </c>
      <c r="Q73">
        <v>1</v>
      </c>
      <c r="X73">
        <v>0.57999999999999996</v>
      </c>
      <c r="Y73">
        <v>0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1</v>
      </c>
      <c r="AF73" t="s">
        <v>3</v>
      </c>
      <c r="AG73">
        <v>0.57999999999999996</v>
      </c>
      <c r="AH73">
        <v>3</v>
      </c>
      <c r="AI73">
        <v>-1</v>
      </c>
      <c r="AJ73" t="s">
        <v>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ROW(Source!A215)</f>
        <v>215</v>
      </c>
      <c r="B74">
        <v>1474096621</v>
      </c>
      <c r="C74">
        <v>1472039587</v>
      </c>
      <c r="D74">
        <v>1441836235</v>
      </c>
      <c r="E74">
        <v>1</v>
      </c>
      <c r="F74">
        <v>1</v>
      </c>
      <c r="G74">
        <v>15514512</v>
      </c>
      <c r="H74">
        <v>3</v>
      </c>
      <c r="I74" t="s">
        <v>683</v>
      </c>
      <c r="J74" t="s">
        <v>684</v>
      </c>
      <c r="K74" t="s">
        <v>685</v>
      </c>
      <c r="L74">
        <v>1346</v>
      </c>
      <c r="N74">
        <v>1009</v>
      </c>
      <c r="O74" t="s">
        <v>657</v>
      </c>
      <c r="P74" t="s">
        <v>657</v>
      </c>
      <c r="Q74">
        <v>1</v>
      </c>
      <c r="X74">
        <v>0.02</v>
      </c>
      <c r="Y74">
        <v>31.49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0.02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ROW(Source!A216)</f>
        <v>216</v>
      </c>
      <c r="B75">
        <v>1474096622</v>
      </c>
      <c r="C75">
        <v>1472039594</v>
      </c>
      <c r="D75">
        <v>1441819193</v>
      </c>
      <c r="E75">
        <v>15514512</v>
      </c>
      <c r="F75">
        <v>1</v>
      </c>
      <c r="G75">
        <v>15514512</v>
      </c>
      <c r="H75">
        <v>1</v>
      </c>
      <c r="I75" t="s">
        <v>648</v>
      </c>
      <c r="J75" t="s">
        <v>3</v>
      </c>
      <c r="K75" t="s">
        <v>649</v>
      </c>
      <c r="L75">
        <v>1191</v>
      </c>
      <c r="N75">
        <v>1013</v>
      </c>
      <c r="O75" t="s">
        <v>650</v>
      </c>
      <c r="P75" t="s">
        <v>650</v>
      </c>
      <c r="Q75">
        <v>1</v>
      </c>
      <c r="X75">
        <v>1.75</v>
      </c>
      <c r="Y75">
        <v>0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1</v>
      </c>
      <c r="AF75" t="s">
        <v>3</v>
      </c>
      <c r="AG75">
        <v>1.75</v>
      </c>
      <c r="AH75">
        <v>3</v>
      </c>
      <c r="AI75">
        <v>-1</v>
      </c>
      <c r="AJ75" t="s">
        <v>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ROW(Source!A216)</f>
        <v>216</v>
      </c>
      <c r="B76">
        <v>1474096623</v>
      </c>
      <c r="C76">
        <v>1472039594</v>
      </c>
      <c r="D76">
        <v>1441834258</v>
      </c>
      <c r="E76">
        <v>1</v>
      </c>
      <c r="F76">
        <v>1</v>
      </c>
      <c r="G76">
        <v>15514512</v>
      </c>
      <c r="H76">
        <v>2</v>
      </c>
      <c r="I76" t="s">
        <v>651</v>
      </c>
      <c r="J76" t="s">
        <v>652</v>
      </c>
      <c r="K76" t="s">
        <v>653</v>
      </c>
      <c r="L76">
        <v>1368</v>
      </c>
      <c r="N76">
        <v>1011</v>
      </c>
      <c r="O76" t="s">
        <v>603</v>
      </c>
      <c r="P76" t="s">
        <v>603</v>
      </c>
      <c r="Q76">
        <v>1</v>
      </c>
      <c r="X76">
        <v>1.083</v>
      </c>
      <c r="Y76">
        <v>0</v>
      </c>
      <c r="Z76">
        <v>1303.01</v>
      </c>
      <c r="AA76">
        <v>826.2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1.083</v>
      </c>
      <c r="AH76">
        <v>3</v>
      </c>
      <c r="AI76">
        <v>-1</v>
      </c>
      <c r="AJ76" t="s">
        <v>3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ROW(Source!A216)</f>
        <v>216</v>
      </c>
      <c r="B77">
        <v>1474096624</v>
      </c>
      <c r="C77">
        <v>1472039594</v>
      </c>
      <c r="D77">
        <v>1441836235</v>
      </c>
      <c r="E77">
        <v>1</v>
      </c>
      <c r="F77">
        <v>1</v>
      </c>
      <c r="G77">
        <v>15514512</v>
      </c>
      <c r="H77">
        <v>3</v>
      </c>
      <c r="I77" t="s">
        <v>683</v>
      </c>
      <c r="J77" t="s">
        <v>684</v>
      </c>
      <c r="K77" t="s">
        <v>685</v>
      </c>
      <c r="L77">
        <v>1346</v>
      </c>
      <c r="N77">
        <v>1009</v>
      </c>
      <c r="O77" t="s">
        <v>657</v>
      </c>
      <c r="P77" t="s">
        <v>657</v>
      </c>
      <c r="Q77">
        <v>1</v>
      </c>
      <c r="X77">
        <v>0.02</v>
      </c>
      <c r="Y77">
        <v>31.49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0.02</v>
      </c>
      <c r="AH77">
        <v>3</v>
      </c>
      <c r="AI77">
        <v>-1</v>
      </c>
      <c r="AJ77" t="s">
        <v>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ROW(Source!A217)</f>
        <v>217</v>
      </c>
      <c r="B78">
        <v>1474096625</v>
      </c>
      <c r="C78">
        <v>1472039604</v>
      </c>
      <c r="D78">
        <v>1441819193</v>
      </c>
      <c r="E78">
        <v>15514512</v>
      </c>
      <c r="F78">
        <v>1</v>
      </c>
      <c r="G78">
        <v>15514512</v>
      </c>
      <c r="H78">
        <v>1</v>
      </c>
      <c r="I78" t="s">
        <v>648</v>
      </c>
      <c r="J78" t="s">
        <v>3</v>
      </c>
      <c r="K78" t="s">
        <v>649</v>
      </c>
      <c r="L78">
        <v>1191</v>
      </c>
      <c r="N78">
        <v>1013</v>
      </c>
      <c r="O78" t="s">
        <v>650</v>
      </c>
      <c r="P78" t="s">
        <v>650</v>
      </c>
      <c r="Q78">
        <v>1</v>
      </c>
      <c r="X78">
        <v>0.77</v>
      </c>
      <c r="Y78">
        <v>0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1</v>
      </c>
      <c r="AF78" t="s">
        <v>164</v>
      </c>
      <c r="AG78">
        <v>1.54</v>
      </c>
      <c r="AH78">
        <v>3</v>
      </c>
      <c r="AI78">
        <v>-1</v>
      </c>
      <c r="AJ78" t="s">
        <v>3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ROW(Source!A217)</f>
        <v>217</v>
      </c>
      <c r="B79">
        <v>1474096626</v>
      </c>
      <c r="C79">
        <v>1472039604</v>
      </c>
      <c r="D79">
        <v>1441836187</v>
      </c>
      <c r="E79">
        <v>1</v>
      </c>
      <c r="F79">
        <v>1</v>
      </c>
      <c r="G79">
        <v>15514512</v>
      </c>
      <c r="H79">
        <v>3</v>
      </c>
      <c r="I79" t="s">
        <v>692</v>
      </c>
      <c r="J79" t="s">
        <v>693</v>
      </c>
      <c r="K79" t="s">
        <v>694</v>
      </c>
      <c r="L79">
        <v>1346</v>
      </c>
      <c r="N79">
        <v>1009</v>
      </c>
      <c r="O79" t="s">
        <v>657</v>
      </c>
      <c r="P79" t="s">
        <v>657</v>
      </c>
      <c r="Q79">
        <v>1</v>
      </c>
      <c r="X79">
        <v>8.0000000000000002E-3</v>
      </c>
      <c r="Y79">
        <v>424.66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164</v>
      </c>
      <c r="AG79">
        <v>1.6E-2</v>
      </c>
      <c r="AH79">
        <v>3</v>
      </c>
      <c r="AI79">
        <v>-1</v>
      </c>
      <c r="AJ79" t="s">
        <v>3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ROW(Source!A217)</f>
        <v>217</v>
      </c>
      <c r="B80">
        <v>1474096627</v>
      </c>
      <c r="C80">
        <v>1472039604</v>
      </c>
      <c r="D80">
        <v>1441836235</v>
      </c>
      <c r="E80">
        <v>1</v>
      </c>
      <c r="F80">
        <v>1</v>
      </c>
      <c r="G80">
        <v>15514512</v>
      </c>
      <c r="H80">
        <v>3</v>
      </c>
      <c r="I80" t="s">
        <v>683</v>
      </c>
      <c r="J80" t="s">
        <v>684</v>
      </c>
      <c r="K80" t="s">
        <v>685</v>
      </c>
      <c r="L80">
        <v>1346</v>
      </c>
      <c r="N80">
        <v>1009</v>
      </c>
      <c r="O80" t="s">
        <v>657</v>
      </c>
      <c r="P80" t="s">
        <v>657</v>
      </c>
      <c r="Q80">
        <v>1</v>
      </c>
      <c r="X80">
        <v>0.5</v>
      </c>
      <c r="Y80">
        <v>31.49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164</v>
      </c>
      <c r="AG80">
        <v>1</v>
      </c>
      <c r="AH80">
        <v>3</v>
      </c>
      <c r="AI80">
        <v>-1</v>
      </c>
      <c r="AJ80" t="s">
        <v>3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ROW(Source!A218)</f>
        <v>218</v>
      </c>
      <c r="B81">
        <v>1474096628</v>
      </c>
      <c r="C81">
        <v>1472039614</v>
      </c>
      <c r="D81">
        <v>1441819193</v>
      </c>
      <c r="E81">
        <v>15514512</v>
      </c>
      <c r="F81">
        <v>1</v>
      </c>
      <c r="G81">
        <v>15514512</v>
      </c>
      <c r="H81">
        <v>1</v>
      </c>
      <c r="I81" t="s">
        <v>648</v>
      </c>
      <c r="J81" t="s">
        <v>3</v>
      </c>
      <c r="K81" t="s">
        <v>649</v>
      </c>
      <c r="L81">
        <v>1191</v>
      </c>
      <c r="N81">
        <v>1013</v>
      </c>
      <c r="O81" t="s">
        <v>650</v>
      </c>
      <c r="P81" t="s">
        <v>650</v>
      </c>
      <c r="Q81">
        <v>1</v>
      </c>
      <c r="X81">
        <v>0.37</v>
      </c>
      <c r="Y81">
        <v>0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1</v>
      </c>
      <c r="AF81" t="s">
        <v>164</v>
      </c>
      <c r="AG81">
        <v>0.74</v>
      </c>
      <c r="AH81">
        <v>3</v>
      </c>
      <c r="AI81">
        <v>-1</v>
      </c>
      <c r="AJ81" t="s">
        <v>3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ROW(Source!A218)</f>
        <v>218</v>
      </c>
      <c r="B82">
        <v>1474096629</v>
      </c>
      <c r="C82">
        <v>1472039614</v>
      </c>
      <c r="D82">
        <v>1441834258</v>
      </c>
      <c r="E82">
        <v>1</v>
      </c>
      <c r="F82">
        <v>1</v>
      </c>
      <c r="G82">
        <v>15514512</v>
      </c>
      <c r="H82">
        <v>2</v>
      </c>
      <c r="I82" t="s">
        <v>651</v>
      </c>
      <c r="J82" t="s">
        <v>652</v>
      </c>
      <c r="K82" t="s">
        <v>653</v>
      </c>
      <c r="L82">
        <v>1368</v>
      </c>
      <c r="N82">
        <v>1011</v>
      </c>
      <c r="O82" t="s">
        <v>603</v>
      </c>
      <c r="P82" t="s">
        <v>603</v>
      </c>
      <c r="Q82">
        <v>1</v>
      </c>
      <c r="X82">
        <v>0.06</v>
      </c>
      <c r="Y82">
        <v>0</v>
      </c>
      <c r="Z82">
        <v>1303.01</v>
      </c>
      <c r="AA82">
        <v>826.2</v>
      </c>
      <c r="AB82">
        <v>0</v>
      </c>
      <c r="AC82">
        <v>0</v>
      </c>
      <c r="AD82">
        <v>1</v>
      </c>
      <c r="AE82">
        <v>0</v>
      </c>
      <c r="AF82" t="s">
        <v>164</v>
      </c>
      <c r="AG82">
        <v>0.12</v>
      </c>
      <c r="AH82">
        <v>3</v>
      </c>
      <c r="AI82">
        <v>-1</v>
      </c>
      <c r="AJ82" t="s">
        <v>3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ROW(Source!A219)</f>
        <v>219</v>
      </c>
      <c r="B83">
        <v>1474096630</v>
      </c>
      <c r="C83">
        <v>1472039621</v>
      </c>
      <c r="D83">
        <v>1441819193</v>
      </c>
      <c r="E83">
        <v>15514512</v>
      </c>
      <c r="F83">
        <v>1</v>
      </c>
      <c r="G83">
        <v>15514512</v>
      </c>
      <c r="H83">
        <v>1</v>
      </c>
      <c r="I83" t="s">
        <v>648</v>
      </c>
      <c r="J83" t="s">
        <v>3</v>
      </c>
      <c r="K83" t="s">
        <v>649</v>
      </c>
      <c r="L83">
        <v>1191</v>
      </c>
      <c r="N83">
        <v>1013</v>
      </c>
      <c r="O83" t="s">
        <v>650</v>
      </c>
      <c r="P83" t="s">
        <v>650</v>
      </c>
      <c r="Q83">
        <v>1</v>
      </c>
      <c r="X83">
        <v>1.8</v>
      </c>
      <c r="Y83">
        <v>0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1</v>
      </c>
      <c r="AF83" t="s">
        <v>3</v>
      </c>
      <c r="AG83">
        <v>1.8</v>
      </c>
      <c r="AH83">
        <v>3</v>
      </c>
      <c r="AI83">
        <v>-1</v>
      </c>
      <c r="AJ83" t="s">
        <v>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ROW(Source!A219)</f>
        <v>219</v>
      </c>
      <c r="B84">
        <v>1474096631</v>
      </c>
      <c r="C84">
        <v>1472039621</v>
      </c>
      <c r="D84">
        <v>1441836187</v>
      </c>
      <c r="E84">
        <v>1</v>
      </c>
      <c r="F84">
        <v>1</v>
      </c>
      <c r="G84">
        <v>15514512</v>
      </c>
      <c r="H84">
        <v>3</v>
      </c>
      <c r="I84" t="s">
        <v>692</v>
      </c>
      <c r="J84" t="s">
        <v>693</v>
      </c>
      <c r="K84" t="s">
        <v>694</v>
      </c>
      <c r="L84">
        <v>1346</v>
      </c>
      <c r="N84">
        <v>1009</v>
      </c>
      <c r="O84" t="s">
        <v>657</v>
      </c>
      <c r="P84" t="s">
        <v>657</v>
      </c>
      <c r="Q84">
        <v>1</v>
      </c>
      <c r="X84">
        <v>8.0000000000000002E-3</v>
      </c>
      <c r="Y84">
        <v>424.66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8.0000000000000002E-3</v>
      </c>
      <c r="AH84">
        <v>3</v>
      </c>
      <c r="AI84">
        <v>-1</v>
      </c>
      <c r="AJ84" t="s">
        <v>3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ROW(Source!A219)</f>
        <v>219</v>
      </c>
      <c r="B85">
        <v>1474096632</v>
      </c>
      <c r="C85">
        <v>1472039621</v>
      </c>
      <c r="D85">
        <v>1441836235</v>
      </c>
      <c r="E85">
        <v>1</v>
      </c>
      <c r="F85">
        <v>1</v>
      </c>
      <c r="G85">
        <v>15514512</v>
      </c>
      <c r="H85">
        <v>3</v>
      </c>
      <c r="I85" t="s">
        <v>683</v>
      </c>
      <c r="J85" t="s">
        <v>684</v>
      </c>
      <c r="K85" t="s">
        <v>685</v>
      </c>
      <c r="L85">
        <v>1346</v>
      </c>
      <c r="N85">
        <v>1009</v>
      </c>
      <c r="O85" t="s">
        <v>657</v>
      </c>
      <c r="P85" t="s">
        <v>657</v>
      </c>
      <c r="Q85">
        <v>1</v>
      </c>
      <c r="X85">
        <v>0.5</v>
      </c>
      <c r="Y85">
        <v>31.49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0.5</v>
      </c>
      <c r="AH85">
        <v>3</v>
      </c>
      <c r="AI85">
        <v>-1</v>
      </c>
      <c r="AJ85" t="s">
        <v>3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ROW(Source!A220)</f>
        <v>220</v>
      </c>
      <c r="B86">
        <v>1474096633</v>
      </c>
      <c r="C86">
        <v>1472039631</v>
      </c>
      <c r="D86">
        <v>1441819193</v>
      </c>
      <c r="E86">
        <v>15514512</v>
      </c>
      <c r="F86">
        <v>1</v>
      </c>
      <c r="G86">
        <v>15514512</v>
      </c>
      <c r="H86">
        <v>1</v>
      </c>
      <c r="I86" t="s">
        <v>648</v>
      </c>
      <c r="J86" t="s">
        <v>3</v>
      </c>
      <c r="K86" t="s">
        <v>649</v>
      </c>
      <c r="L86">
        <v>1191</v>
      </c>
      <c r="N86">
        <v>1013</v>
      </c>
      <c r="O86" t="s">
        <v>650</v>
      </c>
      <c r="P86" t="s">
        <v>650</v>
      </c>
      <c r="Q86">
        <v>1</v>
      </c>
      <c r="X86">
        <v>0.45</v>
      </c>
      <c r="Y86">
        <v>0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1</v>
      </c>
      <c r="AF86" t="s">
        <v>3</v>
      </c>
      <c r="AG86">
        <v>0.45</v>
      </c>
      <c r="AH86">
        <v>3</v>
      </c>
      <c r="AI86">
        <v>-1</v>
      </c>
      <c r="AJ86" t="s">
        <v>3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ROW(Source!A221)</f>
        <v>221</v>
      </c>
      <c r="B87">
        <v>1474096634</v>
      </c>
      <c r="C87">
        <v>1472039635</v>
      </c>
      <c r="D87">
        <v>1441819193</v>
      </c>
      <c r="E87">
        <v>15514512</v>
      </c>
      <c r="F87">
        <v>1</v>
      </c>
      <c r="G87">
        <v>15514512</v>
      </c>
      <c r="H87">
        <v>1</v>
      </c>
      <c r="I87" t="s">
        <v>648</v>
      </c>
      <c r="J87" t="s">
        <v>3</v>
      </c>
      <c r="K87" t="s">
        <v>649</v>
      </c>
      <c r="L87">
        <v>1191</v>
      </c>
      <c r="N87">
        <v>1013</v>
      </c>
      <c r="O87" t="s">
        <v>650</v>
      </c>
      <c r="P87" t="s">
        <v>650</v>
      </c>
      <c r="Q87">
        <v>1</v>
      </c>
      <c r="X87">
        <v>0.61</v>
      </c>
      <c r="Y87">
        <v>0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1</v>
      </c>
      <c r="AF87" t="s">
        <v>3</v>
      </c>
      <c r="AG87">
        <v>0.61</v>
      </c>
      <c r="AH87">
        <v>3</v>
      </c>
      <c r="AI87">
        <v>-1</v>
      </c>
      <c r="AJ87" t="s">
        <v>3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ROW(Source!A222)</f>
        <v>222</v>
      </c>
      <c r="B88">
        <v>1474096635</v>
      </c>
      <c r="C88">
        <v>1472039639</v>
      </c>
      <c r="D88">
        <v>1441819193</v>
      </c>
      <c r="E88">
        <v>15514512</v>
      </c>
      <c r="F88">
        <v>1</v>
      </c>
      <c r="G88">
        <v>15514512</v>
      </c>
      <c r="H88">
        <v>1</v>
      </c>
      <c r="I88" t="s">
        <v>648</v>
      </c>
      <c r="J88" t="s">
        <v>3</v>
      </c>
      <c r="K88" t="s">
        <v>649</v>
      </c>
      <c r="L88">
        <v>1191</v>
      </c>
      <c r="N88">
        <v>1013</v>
      </c>
      <c r="O88" t="s">
        <v>650</v>
      </c>
      <c r="P88" t="s">
        <v>650</v>
      </c>
      <c r="Q88">
        <v>1</v>
      </c>
      <c r="X88">
        <v>3.6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1</v>
      </c>
      <c r="AF88" t="s">
        <v>3</v>
      </c>
      <c r="AG88">
        <v>3.6</v>
      </c>
      <c r="AH88">
        <v>3</v>
      </c>
      <c r="AI88">
        <v>-1</v>
      </c>
      <c r="AJ88" t="s">
        <v>3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ROW(Source!A222)</f>
        <v>222</v>
      </c>
      <c r="B89">
        <v>1474096636</v>
      </c>
      <c r="C89">
        <v>1472039639</v>
      </c>
      <c r="D89">
        <v>1441836235</v>
      </c>
      <c r="E89">
        <v>1</v>
      </c>
      <c r="F89">
        <v>1</v>
      </c>
      <c r="G89">
        <v>15514512</v>
      </c>
      <c r="H89">
        <v>3</v>
      </c>
      <c r="I89" t="s">
        <v>683</v>
      </c>
      <c r="J89" t="s">
        <v>684</v>
      </c>
      <c r="K89" t="s">
        <v>685</v>
      </c>
      <c r="L89">
        <v>1346</v>
      </c>
      <c r="N89">
        <v>1009</v>
      </c>
      <c r="O89" t="s">
        <v>657</v>
      </c>
      <c r="P89" t="s">
        <v>657</v>
      </c>
      <c r="Q89">
        <v>1</v>
      </c>
      <c r="X89">
        <v>1.2E-2</v>
      </c>
      <c r="Y89">
        <v>31.49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3</v>
      </c>
      <c r="AG89">
        <v>1.2E-2</v>
      </c>
      <c r="AH89">
        <v>3</v>
      </c>
      <c r="AI89">
        <v>-1</v>
      </c>
      <c r="AJ89" t="s">
        <v>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ROW(Source!A222)</f>
        <v>222</v>
      </c>
      <c r="B90">
        <v>1474096637</v>
      </c>
      <c r="C90">
        <v>1472039639</v>
      </c>
      <c r="D90">
        <v>1441821340</v>
      </c>
      <c r="E90">
        <v>15514512</v>
      </c>
      <c r="F90">
        <v>1</v>
      </c>
      <c r="G90">
        <v>15514512</v>
      </c>
      <c r="H90">
        <v>3</v>
      </c>
      <c r="I90" t="s">
        <v>695</v>
      </c>
      <c r="J90" t="s">
        <v>3</v>
      </c>
      <c r="K90" t="s">
        <v>696</v>
      </c>
      <c r="L90">
        <v>1354</v>
      </c>
      <c r="N90">
        <v>16987630</v>
      </c>
      <c r="O90" t="s">
        <v>32</v>
      </c>
      <c r="P90" t="s">
        <v>32</v>
      </c>
      <c r="Q90">
        <v>1</v>
      </c>
      <c r="X90">
        <v>10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 t="s">
        <v>3</v>
      </c>
      <c r="AG90">
        <v>10</v>
      </c>
      <c r="AH90">
        <v>3</v>
      </c>
      <c r="AI90">
        <v>-1</v>
      </c>
      <c r="AJ90" t="s">
        <v>3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ROW(Source!A224)</f>
        <v>224</v>
      </c>
      <c r="B91">
        <v>1474096638</v>
      </c>
      <c r="C91">
        <v>1472039650</v>
      </c>
      <c r="D91">
        <v>1441819193</v>
      </c>
      <c r="E91">
        <v>15514512</v>
      </c>
      <c r="F91">
        <v>1</v>
      </c>
      <c r="G91">
        <v>15514512</v>
      </c>
      <c r="H91">
        <v>1</v>
      </c>
      <c r="I91" t="s">
        <v>648</v>
      </c>
      <c r="J91" t="s">
        <v>3</v>
      </c>
      <c r="K91" t="s">
        <v>649</v>
      </c>
      <c r="L91">
        <v>1191</v>
      </c>
      <c r="N91">
        <v>1013</v>
      </c>
      <c r="O91" t="s">
        <v>650</v>
      </c>
      <c r="P91" t="s">
        <v>650</v>
      </c>
      <c r="Q91">
        <v>1</v>
      </c>
      <c r="X91">
        <v>0.37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1</v>
      </c>
      <c r="AF91" t="s">
        <v>3</v>
      </c>
      <c r="AG91">
        <v>0.37</v>
      </c>
      <c r="AH91">
        <v>3</v>
      </c>
      <c r="AI91">
        <v>-1</v>
      </c>
      <c r="AJ91" t="s">
        <v>3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ROW(Source!A224)</f>
        <v>224</v>
      </c>
      <c r="B92">
        <v>1474096639</v>
      </c>
      <c r="C92">
        <v>1472039650</v>
      </c>
      <c r="D92">
        <v>1441834258</v>
      </c>
      <c r="E92">
        <v>1</v>
      </c>
      <c r="F92">
        <v>1</v>
      </c>
      <c r="G92">
        <v>15514512</v>
      </c>
      <c r="H92">
        <v>2</v>
      </c>
      <c r="I92" t="s">
        <v>651</v>
      </c>
      <c r="J92" t="s">
        <v>652</v>
      </c>
      <c r="K92" t="s">
        <v>653</v>
      </c>
      <c r="L92">
        <v>1368</v>
      </c>
      <c r="N92">
        <v>1011</v>
      </c>
      <c r="O92" t="s">
        <v>603</v>
      </c>
      <c r="P92" t="s">
        <v>603</v>
      </c>
      <c r="Q92">
        <v>1</v>
      </c>
      <c r="X92">
        <v>0.06</v>
      </c>
      <c r="Y92">
        <v>0</v>
      </c>
      <c r="Z92">
        <v>1303.01</v>
      </c>
      <c r="AA92">
        <v>826.2</v>
      </c>
      <c r="AB92">
        <v>0</v>
      </c>
      <c r="AC92">
        <v>0</v>
      </c>
      <c r="AD92">
        <v>1</v>
      </c>
      <c r="AE92">
        <v>0</v>
      </c>
      <c r="AF92" t="s">
        <v>3</v>
      </c>
      <c r="AG92">
        <v>0.06</v>
      </c>
      <c r="AH92">
        <v>3</v>
      </c>
      <c r="AI92">
        <v>-1</v>
      </c>
      <c r="AJ92" t="s">
        <v>3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ROW(Source!A225)</f>
        <v>225</v>
      </c>
      <c r="B93">
        <v>1474096640</v>
      </c>
      <c r="C93">
        <v>1472039657</v>
      </c>
      <c r="D93">
        <v>1441819193</v>
      </c>
      <c r="E93">
        <v>15514512</v>
      </c>
      <c r="F93">
        <v>1</v>
      </c>
      <c r="G93">
        <v>15514512</v>
      </c>
      <c r="H93">
        <v>1</v>
      </c>
      <c r="I93" t="s">
        <v>648</v>
      </c>
      <c r="J93" t="s">
        <v>3</v>
      </c>
      <c r="K93" t="s">
        <v>649</v>
      </c>
      <c r="L93">
        <v>1191</v>
      </c>
      <c r="N93">
        <v>1013</v>
      </c>
      <c r="O93" t="s">
        <v>650</v>
      </c>
      <c r="P93" t="s">
        <v>650</v>
      </c>
      <c r="Q93">
        <v>1</v>
      </c>
      <c r="X93">
        <v>2.04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1</v>
      </c>
      <c r="AF93" t="s">
        <v>164</v>
      </c>
      <c r="AG93">
        <v>4.08</v>
      </c>
      <c r="AH93">
        <v>3</v>
      </c>
      <c r="AI93">
        <v>-1</v>
      </c>
      <c r="AJ93" t="s">
        <v>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ROW(Source!A226)</f>
        <v>226</v>
      </c>
      <c r="B94">
        <v>1474096641</v>
      </c>
      <c r="C94">
        <v>1472039661</v>
      </c>
      <c r="D94">
        <v>1441819193</v>
      </c>
      <c r="E94">
        <v>15514512</v>
      </c>
      <c r="F94">
        <v>1</v>
      </c>
      <c r="G94">
        <v>15514512</v>
      </c>
      <c r="H94">
        <v>1</v>
      </c>
      <c r="I94" t="s">
        <v>648</v>
      </c>
      <c r="J94" t="s">
        <v>3</v>
      </c>
      <c r="K94" t="s">
        <v>649</v>
      </c>
      <c r="L94">
        <v>1191</v>
      </c>
      <c r="N94">
        <v>1013</v>
      </c>
      <c r="O94" t="s">
        <v>650</v>
      </c>
      <c r="P94" t="s">
        <v>650</v>
      </c>
      <c r="Q94">
        <v>1</v>
      </c>
      <c r="X94">
        <v>2.33</v>
      </c>
      <c r="Y94">
        <v>0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1</v>
      </c>
      <c r="AF94" t="s">
        <v>164</v>
      </c>
      <c r="AG94">
        <v>4.66</v>
      </c>
      <c r="AH94">
        <v>3</v>
      </c>
      <c r="AI94">
        <v>-1</v>
      </c>
      <c r="AJ94" t="s">
        <v>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ROW(Source!A227)</f>
        <v>227</v>
      </c>
      <c r="B95">
        <v>1474096642</v>
      </c>
      <c r="C95">
        <v>1472039665</v>
      </c>
      <c r="D95">
        <v>1441819193</v>
      </c>
      <c r="E95">
        <v>15514512</v>
      </c>
      <c r="F95">
        <v>1</v>
      </c>
      <c r="G95">
        <v>15514512</v>
      </c>
      <c r="H95">
        <v>1</v>
      </c>
      <c r="I95" t="s">
        <v>648</v>
      </c>
      <c r="J95" t="s">
        <v>3</v>
      </c>
      <c r="K95" t="s">
        <v>649</v>
      </c>
      <c r="L95">
        <v>1191</v>
      </c>
      <c r="N95">
        <v>1013</v>
      </c>
      <c r="O95" t="s">
        <v>650</v>
      </c>
      <c r="P95" t="s">
        <v>650</v>
      </c>
      <c r="Q95">
        <v>1</v>
      </c>
      <c r="X95">
        <v>2.08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1</v>
      </c>
      <c r="AF95" t="s">
        <v>3</v>
      </c>
      <c r="AG95">
        <v>2.08</v>
      </c>
      <c r="AH95">
        <v>3</v>
      </c>
      <c r="AI95">
        <v>-1</v>
      </c>
      <c r="AJ95" t="s">
        <v>3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ROW(Source!A227)</f>
        <v>227</v>
      </c>
      <c r="B96">
        <v>1474096643</v>
      </c>
      <c r="C96">
        <v>1472039665</v>
      </c>
      <c r="D96">
        <v>1441836514</v>
      </c>
      <c r="E96">
        <v>1</v>
      </c>
      <c r="F96">
        <v>1</v>
      </c>
      <c r="G96">
        <v>15514512</v>
      </c>
      <c r="H96">
        <v>3</v>
      </c>
      <c r="I96" t="s">
        <v>676</v>
      </c>
      <c r="J96" t="s">
        <v>677</v>
      </c>
      <c r="K96" t="s">
        <v>678</v>
      </c>
      <c r="L96">
        <v>1339</v>
      </c>
      <c r="N96">
        <v>1007</v>
      </c>
      <c r="O96" t="s">
        <v>679</v>
      </c>
      <c r="P96" t="s">
        <v>679</v>
      </c>
      <c r="Q96">
        <v>1</v>
      </c>
      <c r="X96">
        <v>3.5000000000000001E-3</v>
      </c>
      <c r="Y96">
        <v>54.81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3</v>
      </c>
      <c r="AG96">
        <v>3.5000000000000001E-3</v>
      </c>
      <c r="AH96">
        <v>3</v>
      </c>
      <c r="AI96">
        <v>-1</v>
      </c>
      <c r="AJ96" t="s">
        <v>3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ROW(Source!A228)</f>
        <v>228</v>
      </c>
      <c r="B97">
        <v>1474096644</v>
      </c>
      <c r="C97">
        <v>1472039672</v>
      </c>
      <c r="D97">
        <v>1441819193</v>
      </c>
      <c r="E97">
        <v>15514512</v>
      </c>
      <c r="F97">
        <v>1</v>
      </c>
      <c r="G97">
        <v>15514512</v>
      </c>
      <c r="H97">
        <v>1</v>
      </c>
      <c r="I97" t="s">
        <v>648</v>
      </c>
      <c r="J97" t="s">
        <v>3</v>
      </c>
      <c r="K97" t="s">
        <v>649</v>
      </c>
      <c r="L97">
        <v>1191</v>
      </c>
      <c r="N97">
        <v>1013</v>
      </c>
      <c r="O97" t="s">
        <v>650</v>
      </c>
      <c r="P97" t="s">
        <v>650</v>
      </c>
      <c r="Q97">
        <v>1</v>
      </c>
      <c r="X97">
        <v>0.37</v>
      </c>
      <c r="Y97">
        <v>0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1</v>
      </c>
      <c r="AF97" t="s">
        <v>164</v>
      </c>
      <c r="AG97">
        <v>0.74</v>
      </c>
      <c r="AH97">
        <v>3</v>
      </c>
      <c r="AI97">
        <v>-1</v>
      </c>
      <c r="AJ97" t="s">
        <v>3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ROW(Source!A228)</f>
        <v>228</v>
      </c>
      <c r="B98">
        <v>1474096645</v>
      </c>
      <c r="C98">
        <v>1472039672</v>
      </c>
      <c r="D98">
        <v>1441834258</v>
      </c>
      <c r="E98">
        <v>1</v>
      </c>
      <c r="F98">
        <v>1</v>
      </c>
      <c r="G98">
        <v>15514512</v>
      </c>
      <c r="H98">
        <v>2</v>
      </c>
      <c r="I98" t="s">
        <v>651</v>
      </c>
      <c r="J98" t="s">
        <v>652</v>
      </c>
      <c r="K98" t="s">
        <v>653</v>
      </c>
      <c r="L98">
        <v>1368</v>
      </c>
      <c r="N98">
        <v>1011</v>
      </c>
      <c r="O98" t="s">
        <v>603</v>
      </c>
      <c r="P98" t="s">
        <v>603</v>
      </c>
      <c r="Q98">
        <v>1</v>
      </c>
      <c r="X98">
        <v>0.06</v>
      </c>
      <c r="Y98">
        <v>0</v>
      </c>
      <c r="Z98">
        <v>1303.01</v>
      </c>
      <c r="AA98">
        <v>826.2</v>
      </c>
      <c r="AB98">
        <v>0</v>
      </c>
      <c r="AC98">
        <v>0</v>
      </c>
      <c r="AD98">
        <v>1</v>
      </c>
      <c r="AE98">
        <v>0</v>
      </c>
      <c r="AF98" t="s">
        <v>164</v>
      </c>
      <c r="AG98">
        <v>0.12</v>
      </c>
      <c r="AH98">
        <v>3</v>
      </c>
      <c r="AI98">
        <v>-1</v>
      </c>
      <c r="AJ98" t="s">
        <v>3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ROW(Source!A229)</f>
        <v>229</v>
      </c>
      <c r="B99">
        <v>1474096646</v>
      </c>
      <c r="C99">
        <v>1472039679</v>
      </c>
      <c r="D99">
        <v>1441819193</v>
      </c>
      <c r="E99">
        <v>15514512</v>
      </c>
      <c r="F99">
        <v>1</v>
      </c>
      <c r="G99">
        <v>15514512</v>
      </c>
      <c r="H99">
        <v>1</v>
      </c>
      <c r="I99" t="s">
        <v>648</v>
      </c>
      <c r="J99" t="s">
        <v>3</v>
      </c>
      <c r="K99" t="s">
        <v>649</v>
      </c>
      <c r="L99">
        <v>1191</v>
      </c>
      <c r="N99">
        <v>1013</v>
      </c>
      <c r="O99" t="s">
        <v>650</v>
      </c>
      <c r="P99" t="s">
        <v>650</v>
      </c>
      <c r="Q99">
        <v>1</v>
      </c>
      <c r="X99">
        <v>0.37</v>
      </c>
      <c r="Y99">
        <v>0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1</v>
      </c>
      <c r="AF99" t="s">
        <v>164</v>
      </c>
      <c r="AG99">
        <v>0.74</v>
      </c>
      <c r="AH99">
        <v>3</v>
      </c>
      <c r="AI99">
        <v>-1</v>
      </c>
      <c r="AJ99" t="s">
        <v>3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ROW(Source!A229)</f>
        <v>229</v>
      </c>
      <c r="B100">
        <v>1474096647</v>
      </c>
      <c r="C100">
        <v>1472039679</v>
      </c>
      <c r="D100">
        <v>1441834258</v>
      </c>
      <c r="E100">
        <v>1</v>
      </c>
      <c r="F100">
        <v>1</v>
      </c>
      <c r="G100">
        <v>15514512</v>
      </c>
      <c r="H100">
        <v>2</v>
      </c>
      <c r="I100" t="s">
        <v>651</v>
      </c>
      <c r="J100" t="s">
        <v>652</v>
      </c>
      <c r="K100" t="s">
        <v>653</v>
      </c>
      <c r="L100">
        <v>1368</v>
      </c>
      <c r="N100">
        <v>1011</v>
      </c>
      <c r="O100" t="s">
        <v>603</v>
      </c>
      <c r="P100" t="s">
        <v>603</v>
      </c>
      <c r="Q100">
        <v>1</v>
      </c>
      <c r="X100">
        <v>0.06</v>
      </c>
      <c r="Y100">
        <v>0</v>
      </c>
      <c r="Z100">
        <v>1303.01</v>
      </c>
      <c r="AA100">
        <v>826.2</v>
      </c>
      <c r="AB100">
        <v>0</v>
      </c>
      <c r="AC100">
        <v>0</v>
      </c>
      <c r="AD100">
        <v>1</v>
      </c>
      <c r="AE100">
        <v>0</v>
      </c>
      <c r="AF100" t="s">
        <v>164</v>
      </c>
      <c r="AG100">
        <v>0.12</v>
      </c>
      <c r="AH100">
        <v>3</v>
      </c>
      <c r="AI100">
        <v>-1</v>
      </c>
      <c r="AJ100" t="s">
        <v>3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ROW(Source!A230)</f>
        <v>230</v>
      </c>
      <c r="B101">
        <v>1474096648</v>
      </c>
      <c r="C101">
        <v>1472039686</v>
      </c>
      <c r="D101">
        <v>1441819193</v>
      </c>
      <c r="E101">
        <v>15514512</v>
      </c>
      <c r="F101">
        <v>1</v>
      </c>
      <c r="G101">
        <v>15514512</v>
      </c>
      <c r="H101">
        <v>1</v>
      </c>
      <c r="I101" t="s">
        <v>648</v>
      </c>
      <c r="J101" t="s">
        <v>3</v>
      </c>
      <c r="K101" t="s">
        <v>649</v>
      </c>
      <c r="L101">
        <v>1191</v>
      </c>
      <c r="N101">
        <v>1013</v>
      </c>
      <c r="O101" t="s">
        <v>650</v>
      </c>
      <c r="P101" t="s">
        <v>650</v>
      </c>
      <c r="Q101">
        <v>1</v>
      </c>
      <c r="X101">
        <v>1.17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1</v>
      </c>
      <c r="AF101" t="s">
        <v>3</v>
      </c>
      <c r="AG101">
        <v>1.17</v>
      </c>
      <c r="AH101">
        <v>3</v>
      </c>
      <c r="AI101">
        <v>-1</v>
      </c>
      <c r="AJ101" t="s">
        <v>3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ROW(Source!A232)</f>
        <v>232</v>
      </c>
      <c r="B102">
        <v>1474096649</v>
      </c>
      <c r="C102">
        <v>1472039691</v>
      </c>
      <c r="D102">
        <v>1441819193</v>
      </c>
      <c r="E102">
        <v>15514512</v>
      </c>
      <c r="F102">
        <v>1</v>
      </c>
      <c r="G102">
        <v>15514512</v>
      </c>
      <c r="H102">
        <v>1</v>
      </c>
      <c r="I102" t="s">
        <v>648</v>
      </c>
      <c r="J102" t="s">
        <v>3</v>
      </c>
      <c r="K102" t="s">
        <v>649</v>
      </c>
      <c r="L102">
        <v>1191</v>
      </c>
      <c r="N102">
        <v>1013</v>
      </c>
      <c r="O102" t="s">
        <v>650</v>
      </c>
      <c r="P102" t="s">
        <v>650</v>
      </c>
      <c r="Q102">
        <v>1</v>
      </c>
      <c r="X102">
        <v>0.31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1</v>
      </c>
      <c r="AF102" t="s">
        <v>164</v>
      </c>
      <c r="AG102">
        <v>0.62</v>
      </c>
      <c r="AH102">
        <v>3</v>
      </c>
      <c r="AI102">
        <v>-1</v>
      </c>
      <c r="AJ102" t="s">
        <v>3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ROW(Source!A232)</f>
        <v>232</v>
      </c>
      <c r="B103">
        <v>1474096650</v>
      </c>
      <c r="C103">
        <v>1472039691</v>
      </c>
      <c r="D103">
        <v>1441836187</v>
      </c>
      <c r="E103">
        <v>1</v>
      </c>
      <c r="F103">
        <v>1</v>
      </c>
      <c r="G103">
        <v>15514512</v>
      </c>
      <c r="H103">
        <v>3</v>
      </c>
      <c r="I103" t="s">
        <v>692</v>
      </c>
      <c r="J103" t="s">
        <v>693</v>
      </c>
      <c r="K103" t="s">
        <v>694</v>
      </c>
      <c r="L103">
        <v>1346</v>
      </c>
      <c r="N103">
        <v>1009</v>
      </c>
      <c r="O103" t="s">
        <v>657</v>
      </c>
      <c r="P103" t="s">
        <v>657</v>
      </c>
      <c r="Q103">
        <v>1</v>
      </c>
      <c r="X103">
        <v>8.0000000000000002E-3</v>
      </c>
      <c r="Y103">
        <v>424.66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164</v>
      </c>
      <c r="AG103">
        <v>1.6E-2</v>
      </c>
      <c r="AH103">
        <v>3</v>
      </c>
      <c r="AI103">
        <v>-1</v>
      </c>
      <c r="AJ103" t="s">
        <v>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ROW(Source!A232)</f>
        <v>232</v>
      </c>
      <c r="B104">
        <v>1474096651</v>
      </c>
      <c r="C104">
        <v>1472039691</v>
      </c>
      <c r="D104">
        <v>1441836235</v>
      </c>
      <c r="E104">
        <v>1</v>
      </c>
      <c r="F104">
        <v>1</v>
      </c>
      <c r="G104">
        <v>15514512</v>
      </c>
      <c r="H104">
        <v>3</v>
      </c>
      <c r="I104" t="s">
        <v>683</v>
      </c>
      <c r="J104" t="s">
        <v>684</v>
      </c>
      <c r="K104" t="s">
        <v>685</v>
      </c>
      <c r="L104">
        <v>1346</v>
      </c>
      <c r="N104">
        <v>1009</v>
      </c>
      <c r="O104" t="s">
        <v>657</v>
      </c>
      <c r="P104" t="s">
        <v>657</v>
      </c>
      <c r="Q104">
        <v>1</v>
      </c>
      <c r="X104">
        <v>0.5</v>
      </c>
      <c r="Y104">
        <v>31.49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164</v>
      </c>
      <c r="AG104">
        <v>1</v>
      </c>
      <c r="AH104">
        <v>3</v>
      </c>
      <c r="AI104">
        <v>-1</v>
      </c>
      <c r="AJ104" t="s">
        <v>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ROW(Source!A234)</f>
        <v>234</v>
      </c>
      <c r="B105">
        <v>1474096652</v>
      </c>
      <c r="C105">
        <v>1472039702</v>
      </c>
      <c r="D105">
        <v>1441819193</v>
      </c>
      <c r="E105">
        <v>15514512</v>
      </c>
      <c r="F105">
        <v>1</v>
      </c>
      <c r="G105">
        <v>15514512</v>
      </c>
      <c r="H105">
        <v>1</v>
      </c>
      <c r="I105" t="s">
        <v>648</v>
      </c>
      <c r="J105" t="s">
        <v>3</v>
      </c>
      <c r="K105" t="s">
        <v>649</v>
      </c>
      <c r="L105">
        <v>1191</v>
      </c>
      <c r="N105">
        <v>1013</v>
      </c>
      <c r="O105" t="s">
        <v>650</v>
      </c>
      <c r="P105" t="s">
        <v>650</v>
      </c>
      <c r="Q105">
        <v>1</v>
      </c>
      <c r="X105">
        <v>0.9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1</v>
      </c>
      <c r="AF105" t="s">
        <v>22</v>
      </c>
      <c r="AG105">
        <v>3.6</v>
      </c>
      <c r="AH105">
        <v>3</v>
      </c>
      <c r="AI105">
        <v>-1</v>
      </c>
      <c r="AJ105" t="s">
        <v>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ROW(Source!A235)</f>
        <v>235</v>
      </c>
      <c r="B106">
        <v>1474096653</v>
      </c>
      <c r="C106">
        <v>1472039706</v>
      </c>
      <c r="D106">
        <v>1441819193</v>
      </c>
      <c r="E106">
        <v>15514512</v>
      </c>
      <c r="F106">
        <v>1</v>
      </c>
      <c r="G106">
        <v>15514512</v>
      </c>
      <c r="H106">
        <v>1</v>
      </c>
      <c r="I106" t="s">
        <v>648</v>
      </c>
      <c r="J106" t="s">
        <v>3</v>
      </c>
      <c r="K106" t="s">
        <v>649</v>
      </c>
      <c r="L106">
        <v>1191</v>
      </c>
      <c r="N106">
        <v>1013</v>
      </c>
      <c r="O106" t="s">
        <v>650</v>
      </c>
      <c r="P106" t="s">
        <v>650</v>
      </c>
      <c r="Q106">
        <v>1</v>
      </c>
      <c r="X106">
        <v>2.64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1</v>
      </c>
      <c r="AF106" t="s">
        <v>22</v>
      </c>
      <c r="AG106">
        <v>10.56</v>
      </c>
      <c r="AH106">
        <v>3</v>
      </c>
      <c r="AI106">
        <v>-1</v>
      </c>
      <c r="AJ106" t="s">
        <v>3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ROW(Source!A236)</f>
        <v>236</v>
      </c>
      <c r="B107">
        <v>1474096654</v>
      </c>
      <c r="C107">
        <v>1472039710</v>
      </c>
      <c r="D107">
        <v>1441819193</v>
      </c>
      <c r="E107">
        <v>15514512</v>
      </c>
      <c r="F107">
        <v>1</v>
      </c>
      <c r="G107">
        <v>15514512</v>
      </c>
      <c r="H107">
        <v>1</v>
      </c>
      <c r="I107" t="s">
        <v>648</v>
      </c>
      <c r="J107" t="s">
        <v>3</v>
      </c>
      <c r="K107" t="s">
        <v>649</v>
      </c>
      <c r="L107">
        <v>1191</v>
      </c>
      <c r="N107">
        <v>1013</v>
      </c>
      <c r="O107" t="s">
        <v>650</v>
      </c>
      <c r="P107" t="s">
        <v>650</v>
      </c>
      <c r="Q107">
        <v>1</v>
      </c>
      <c r="X107">
        <v>10.64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1</v>
      </c>
      <c r="AF107" t="s">
        <v>3</v>
      </c>
      <c r="AG107">
        <v>10.64</v>
      </c>
      <c r="AH107">
        <v>3</v>
      </c>
      <c r="AI107">
        <v>-1</v>
      </c>
      <c r="AJ107" t="s">
        <v>3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ROW(Source!A236)</f>
        <v>236</v>
      </c>
      <c r="B108">
        <v>1474096655</v>
      </c>
      <c r="C108">
        <v>1472039710</v>
      </c>
      <c r="D108">
        <v>1441833890</v>
      </c>
      <c r="E108">
        <v>1</v>
      </c>
      <c r="F108">
        <v>1</v>
      </c>
      <c r="G108">
        <v>15514512</v>
      </c>
      <c r="H108">
        <v>2</v>
      </c>
      <c r="I108" t="s">
        <v>697</v>
      </c>
      <c r="J108" t="s">
        <v>698</v>
      </c>
      <c r="K108" t="s">
        <v>699</v>
      </c>
      <c r="L108">
        <v>1368</v>
      </c>
      <c r="N108">
        <v>1011</v>
      </c>
      <c r="O108" t="s">
        <v>603</v>
      </c>
      <c r="P108" t="s">
        <v>603</v>
      </c>
      <c r="Q108">
        <v>1</v>
      </c>
      <c r="X108">
        <v>1.5</v>
      </c>
      <c r="Y108">
        <v>0</v>
      </c>
      <c r="Z108">
        <v>33.799999999999997</v>
      </c>
      <c r="AA108">
        <v>0.54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1.5</v>
      </c>
      <c r="AH108">
        <v>3</v>
      </c>
      <c r="AI108">
        <v>-1</v>
      </c>
      <c r="AJ108" t="s">
        <v>3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ROW(Source!A236)</f>
        <v>236</v>
      </c>
      <c r="B109">
        <v>1474096656</v>
      </c>
      <c r="C109">
        <v>1472039710</v>
      </c>
      <c r="D109">
        <v>1441836514</v>
      </c>
      <c r="E109">
        <v>1</v>
      </c>
      <c r="F109">
        <v>1</v>
      </c>
      <c r="G109">
        <v>15514512</v>
      </c>
      <c r="H109">
        <v>3</v>
      </c>
      <c r="I109" t="s">
        <v>676</v>
      </c>
      <c r="J109" t="s">
        <v>677</v>
      </c>
      <c r="K109" t="s">
        <v>678</v>
      </c>
      <c r="L109">
        <v>1339</v>
      </c>
      <c r="N109">
        <v>1007</v>
      </c>
      <c r="O109" t="s">
        <v>679</v>
      </c>
      <c r="P109" t="s">
        <v>679</v>
      </c>
      <c r="Q109">
        <v>1</v>
      </c>
      <c r="X109">
        <v>3.8</v>
      </c>
      <c r="Y109">
        <v>54.81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3.8</v>
      </c>
      <c r="AH109">
        <v>3</v>
      </c>
      <c r="AI109">
        <v>-1</v>
      </c>
      <c r="AJ109" t="s">
        <v>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ROW(Source!A236)</f>
        <v>236</v>
      </c>
      <c r="B110">
        <v>1474096657</v>
      </c>
      <c r="C110">
        <v>1472039710</v>
      </c>
      <c r="D110">
        <v>1441836517</v>
      </c>
      <c r="E110">
        <v>1</v>
      </c>
      <c r="F110">
        <v>1</v>
      </c>
      <c r="G110">
        <v>15514512</v>
      </c>
      <c r="H110">
        <v>3</v>
      </c>
      <c r="I110" t="s">
        <v>700</v>
      </c>
      <c r="J110" t="s">
        <v>701</v>
      </c>
      <c r="K110" t="s">
        <v>702</v>
      </c>
      <c r="L110">
        <v>1346</v>
      </c>
      <c r="N110">
        <v>1009</v>
      </c>
      <c r="O110" t="s">
        <v>657</v>
      </c>
      <c r="P110" t="s">
        <v>657</v>
      </c>
      <c r="Q110">
        <v>1</v>
      </c>
      <c r="X110">
        <v>0.02</v>
      </c>
      <c r="Y110">
        <v>451.28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0.02</v>
      </c>
      <c r="AH110">
        <v>3</v>
      </c>
      <c r="AI110">
        <v>-1</v>
      </c>
      <c r="AJ110" t="s">
        <v>3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ROW(Source!A236)</f>
        <v>236</v>
      </c>
      <c r="B111">
        <v>1474096659</v>
      </c>
      <c r="C111">
        <v>1472039710</v>
      </c>
      <c r="D111">
        <v>1441821379</v>
      </c>
      <c r="E111">
        <v>15514512</v>
      </c>
      <c r="F111">
        <v>1</v>
      </c>
      <c r="G111">
        <v>15514512</v>
      </c>
      <c r="H111">
        <v>3</v>
      </c>
      <c r="I111" t="s">
        <v>703</v>
      </c>
      <c r="J111" t="s">
        <v>3</v>
      </c>
      <c r="K111" t="s">
        <v>704</v>
      </c>
      <c r="L111">
        <v>1346</v>
      </c>
      <c r="N111">
        <v>1009</v>
      </c>
      <c r="O111" t="s">
        <v>657</v>
      </c>
      <c r="P111" t="s">
        <v>657</v>
      </c>
      <c r="Q111">
        <v>1</v>
      </c>
      <c r="X111">
        <v>0.05</v>
      </c>
      <c r="Y111">
        <v>89.933959999999999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0.05</v>
      </c>
      <c r="AH111">
        <v>3</v>
      </c>
      <c r="AI111">
        <v>-1</v>
      </c>
      <c r="AJ111" t="s">
        <v>3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ROW(Source!A236)</f>
        <v>236</v>
      </c>
      <c r="B112">
        <v>1474096658</v>
      </c>
      <c r="C112">
        <v>1472039710</v>
      </c>
      <c r="D112">
        <v>1441834875</v>
      </c>
      <c r="E112">
        <v>1</v>
      </c>
      <c r="F112">
        <v>1</v>
      </c>
      <c r="G112">
        <v>15514512</v>
      </c>
      <c r="H112">
        <v>3</v>
      </c>
      <c r="I112" t="s">
        <v>705</v>
      </c>
      <c r="J112" t="s">
        <v>706</v>
      </c>
      <c r="K112" t="s">
        <v>707</v>
      </c>
      <c r="L112">
        <v>1346</v>
      </c>
      <c r="N112">
        <v>1009</v>
      </c>
      <c r="O112" t="s">
        <v>657</v>
      </c>
      <c r="P112" t="s">
        <v>657</v>
      </c>
      <c r="Q112">
        <v>1</v>
      </c>
      <c r="X112">
        <v>0.02</v>
      </c>
      <c r="Y112">
        <v>94.64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0.02</v>
      </c>
      <c r="AH112">
        <v>3</v>
      </c>
      <c r="AI112">
        <v>-1</v>
      </c>
      <c r="AJ112" t="s">
        <v>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ROW(Source!A237)</f>
        <v>237</v>
      </c>
      <c r="B113">
        <v>1474096660</v>
      </c>
      <c r="C113">
        <v>1472039717</v>
      </c>
      <c r="D113">
        <v>1441819193</v>
      </c>
      <c r="E113">
        <v>15514512</v>
      </c>
      <c r="F113">
        <v>1</v>
      </c>
      <c r="G113">
        <v>15514512</v>
      </c>
      <c r="H113">
        <v>1</v>
      </c>
      <c r="I113" t="s">
        <v>648</v>
      </c>
      <c r="J113" t="s">
        <v>3</v>
      </c>
      <c r="K113" t="s">
        <v>649</v>
      </c>
      <c r="L113">
        <v>1191</v>
      </c>
      <c r="N113">
        <v>1013</v>
      </c>
      <c r="O113" t="s">
        <v>650</v>
      </c>
      <c r="P113" t="s">
        <v>650</v>
      </c>
      <c r="Q113">
        <v>1</v>
      </c>
      <c r="X113">
        <v>3.44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1</v>
      </c>
      <c r="AF113" t="s">
        <v>3</v>
      </c>
      <c r="AG113">
        <v>3.44</v>
      </c>
      <c r="AH113">
        <v>3</v>
      </c>
      <c r="AI113">
        <v>-1</v>
      </c>
      <c r="AJ113" t="s">
        <v>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ROW(Source!A237)</f>
        <v>237</v>
      </c>
      <c r="B114">
        <v>1474096661</v>
      </c>
      <c r="C114">
        <v>1472039717</v>
      </c>
      <c r="D114">
        <v>1441833845</v>
      </c>
      <c r="E114">
        <v>1</v>
      </c>
      <c r="F114">
        <v>1</v>
      </c>
      <c r="G114">
        <v>15514512</v>
      </c>
      <c r="H114">
        <v>2</v>
      </c>
      <c r="I114" t="s">
        <v>708</v>
      </c>
      <c r="J114" t="s">
        <v>709</v>
      </c>
      <c r="K114" t="s">
        <v>710</v>
      </c>
      <c r="L114">
        <v>1368</v>
      </c>
      <c r="N114">
        <v>1011</v>
      </c>
      <c r="O114" t="s">
        <v>603</v>
      </c>
      <c r="P114" t="s">
        <v>603</v>
      </c>
      <c r="Q114">
        <v>1</v>
      </c>
      <c r="X114">
        <v>1.31</v>
      </c>
      <c r="Y114">
        <v>0</v>
      </c>
      <c r="Z114">
        <v>17.95</v>
      </c>
      <c r="AA114">
        <v>0.05</v>
      </c>
      <c r="AB114">
        <v>0</v>
      </c>
      <c r="AC114">
        <v>0</v>
      </c>
      <c r="AD114">
        <v>1</v>
      </c>
      <c r="AE114">
        <v>0</v>
      </c>
      <c r="AF114" t="s">
        <v>3</v>
      </c>
      <c r="AG114">
        <v>1.31</v>
      </c>
      <c r="AH114">
        <v>3</v>
      </c>
      <c r="AI114">
        <v>-1</v>
      </c>
      <c r="AJ114" t="s">
        <v>3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ROW(Source!A237)</f>
        <v>237</v>
      </c>
      <c r="B115">
        <v>1474096662</v>
      </c>
      <c r="C115">
        <v>1472039717</v>
      </c>
      <c r="D115">
        <v>1441836514</v>
      </c>
      <c r="E115">
        <v>1</v>
      </c>
      <c r="F115">
        <v>1</v>
      </c>
      <c r="G115">
        <v>15514512</v>
      </c>
      <c r="H115">
        <v>3</v>
      </c>
      <c r="I115" t="s">
        <v>676</v>
      </c>
      <c r="J115" t="s">
        <v>677</v>
      </c>
      <c r="K115" t="s">
        <v>678</v>
      </c>
      <c r="L115">
        <v>1339</v>
      </c>
      <c r="N115">
        <v>1007</v>
      </c>
      <c r="O115" t="s">
        <v>679</v>
      </c>
      <c r="P115" t="s">
        <v>679</v>
      </c>
      <c r="Q115">
        <v>1</v>
      </c>
      <c r="X115">
        <v>3.7</v>
      </c>
      <c r="Y115">
        <v>54.81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3</v>
      </c>
      <c r="AG115">
        <v>3.7</v>
      </c>
      <c r="AH115">
        <v>3</v>
      </c>
      <c r="AI115">
        <v>-1</v>
      </c>
      <c r="AJ115" t="s">
        <v>3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ROW(Source!A239)</f>
        <v>239</v>
      </c>
      <c r="B116">
        <v>1474096663</v>
      </c>
      <c r="C116">
        <v>1472039728</v>
      </c>
      <c r="D116">
        <v>1441819193</v>
      </c>
      <c r="E116">
        <v>15514512</v>
      </c>
      <c r="F116">
        <v>1</v>
      </c>
      <c r="G116">
        <v>15514512</v>
      </c>
      <c r="H116">
        <v>1</v>
      </c>
      <c r="I116" t="s">
        <v>648</v>
      </c>
      <c r="J116" t="s">
        <v>3</v>
      </c>
      <c r="K116" t="s">
        <v>649</v>
      </c>
      <c r="L116">
        <v>1191</v>
      </c>
      <c r="N116">
        <v>1013</v>
      </c>
      <c r="O116" t="s">
        <v>650</v>
      </c>
      <c r="P116" t="s">
        <v>650</v>
      </c>
      <c r="Q116">
        <v>1</v>
      </c>
      <c r="X116">
        <v>0.9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1</v>
      </c>
      <c r="AF116" t="s">
        <v>22</v>
      </c>
      <c r="AG116">
        <v>3.6</v>
      </c>
      <c r="AH116">
        <v>3</v>
      </c>
      <c r="AI116">
        <v>-1</v>
      </c>
      <c r="AJ116" t="s">
        <v>3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ROW(Source!A240)</f>
        <v>240</v>
      </c>
      <c r="B117">
        <v>1474096664</v>
      </c>
      <c r="C117">
        <v>1472039732</v>
      </c>
      <c r="D117">
        <v>1441819193</v>
      </c>
      <c r="E117">
        <v>15514512</v>
      </c>
      <c r="F117">
        <v>1</v>
      </c>
      <c r="G117">
        <v>15514512</v>
      </c>
      <c r="H117">
        <v>1</v>
      </c>
      <c r="I117" t="s">
        <v>648</v>
      </c>
      <c r="J117" t="s">
        <v>3</v>
      </c>
      <c r="K117" t="s">
        <v>649</v>
      </c>
      <c r="L117">
        <v>1191</v>
      </c>
      <c r="N117">
        <v>1013</v>
      </c>
      <c r="O117" t="s">
        <v>650</v>
      </c>
      <c r="P117" t="s">
        <v>650</v>
      </c>
      <c r="Q117">
        <v>1</v>
      </c>
      <c r="X117">
        <v>2.64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1</v>
      </c>
      <c r="AF117" t="s">
        <v>22</v>
      </c>
      <c r="AG117">
        <v>10.56</v>
      </c>
      <c r="AH117">
        <v>3</v>
      </c>
      <c r="AI117">
        <v>-1</v>
      </c>
      <c r="AJ117" t="s">
        <v>3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ROW(Source!A241)</f>
        <v>241</v>
      </c>
      <c r="B118">
        <v>1474096665</v>
      </c>
      <c r="C118">
        <v>1472039736</v>
      </c>
      <c r="D118">
        <v>1441819193</v>
      </c>
      <c r="E118">
        <v>15514512</v>
      </c>
      <c r="F118">
        <v>1</v>
      </c>
      <c r="G118">
        <v>15514512</v>
      </c>
      <c r="H118">
        <v>1</v>
      </c>
      <c r="I118" t="s">
        <v>648</v>
      </c>
      <c r="J118" t="s">
        <v>3</v>
      </c>
      <c r="K118" t="s">
        <v>649</v>
      </c>
      <c r="L118">
        <v>1191</v>
      </c>
      <c r="N118">
        <v>1013</v>
      </c>
      <c r="O118" t="s">
        <v>650</v>
      </c>
      <c r="P118" t="s">
        <v>650</v>
      </c>
      <c r="Q118">
        <v>1</v>
      </c>
      <c r="X118">
        <v>10.64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1</v>
      </c>
      <c r="AF118" t="s">
        <v>3</v>
      </c>
      <c r="AG118">
        <v>10.64</v>
      </c>
      <c r="AH118">
        <v>3</v>
      </c>
      <c r="AI118">
        <v>-1</v>
      </c>
      <c r="AJ118" t="s">
        <v>3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ROW(Source!A241)</f>
        <v>241</v>
      </c>
      <c r="B119">
        <v>1474096666</v>
      </c>
      <c r="C119">
        <v>1472039736</v>
      </c>
      <c r="D119">
        <v>1441833890</v>
      </c>
      <c r="E119">
        <v>1</v>
      </c>
      <c r="F119">
        <v>1</v>
      </c>
      <c r="G119">
        <v>15514512</v>
      </c>
      <c r="H119">
        <v>2</v>
      </c>
      <c r="I119" t="s">
        <v>697</v>
      </c>
      <c r="J119" t="s">
        <v>698</v>
      </c>
      <c r="K119" t="s">
        <v>699</v>
      </c>
      <c r="L119">
        <v>1368</v>
      </c>
      <c r="N119">
        <v>1011</v>
      </c>
      <c r="O119" t="s">
        <v>603</v>
      </c>
      <c r="P119" t="s">
        <v>603</v>
      </c>
      <c r="Q119">
        <v>1</v>
      </c>
      <c r="X119">
        <v>1.5</v>
      </c>
      <c r="Y119">
        <v>0</v>
      </c>
      <c r="Z119">
        <v>33.799999999999997</v>
      </c>
      <c r="AA119">
        <v>0.54</v>
      </c>
      <c r="AB119">
        <v>0</v>
      </c>
      <c r="AC119">
        <v>0</v>
      </c>
      <c r="AD119">
        <v>1</v>
      </c>
      <c r="AE119">
        <v>0</v>
      </c>
      <c r="AF119" t="s">
        <v>3</v>
      </c>
      <c r="AG119">
        <v>1.5</v>
      </c>
      <c r="AH119">
        <v>3</v>
      </c>
      <c r="AI119">
        <v>-1</v>
      </c>
      <c r="AJ119" t="s">
        <v>3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ROW(Source!A241)</f>
        <v>241</v>
      </c>
      <c r="B120">
        <v>1474096667</v>
      </c>
      <c r="C120">
        <v>1472039736</v>
      </c>
      <c r="D120">
        <v>1441836514</v>
      </c>
      <c r="E120">
        <v>1</v>
      </c>
      <c r="F120">
        <v>1</v>
      </c>
      <c r="G120">
        <v>15514512</v>
      </c>
      <c r="H120">
        <v>3</v>
      </c>
      <c r="I120" t="s">
        <v>676</v>
      </c>
      <c r="J120" t="s">
        <v>677</v>
      </c>
      <c r="K120" t="s">
        <v>678</v>
      </c>
      <c r="L120">
        <v>1339</v>
      </c>
      <c r="N120">
        <v>1007</v>
      </c>
      <c r="O120" t="s">
        <v>679</v>
      </c>
      <c r="P120" t="s">
        <v>679</v>
      </c>
      <c r="Q120">
        <v>1</v>
      </c>
      <c r="X120">
        <v>3.8</v>
      </c>
      <c r="Y120">
        <v>54.81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3</v>
      </c>
      <c r="AG120">
        <v>3.8</v>
      </c>
      <c r="AH120">
        <v>3</v>
      </c>
      <c r="AI120">
        <v>-1</v>
      </c>
      <c r="AJ120" t="s">
        <v>3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ROW(Source!A241)</f>
        <v>241</v>
      </c>
      <c r="B121">
        <v>1474096668</v>
      </c>
      <c r="C121">
        <v>1472039736</v>
      </c>
      <c r="D121">
        <v>1441836517</v>
      </c>
      <c r="E121">
        <v>1</v>
      </c>
      <c r="F121">
        <v>1</v>
      </c>
      <c r="G121">
        <v>15514512</v>
      </c>
      <c r="H121">
        <v>3</v>
      </c>
      <c r="I121" t="s">
        <v>700</v>
      </c>
      <c r="J121" t="s">
        <v>701</v>
      </c>
      <c r="K121" t="s">
        <v>702</v>
      </c>
      <c r="L121">
        <v>1346</v>
      </c>
      <c r="N121">
        <v>1009</v>
      </c>
      <c r="O121" t="s">
        <v>657</v>
      </c>
      <c r="P121" t="s">
        <v>657</v>
      </c>
      <c r="Q121">
        <v>1</v>
      </c>
      <c r="X121">
        <v>0.02</v>
      </c>
      <c r="Y121">
        <v>451.28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3</v>
      </c>
      <c r="AG121">
        <v>0.02</v>
      </c>
      <c r="AH121">
        <v>3</v>
      </c>
      <c r="AI121">
        <v>-1</v>
      </c>
      <c r="AJ121" t="s">
        <v>3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ROW(Source!A241)</f>
        <v>241</v>
      </c>
      <c r="B122">
        <v>1474096670</v>
      </c>
      <c r="C122">
        <v>1472039736</v>
      </c>
      <c r="D122">
        <v>1441821379</v>
      </c>
      <c r="E122">
        <v>15514512</v>
      </c>
      <c r="F122">
        <v>1</v>
      </c>
      <c r="G122">
        <v>15514512</v>
      </c>
      <c r="H122">
        <v>3</v>
      </c>
      <c r="I122" t="s">
        <v>703</v>
      </c>
      <c r="J122" t="s">
        <v>3</v>
      </c>
      <c r="K122" t="s">
        <v>704</v>
      </c>
      <c r="L122">
        <v>1346</v>
      </c>
      <c r="N122">
        <v>1009</v>
      </c>
      <c r="O122" t="s">
        <v>657</v>
      </c>
      <c r="P122" t="s">
        <v>657</v>
      </c>
      <c r="Q122">
        <v>1</v>
      </c>
      <c r="X122">
        <v>0.05</v>
      </c>
      <c r="Y122">
        <v>89.933959999999999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3</v>
      </c>
      <c r="AG122">
        <v>0.05</v>
      </c>
      <c r="AH122">
        <v>3</v>
      </c>
      <c r="AI122">
        <v>-1</v>
      </c>
      <c r="AJ122" t="s">
        <v>3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ROW(Source!A241)</f>
        <v>241</v>
      </c>
      <c r="B123">
        <v>1474096669</v>
      </c>
      <c r="C123">
        <v>1472039736</v>
      </c>
      <c r="D123">
        <v>1441834875</v>
      </c>
      <c r="E123">
        <v>1</v>
      </c>
      <c r="F123">
        <v>1</v>
      </c>
      <c r="G123">
        <v>15514512</v>
      </c>
      <c r="H123">
        <v>3</v>
      </c>
      <c r="I123" t="s">
        <v>705</v>
      </c>
      <c r="J123" t="s">
        <v>706</v>
      </c>
      <c r="K123" t="s">
        <v>707</v>
      </c>
      <c r="L123">
        <v>1346</v>
      </c>
      <c r="N123">
        <v>1009</v>
      </c>
      <c r="O123" t="s">
        <v>657</v>
      </c>
      <c r="P123" t="s">
        <v>657</v>
      </c>
      <c r="Q123">
        <v>1</v>
      </c>
      <c r="X123">
        <v>0.02</v>
      </c>
      <c r="Y123">
        <v>94.64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3</v>
      </c>
      <c r="AG123">
        <v>0.02</v>
      </c>
      <c r="AH123">
        <v>3</v>
      </c>
      <c r="AI123">
        <v>-1</v>
      </c>
      <c r="AJ123" t="s">
        <v>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ROW(Source!A242)</f>
        <v>242</v>
      </c>
      <c r="B124">
        <v>1474096671</v>
      </c>
      <c r="C124">
        <v>1472039743</v>
      </c>
      <c r="D124">
        <v>1441819193</v>
      </c>
      <c r="E124">
        <v>15514512</v>
      </c>
      <c r="F124">
        <v>1</v>
      </c>
      <c r="G124">
        <v>15514512</v>
      </c>
      <c r="H124">
        <v>1</v>
      </c>
      <c r="I124" t="s">
        <v>648</v>
      </c>
      <c r="J124" t="s">
        <v>3</v>
      </c>
      <c r="K124" t="s">
        <v>649</v>
      </c>
      <c r="L124">
        <v>1191</v>
      </c>
      <c r="N124">
        <v>1013</v>
      </c>
      <c r="O124" t="s">
        <v>650</v>
      </c>
      <c r="P124" t="s">
        <v>650</v>
      </c>
      <c r="Q124">
        <v>1</v>
      </c>
      <c r="X124">
        <v>3.44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1</v>
      </c>
      <c r="AF124" t="s">
        <v>3</v>
      </c>
      <c r="AG124">
        <v>3.44</v>
      </c>
      <c r="AH124">
        <v>3</v>
      </c>
      <c r="AI124">
        <v>-1</v>
      </c>
      <c r="AJ124" t="s">
        <v>3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ROW(Source!A242)</f>
        <v>242</v>
      </c>
      <c r="B125">
        <v>1474096672</v>
      </c>
      <c r="C125">
        <v>1472039743</v>
      </c>
      <c r="D125">
        <v>1441833845</v>
      </c>
      <c r="E125">
        <v>1</v>
      </c>
      <c r="F125">
        <v>1</v>
      </c>
      <c r="G125">
        <v>15514512</v>
      </c>
      <c r="H125">
        <v>2</v>
      </c>
      <c r="I125" t="s">
        <v>708</v>
      </c>
      <c r="J125" t="s">
        <v>709</v>
      </c>
      <c r="K125" t="s">
        <v>710</v>
      </c>
      <c r="L125">
        <v>1368</v>
      </c>
      <c r="N125">
        <v>1011</v>
      </c>
      <c r="O125" t="s">
        <v>603</v>
      </c>
      <c r="P125" t="s">
        <v>603</v>
      </c>
      <c r="Q125">
        <v>1</v>
      </c>
      <c r="X125">
        <v>1.31</v>
      </c>
      <c r="Y125">
        <v>0</v>
      </c>
      <c r="Z125">
        <v>17.95</v>
      </c>
      <c r="AA125">
        <v>0.05</v>
      </c>
      <c r="AB125">
        <v>0</v>
      </c>
      <c r="AC125">
        <v>0</v>
      </c>
      <c r="AD125">
        <v>1</v>
      </c>
      <c r="AE125">
        <v>0</v>
      </c>
      <c r="AF125" t="s">
        <v>3</v>
      </c>
      <c r="AG125">
        <v>1.31</v>
      </c>
      <c r="AH125">
        <v>3</v>
      </c>
      <c r="AI125">
        <v>-1</v>
      </c>
      <c r="AJ125" t="s">
        <v>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ROW(Source!A242)</f>
        <v>242</v>
      </c>
      <c r="B126">
        <v>1474096673</v>
      </c>
      <c r="C126">
        <v>1472039743</v>
      </c>
      <c r="D126">
        <v>1441836514</v>
      </c>
      <c r="E126">
        <v>1</v>
      </c>
      <c r="F126">
        <v>1</v>
      </c>
      <c r="G126">
        <v>15514512</v>
      </c>
      <c r="H126">
        <v>3</v>
      </c>
      <c r="I126" t="s">
        <v>676</v>
      </c>
      <c r="J126" t="s">
        <v>677</v>
      </c>
      <c r="K126" t="s">
        <v>678</v>
      </c>
      <c r="L126">
        <v>1339</v>
      </c>
      <c r="N126">
        <v>1007</v>
      </c>
      <c r="O126" t="s">
        <v>679</v>
      </c>
      <c r="P126" t="s">
        <v>679</v>
      </c>
      <c r="Q126">
        <v>1</v>
      </c>
      <c r="X126">
        <v>3.7</v>
      </c>
      <c r="Y126">
        <v>54.81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3</v>
      </c>
      <c r="AG126">
        <v>3.7</v>
      </c>
      <c r="AH126">
        <v>3</v>
      </c>
      <c r="AI126">
        <v>-1</v>
      </c>
      <c r="AJ126" t="s">
        <v>3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ROW(Source!A244)</f>
        <v>244</v>
      </c>
      <c r="B127">
        <v>1474096674</v>
      </c>
      <c r="C127">
        <v>1472039754</v>
      </c>
      <c r="D127">
        <v>1441819193</v>
      </c>
      <c r="E127">
        <v>15514512</v>
      </c>
      <c r="F127">
        <v>1</v>
      </c>
      <c r="G127">
        <v>15514512</v>
      </c>
      <c r="H127">
        <v>1</v>
      </c>
      <c r="I127" t="s">
        <v>648</v>
      </c>
      <c r="J127" t="s">
        <v>3</v>
      </c>
      <c r="K127" t="s">
        <v>649</v>
      </c>
      <c r="L127">
        <v>1191</v>
      </c>
      <c r="N127">
        <v>1013</v>
      </c>
      <c r="O127" t="s">
        <v>650</v>
      </c>
      <c r="P127" t="s">
        <v>650</v>
      </c>
      <c r="Q127">
        <v>1</v>
      </c>
      <c r="X127">
        <v>0.9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1</v>
      </c>
      <c r="AF127" t="s">
        <v>22</v>
      </c>
      <c r="AG127">
        <v>3.6</v>
      </c>
      <c r="AH127">
        <v>3</v>
      </c>
      <c r="AI127">
        <v>-1</v>
      </c>
      <c r="AJ127" t="s">
        <v>3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ROW(Source!A245)</f>
        <v>245</v>
      </c>
      <c r="B128">
        <v>1474096675</v>
      </c>
      <c r="C128">
        <v>1472039758</v>
      </c>
      <c r="D128">
        <v>1441819193</v>
      </c>
      <c r="E128">
        <v>15514512</v>
      </c>
      <c r="F128">
        <v>1</v>
      </c>
      <c r="G128">
        <v>15514512</v>
      </c>
      <c r="H128">
        <v>1</v>
      </c>
      <c r="I128" t="s">
        <v>648</v>
      </c>
      <c r="J128" t="s">
        <v>3</v>
      </c>
      <c r="K128" t="s">
        <v>649</v>
      </c>
      <c r="L128">
        <v>1191</v>
      </c>
      <c r="N128">
        <v>1013</v>
      </c>
      <c r="O128" t="s">
        <v>650</v>
      </c>
      <c r="P128" t="s">
        <v>650</v>
      </c>
      <c r="Q128">
        <v>1</v>
      </c>
      <c r="X128">
        <v>2.64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1</v>
      </c>
      <c r="AF128" t="s">
        <v>22</v>
      </c>
      <c r="AG128">
        <v>10.56</v>
      </c>
      <c r="AH128">
        <v>3</v>
      </c>
      <c r="AI128">
        <v>-1</v>
      </c>
      <c r="AJ128" t="s">
        <v>3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ROW(Source!A246)</f>
        <v>246</v>
      </c>
      <c r="B129">
        <v>1474096676</v>
      </c>
      <c r="C129">
        <v>1472039762</v>
      </c>
      <c r="D129">
        <v>1441819193</v>
      </c>
      <c r="E129">
        <v>15514512</v>
      </c>
      <c r="F129">
        <v>1</v>
      </c>
      <c r="G129">
        <v>15514512</v>
      </c>
      <c r="H129">
        <v>1</v>
      </c>
      <c r="I129" t="s">
        <v>648</v>
      </c>
      <c r="J129" t="s">
        <v>3</v>
      </c>
      <c r="K129" t="s">
        <v>649</v>
      </c>
      <c r="L129">
        <v>1191</v>
      </c>
      <c r="N129">
        <v>1013</v>
      </c>
      <c r="O129" t="s">
        <v>650</v>
      </c>
      <c r="P129" t="s">
        <v>650</v>
      </c>
      <c r="Q129">
        <v>1</v>
      </c>
      <c r="X129">
        <v>10.64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1</v>
      </c>
      <c r="AF129" t="s">
        <v>3</v>
      </c>
      <c r="AG129">
        <v>10.64</v>
      </c>
      <c r="AH129">
        <v>3</v>
      </c>
      <c r="AI129">
        <v>-1</v>
      </c>
      <c r="AJ129" t="s">
        <v>3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ROW(Source!A246)</f>
        <v>246</v>
      </c>
      <c r="B130">
        <v>1474096677</v>
      </c>
      <c r="C130">
        <v>1472039762</v>
      </c>
      <c r="D130">
        <v>1441833890</v>
      </c>
      <c r="E130">
        <v>1</v>
      </c>
      <c r="F130">
        <v>1</v>
      </c>
      <c r="G130">
        <v>15514512</v>
      </c>
      <c r="H130">
        <v>2</v>
      </c>
      <c r="I130" t="s">
        <v>697</v>
      </c>
      <c r="J130" t="s">
        <v>698</v>
      </c>
      <c r="K130" t="s">
        <v>699</v>
      </c>
      <c r="L130">
        <v>1368</v>
      </c>
      <c r="N130">
        <v>1011</v>
      </c>
      <c r="O130" t="s">
        <v>603</v>
      </c>
      <c r="P130" t="s">
        <v>603</v>
      </c>
      <c r="Q130">
        <v>1</v>
      </c>
      <c r="X130">
        <v>1.5</v>
      </c>
      <c r="Y130">
        <v>0</v>
      </c>
      <c r="Z130">
        <v>33.799999999999997</v>
      </c>
      <c r="AA130">
        <v>0.54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1.5</v>
      </c>
      <c r="AH130">
        <v>3</v>
      </c>
      <c r="AI130">
        <v>-1</v>
      </c>
      <c r="AJ130" t="s">
        <v>3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ROW(Source!A246)</f>
        <v>246</v>
      </c>
      <c r="B131">
        <v>1474096678</v>
      </c>
      <c r="C131">
        <v>1472039762</v>
      </c>
      <c r="D131">
        <v>1441836514</v>
      </c>
      <c r="E131">
        <v>1</v>
      </c>
      <c r="F131">
        <v>1</v>
      </c>
      <c r="G131">
        <v>15514512</v>
      </c>
      <c r="H131">
        <v>3</v>
      </c>
      <c r="I131" t="s">
        <v>676</v>
      </c>
      <c r="J131" t="s">
        <v>677</v>
      </c>
      <c r="K131" t="s">
        <v>678</v>
      </c>
      <c r="L131">
        <v>1339</v>
      </c>
      <c r="N131">
        <v>1007</v>
      </c>
      <c r="O131" t="s">
        <v>679</v>
      </c>
      <c r="P131" t="s">
        <v>679</v>
      </c>
      <c r="Q131">
        <v>1</v>
      </c>
      <c r="X131">
        <v>3.8</v>
      </c>
      <c r="Y131">
        <v>54.81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3.8</v>
      </c>
      <c r="AH131">
        <v>3</v>
      </c>
      <c r="AI131">
        <v>-1</v>
      </c>
      <c r="AJ131" t="s">
        <v>3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ROW(Source!A246)</f>
        <v>246</v>
      </c>
      <c r="B132">
        <v>1474096679</v>
      </c>
      <c r="C132">
        <v>1472039762</v>
      </c>
      <c r="D132">
        <v>1441836517</v>
      </c>
      <c r="E132">
        <v>1</v>
      </c>
      <c r="F132">
        <v>1</v>
      </c>
      <c r="G132">
        <v>15514512</v>
      </c>
      <c r="H132">
        <v>3</v>
      </c>
      <c r="I132" t="s">
        <v>700</v>
      </c>
      <c r="J132" t="s">
        <v>701</v>
      </c>
      <c r="K132" t="s">
        <v>702</v>
      </c>
      <c r="L132">
        <v>1346</v>
      </c>
      <c r="N132">
        <v>1009</v>
      </c>
      <c r="O132" t="s">
        <v>657</v>
      </c>
      <c r="P132" t="s">
        <v>657</v>
      </c>
      <c r="Q132">
        <v>1</v>
      </c>
      <c r="X132">
        <v>0.02</v>
      </c>
      <c r="Y132">
        <v>451.28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0.02</v>
      </c>
      <c r="AH132">
        <v>3</v>
      </c>
      <c r="AI132">
        <v>-1</v>
      </c>
      <c r="AJ132" t="s">
        <v>3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ROW(Source!A246)</f>
        <v>246</v>
      </c>
      <c r="B133">
        <v>1474096681</v>
      </c>
      <c r="C133">
        <v>1472039762</v>
      </c>
      <c r="D133">
        <v>1441821379</v>
      </c>
      <c r="E133">
        <v>15514512</v>
      </c>
      <c r="F133">
        <v>1</v>
      </c>
      <c r="G133">
        <v>15514512</v>
      </c>
      <c r="H133">
        <v>3</v>
      </c>
      <c r="I133" t="s">
        <v>703</v>
      </c>
      <c r="J133" t="s">
        <v>3</v>
      </c>
      <c r="K133" t="s">
        <v>704</v>
      </c>
      <c r="L133">
        <v>1346</v>
      </c>
      <c r="N133">
        <v>1009</v>
      </c>
      <c r="O133" t="s">
        <v>657</v>
      </c>
      <c r="P133" t="s">
        <v>657</v>
      </c>
      <c r="Q133">
        <v>1</v>
      </c>
      <c r="X133">
        <v>0.05</v>
      </c>
      <c r="Y133">
        <v>89.933959999999999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3</v>
      </c>
      <c r="AG133">
        <v>0.05</v>
      </c>
      <c r="AH133">
        <v>3</v>
      </c>
      <c r="AI133">
        <v>-1</v>
      </c>
      <c r="AJ133" t="s">
        <v>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ROW(Source!A246)</f>
        <v>246</v>
      </c>
      <c r="B134">
        <v>1474096680</v>
      </c>
      <c r="C134">
        <v>1472039762</v>
      </c>
      <c r="D134">
        <v>1441834875</v>
      </c>
      <c r="E134">
        <v>1</v>
      </c>
      <c r="F134">
        <v>1</v>
      </c>
      <c r="G134">
        <v>15514512</v>
      </c>
      <c r="H134">
        <v>3</v>
      </c>
      <c r="I134" t="s">
        <v>705</v>
      </c>
      <c r="J134" t="s">
        <v>706</v>
      </c>
      <c r="K134" t="s">
        <v>707</v>
      </c>
      <c r="L134">
        <v>1346</v>
      </c>
      <c r="N134">
        <v>1009</v>
      </c>
      <c r="O134" t="s">
        <v>657</v>
      </c>
      <c r="P134" t="s">
        <v>657</v>
      </c>
      <c r="Q134">
        <v>1</v>
      </c>
      <c r="X134">
        <v>0.02</v>
      </c>
      <c r="Y134">
        <v>94.64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3</v>
      </c>
      <c r="AG134">
        <v>0.02</v>
      </c>
      <c r="AH134">
        <v>3</v>
      </c>
      <c r="AI134">
        <v>-1</v>
      </c>
      <c r="AJ134" t="s">
        <v>3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ROW(Source!A247)</f>
        <v>247</v>
      </c>
      <c r="B135">
        <v>1474096682</v>
      </c>
      <c r="C135">
        <v>1472039769</v>
      </c>
      <c r="D135">
        <v>1441819193</v>
      </c>
      <c r="E135">
        <v>15514512</v>
      </c>
      <c r="F135">
        <v>1</v>
      </c>
      <c r="G135">
        <v>15514512</v>
      </c>
      <c r="H135">
        <v>1</v>
      </c>
      <c r="I135" t="s">
        <v>648</v>
      </c>
      <c r="J135" t="s">
        <v>3</v>
      </c>
      <c r="K135" t="s">
        <v>649</v>
      </c>
      <c r="L135">
        <v>1191</v>
      </c>
      <c r="N135">
        <v>1013</v>
      </c>
      <c r="O135" t="s">
        <v>650</v>
      </c>
      <c r="P135" t="s">
        <v>650</v>
      </c>
      <c r="Q135">
        <v>1</v>
      </c>
      <c r="X135">
        <v>3.44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1</v>
      </c>
      <c r="AF135" t="s">
        <v>3</v>
      </c>
      <c r="AG135">
        <v>3.44</v>
      </c>
      <c r="AH135">
        <v>3</v>
      </c>
      <c r="AI135">
        <v>-1</v>
      </c>
      <c r="AJ135" t="s">
        <v>3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ROW(Source!A247)</f>
        <v>247</v>
      </c>
      <c r="B136">
        <v>1474096683</v>
      </c>
      <c r="C136">
        <v>1472039769</v>
      </c>
      <c r="D136">
        <v>1441833845</v>
      </c>
      <c r="E136">
        <v>1</v>
      </c>
      <c r="F136">
        <v>1</v>
      </c>
      <c r="G136">
        <v>15514512</v>
      </c>
      <c r="H136">
        <v>2</v>
      </c>
      <c r="I136" t="s">
        <v>708</v>
      </c>
      <c r="J136" t="s">
        <v>709</v>
      </c>
      <c r="K136" t="s">
        <v>710</v>
      </c>
      <c r="L136">
        <v>1368</v>
      </c>
      <c r="N136">
        <v>1011</v>
      </c>
      <c r="O136" t="s">
        <v>603</v>
      </c>
      <c r="P136" t="s">
        <v>603</v>
      </c>
      <c r="Q136">
        <v>1</v>
      </c>
      <c r="X136">
        <v>1.31</v>
      </c>
      <c r="Y136">
        <v>0</v>
      </c>
      <c r="Z136">
        <v>17.95</v>
      </c>
      <c r="AA136">
        <v>0.05</v>
      </c>
      <c r="AB136">
        <v>0</v>
      </c>
      <c r="AC136">
        <v>0</v>
      </c>
      <c r="AD136">
        <v>1</v>
      </c>
      <c r="AE136">
        <v>0</v>
      </c>
      <c r="AF136" t="s">
        <v>3</v>
      </c>
      <c r="AG136">
        <v>1.31</v>
      </c>
      <c r="AH136">
        <v>3</v>
      </c>
      <c r="AI136">
        <v>-1</v>
      </c>
      <c r="AJ136" t="s">
        <v>3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ROW(Source!A247)</f>
        <v>247</v>
      </c>
      <c r="B137">
        <v>1474096684</v>
      </c>
      <c r="C137">
        <v>1472039769</v>
      </c>
      <c r="D137">
        <v>1441836514</v>
      </c>
      <c r="E137">
        <v>1</v>
      </c>
      <c r="F137">
        <v>1</v>
      </c>
      <c r="G137">
        <v>15514512</v>
      </c>
      <c r="H137">
        <v>3</v>
      </c>
      <c r="I137" t="s">
        <v>676</v>
      </c>
      <c r="J137" t="s">
        <v>677</v>
      </c>
      <c r="K137" t="s">
        <v>678</v>
      </c>
      <c r="L137">
        <v>1339</v>
      </c>
      <c r="N137">
        <v>1007</v>
      </c>
      <c r="O137" t="s">
        <v>679</v>
      </c>
      <c r="P137" t="s">
        <v>679</v>
      </c>
      <c r="Q137">
        <v>1</v>
      </c>
      <c r="X137">
        <v>3.7</v>
      </c>
      <c r="Y137">
        <v>54.81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0</v>
      </c>
      <c r="AF137" t="s">
        <v>3</v>
      </c>
      <c r="AG137">
        <v>3.7</v>
      </c>
      <c r="AH137">
        <v>3</v>
      </c>
      <c r="AI137">
        <v>-1</v>
      </c>
      <c r="AJ137" t="s">
        <v>3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ROW(Source!A249)</f>
        <v>249</v>
      </c>
      <c r="B138">
        <v>1474096685</v>
      </c>
      <c r="C138">
        <v>1472039780</v>
      </c>
      <c r="D138">
        <v>1441819193</v>
      </c>
      <c r="E138">
        <v>15514512</v>
      </c>
      <c r="F138">
        <v>1</v>
      </c>
      <c r="G138">
        <v>15514512</v>
      </c>
      <c r="H138">
        <v>1</v>
      </c>
      <c r="I138" t="s">
        <v>648</v>
      </c>
      <c r="J138" t="s">
        <v>3</v>
      </c>
      <c r="K138" t="s">
        <v>649</v>
      </c>
      <c r="L138">
        <v>1191</v>
      </c>
      <c r="N138">
        <v>1013</v>
      </c>
      <c r="O138" t="s">
        <v>650</v>
      </c>
      <c r="P138" t="s">
        <v>650</v>
      </c>
      <c r="Q138">
        <v>1</v>
      </c>
      <c r="X138">
        <v>0.9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1</v>
      </c>
      <c r="AF138" t="s">
        <v>22</v>
      </c>
      <c r="AG138">
        <v>3.6</v>
      </c>
      <c r="AH138">
        <v>3</v>
      </c>
      <c r="AI138">
        <v>-1</v>
      </c>
      <c r="AJ138" t="s">
        <v>3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ROW(Source!A250)</f>
        <v>250</v>
      </c>
      <c r="B139">
        <v>1474096686</v>
      </c>
      <c r="C139">
        <v>1472039784</v>
      </c>
      <c r="D139">
        <v>1441819193</v>
      </c>
      <c r="E139">
        <v>15514512</v>
      </c>
      <c r="F139">
        <v>1</v>
      </c>
      <c r="G139">
        <v>15514512</v>
      </c>
      <c r="H139">
        <v>1</v>
      </c>
      <c r="I139" t="s">
        <v>648</v>
      </c>
      <c r="J139" t="s">
        <v>3</v>
      </c>
      <c r="K139" t="s">
        <v>649</v>
      </c>
      <c r="L139">
        <v>1191</v>
      </c>
      <c r="N139">
        <v>1013</v>
      </c>
      <c r="O139" t="s">
        <v>650</v>
      </c>
      <c r="P139" t="s">
        <v>650</v>
      </c>
      <c r="Q139">
        <v>1</v>
      </c>
      <c r="X139">
        <v>2.64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1</v>
      </c>
      <c r="AF139" t="s">
        <v>22</v>
      </c>
      <c r="AG139">
        <v>10.56</v>
      </c>
      <c r="AH139">
        <v>3</v>
      </c>
      <c r="AI139">
        <v>-1</v>
      </c>
      <c r="AJ139" t="s">
        <v>3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ROW(Source!A251)</f>
        <v>251</v>
      </c>
      <c r="B140">
        <v>1474096687</v>
      </c>
      <c r="C140">
        <v>1472039788</v>
      </c>
      <c r="D140">
        <v>1441819193</v>
      </c>
      <c r="E140">
        <v>15514512</v>
      </c>
      <c r="F140">
        <v>1</v>
      </c>
      <c r="G140">
        <v>15514512</v>
      </c>
      <c r="H140">
        <v>1</v>
      </c>
      <c r="I140" t="s">
        <v>648</v>
      </c>
      <c r="J140" t="s">
        <v>3</v>
      </c>
      <c r="K140" t="s">
        <v>649</v>
      </c>
      <c r="L140">
        <v>1191</v>
      </c>
      <c r="N140">
        <v>1013</v>
      </c>
      <c r="O140" t="s">
        <v>650</v>
      </c>
      <c r="P140" t="s">
        <v>650</v>
      </c>
      <c r="Q140">
        <v>1</v>
      </c>
      <c r="X140">
        <v>10.64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1</v>
      </c>
      <c r="AF140" t="s">
        <v>3</v>
      </c>
      <c r="AG140">
        <v>10.64</v>
      </c>
      <c r="AH140">
        <v>3</v>
      </c>
      <c r="AI140">
        <v>-1</v>
      </c>
      <c r="AJ140" t="s">
        <v>3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ROW(Source!A251)</f>
        <v>251</v>
      </c>
      <c r="B141">
        <v>1474096688</v>
      </c>
      <c r="C141">
        <v>1472039788</v>
      </c>
      <c r="D141">
        <v>1441833890</v>
      </c>
      <c r="E141">
        <v>1</v>
      </c>
      <c r="F141">
        <v>1</v>
      </c>
      <c r="G141">
        <v>15514512</v>
      </c>
      <c r="H141">
        <v>2</v>
      </c>
      <c r="I141" t="s">
        <v>697</v>
      </c>
      <c r="J141" t="s">
        <v>698</v>
      </c>
      <c r="K141" t="s">
        <v>699</v>
      </c>
      <c r="L141">
        <v>1368</v>
      </c>
      <c r="N141">
        <v>1011</v>
      </c>
      <c r="O141" t="s">
        <v>603</v>
      </c>
      <c r="P141" t="s">
        <v>603</v>
      </c>
      <c r="Q141">
        <v>1</v>
      </c>
      <c r="X141">
        <v>1.5</v>
      </c>
      <c r="Y141">
        <v>0</v>
      </c>
      <c r="Z141">
        <v>33.799999999999997</v>
      </c>
      <c r="AA141">
        <v>0.54</v>
      </c>
      <c r="AB141">
        <v>0</v>
      </c>
      <c r="AC141">
        <v>0</v>
      </c>
      <c r="AD141">
        <v>1</v>
      </c>
      <c r="AE141">
        <v>0</v>
      </c>
      <c r="AF141" t="s">
        <v>3</v>
      </c>
      <c r="AG141">
        <v>1.5</v>
      </c>
      <c r="AH141">
        <v>3</v>
      </c>
      <c r="AI141">
        <v>-1</v>
      </c>
      <c r="AJ141" t="s">
        <v>3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ROW(Source!A251)</f>
        <v>251</v>
      </c>
      <c r="B142">
        <v>1474096689</v>
      </c>
      <c r="C142">
        <v>1472039788</v>
      </c>
      <c r="D142">
        <v>1441836514</v>
      </c>
      <c r="E142">
        <v>1</v>
      </c>
      <c r="F142">
        <v>1</v>
      </c>
      <c r="G142">
        <v>15514512</v>
      </c>
      <c r="H142">
        <v>3</v>
      </c>
      <c r="I142" t="s">
        <v>676</v>
      </c>
      <c r="J142" t="s">
        <v>677</v>
      </c>
      <c r="K142" t="s">
        <v>678</v>
      </c>
      <c r="L142">
        <v>1339</v>
      </c>
      <c r="N142">
        <v>1007</v>
      </c>
      <c r="O142" t="s">
        <v>679</v>
      </c>
      <c r="P142" t="s">
        <v>679</v>
      </c>
      <c r="Q142">
        <v>1</v>
      </c>
      <c r="X142">
        <v>3.8</v>
      </c>
      <c r="Y142">
        <v>54.81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3</v>
      </c>
      <c r="AG142">
        <v>3.8</v>
      </c>
      <c r="AH142">
        <v>3</v>
      </c>
      <c r="AI142">
        <v>-1</v>
      </c>
      <c r="AJ142" t="s">
        <v>3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ROW(Source!A251)</f>
        <v>251</v>
      </c>
      <c r="B143">
        <v>1474096690</v>
      </c>
      <c r="C143">
        <v>1472039788</v>
      </c>
      <c r="D143">
        <v>1441836517</v>
      </c>
      <c r="E143">
        <v>1</v>
      </c>
      <c r="F143">
        <v>1</v>
      </c>
      <c r="G143">
        <v>15514512</v>
      </c>
      <c r="H143">
        <v>3</v>
      </c>
      <c r="I143" t="s">
        <v>700</v>
      </c>
      <c r="J143" t="s">
        <v>701</v>
      </c>
      <c r="K143" t="s">
        <v>702</v>
      </c>
      <c r="L143">
        <v>1346</v>
      </c>
      <c r="N143">
        <v>1009</v>
      </c>
      <c r="O143" t="s">
        <v>657</v>
      </c>
      <c r="P143" t="s">
        <v>657</v>
      </c>
      <c r="Q143">
        <v>1</v>
      </c>
      <c r="X143">
        <v>0.02</v>
      </c>
      <c r="Y143">
        <v>451.28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3</v>
      </c>
      <c r="AG143">
        <v>0.02</v>
      </c>
      <c r="AH143">
        <v>3</v>
      </c>
      <c r="AI143">
        <v>-1</v>
      </c>
      <c r="AJ143" t="s">
        <v>3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ROW(Source!A251)</f>
        <v>251</v>
      </c>
      <c r="B144">
        <v>1474096692</v>
      </c>
      <c r="C144">
        <v>1472039788</v>
      </c>
      <c r="D144">
        <v>1441821379</v>
      </c>
      <c r="E144">
        <v>15514512</v>
      </c>
      <c r="F144">
        <v>1</v>
      </c>
      <c r="G144">
        <v>15514512</v>
      </c>
      <c r="H144">
        <v>3</v>
      </c>
      <c r="I144" t="s">
        <v>703</v>
      </c>
      <c r="J144" t="s">
        <v>3</v>
      </c>
      <c r="K144" t="s">
        <v>704</v>
      </c>
      <c r="L144">
        <v>1346</v>
      </c>
      <c r="N144">
        <v>1009</v>
      </c>
      <c r="O144" t="s">
        <v>657</v>
      </c>
      <c r="P144" t="s">
        <v>657</v>
      </c>
      <c r="Q144">
        <v>1</v>
      </c>
      <c r="X144">
        <v>0.05</v>
      </c>
      <c r="Y144">
        <v>89.933959999999999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0</v>
      </c>
      <c r="AF144" t="s">
        <v>3</v>
      </c>
      <c r="AG144">
        <v>0.05</v>
      </c>
      <c r="AH144">
        <v>3</v>
      </c>
      <c r="AI144">
        <v>-1</v>
      </c>
      <c r="AJ144" t="s">
        <v>3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ROW(Source!A251)</f>
        <v>251</v>
      </c>
      <c r="B145">
        <v>1474096691</v>
      </c>
      <c r="C145">
        <v>1472039788</v>
      </c>
      <c r="D145">
        <v>1441834875</v>
      </c>
      <c r="E145">
        <v>1</v>
      </c>
      <c r="F145">
        <v>1</v>
      </c>
      <c r="G145">
        <v>15514512</v>
      </c>
      <c r="H145">
        <v>3</v>
      </c>
      <c r="I145" t="s">
        <v>705</v>
      </c>
      <c r="J145" t="s">
        <v>706</v>
      </c>
      <c r="K145" t="s">
        <v>707</v>
      </c>
      <c r="L145">
        <v>1346</v>
      </c>
      <c r="N145">
        <v>1009</v>
      </c>
      <c r="O145" t="s">
        <v>657</v>
      </c>
      <c r="P145" t="s">
        <v>657</v>
      </c>
      <c r="Q145">
        <v>1</v>
      </c>
      <c r="X145">
        <v>0.02</v>
      </c>
      <c r="Y145">
        <v>94.64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3</v>
      </c>
      <c r="AG145">
        <v>0.02</v>
      </c>
      <c r="AH145">
        <v>3</v>
      </c>
      <c r="AI145">
        <v>-1</v>
      </c>
      <c r="AJ145" t="s">
        <v>3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ROW(Source!A252)</f>
        <v>252</v>
      </c>
      <c r="B146">
        <v>1474096693</v>
      </c>
      <c r="C146">
        <v>1472039795</v>
      </c>
      <c r="D146">
        <v>1441819193</v>
      </c>
      <c r="E146">
        <v>15514512</v>
      </c>
      <c r="F146">
        <v>1</v>
      </c>
      <c r="G146">
        <v>15514512</v>
      </c>
      <c r="H146">
        <v>1</v>
      </c>
      <c r="I146" t="s">
        <v>648</v>
      </c>
      <c r="J146" t="s">
        <v>3</v>
      </c>
      <c r="K146" t="s">
        <v>649</v>
      </c>
      <c r="L146">
        <v>1191</v>
      </c>
      <c r="N146">
        <v>1013</v>
      </c>
      <c r="O146" t="s">
        <v>650</v>
      </c>
      <c r="P146" t="s">
        <v>650</v>
      </c>
      <c r="Q146">
        <v>1</v>
      </c>
      <c r="X146">
        <v>3.44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1</v>
      </c>
      <c r="AF146" t="s">
        <v>3</v>
      </c>
      <c r="AG146">
        <v>3.44</v>
      </c>
      <c r="AH146">
        <v>3</v>
      </c>
      <c r="AI146">
        <v>-1</v>
      </c>
      <c r="AJ146" t="s">
        <v>3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ROW(Source!A252)</f>
        <v>252</v>
      </c>
      <c r="B147">
        <v>1474096694</v>
      </c>
      <c r="C147">
        <v>1472039795</v>
      </c>
      <c r="D147">
        <v>1441833845</v>
      </c>
      <c r="E147">
        <v>1</v>
      </c>
      <c r="F147">
        <v>1</v>
      </c>
      <c r="G147">
        <v>15514512</v>
      </c>
      <c r="H147">
        <v>2</v>
      </c>
      <c r="I147" t="s">
        <v>708</v>
      </c>
      <c r="J147" t="s">
        <v>709</v>
      </c>
      <c r="K147" t="s">
        <v>710</v>
      </c>
      <c r="L147">
        <v>1368</v>
      </c>
      <c r="N147">
        <v>1011</v>
      </c>
      <c r="O147" t="s">
        <v>603</v>
      </c>
      <c r="P147" t="s">
        <v>603</v>
      </c>
      <c r="Q147">
        <v>1</v>
      </c>
      <c r="X147">
        <v>1.31</v>
      </c>
      <c r="Y147">
        <v>0</v>
      </c>
      <c r="Z147">
        <v>17.95</v>
      </c>
      <c r="AA147">
        <v>0.05</v>
      </c>
      <c r="AB147">
        <v>0</v>
      </c>
      <c r="AC147">
        <v>0</v>
      </c>
      <c r="AD147">
        <v>1</v>
      </c>
      <c r="AE147">
        <v>0</v>
      </c>
      <c r="AF147" t="s">
        <v>3</v>
      </c>
      <c r="AG147">
        <v>1.31</v>
      </c>
      <c r="AH147">
        <v>3</v>
      </c>
      <c r="AI147">
        <v>-1</v>
      </c>
      <c r="AJ147" t="s">
        <v>3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ROW(Source!A252)</f>
        <v>252</v>
      </c>
      <c r="B148">
        <v>1474096695</v>
      </c>
      <c r="C148">
        <v>1472039795</v>
      </c>
      <c r="D148">
        <v>1441836514</v>
      </c>
      <c r="E148">
        <v>1</v>
      </c>
      <c r="F148">
        <v>1</v>
      </c>
      <c r="G148">
        <v>15514512</v>
      </c>
      <c r="H148">
        <v>3</v>
      </c>
      <c r="I148" t="s">
        <v>676</v>
      </c>
      <c r="J148" t="s">
        <v>677</v>
      </c>
      <c r="K148" t="s">
        <v>678</v>
      </c>
      <c r="L148">
        <v>1339</v>
      </c>
      <c r="N148">
        <v>1007</v>
      </c>
      <c r="O148" t="s">
        <v>679</v>
      </c>
      <c r="P148" t="s">
        <v>679</v>
      </c>
      <c r="Q148">
        <v>1</v>
      </c>
      <c r="X148">
        <v>3.7</v>
      </c>
      <c r="Y148">
        <v>54.81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0</v>
      </c>
      <c r="AF148" t="s">
        <v>3</v>
      </c>
      <c r="AG148">
        <v>3.7</v>
      </c>
      <c r="AH148">
        <v>3</v>
      </c>
      <c r="AI148">
        <v>-1</v>
      </c>
      <c r="AJ148" t="s">
        <v>3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ROW(Source!A289)</f>
        <v>289</v>
      </c>
      <c r="B149">
        <v>1474096696</v>
      </c>
      <c r="C149">
        <v>1472039806</v>
      </c>
      <c r="D149">
        <v>1441819193</v>
      </c>
      <c r="E149">
        <v>15514512</v>
      </c>
      <c r="F149">
        <v>1</v>
      </c>
      <c r="G149">
        <v>15514512</v>
      </c>
      <c r="H149">
        <v>1</v>
      </c>
      <c r="I149" t="s">
        <v>648</v>
      </c>
      <c r="J149" t="s">
        <v>3</v>
      </c>
      <c r="K149" t="s">
        <v>649</v>
      </c>
      <c r="L149">
        <v>1191</v>
      </c>
      <c r="N149">
        <v>1013</v>
      </c>
      <c r="O149" t="s">
        <v>650</v>
      </c>
      <c r="P149" t="s">
        <v>650</v>
      </c>
      <c r="Q149">
        <v>1</v>
      </c>
      <c r="X149">
        <v>1.8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1</v>
      </c>
      <c r="AF149" t="s">
        <v>164</v>
      </c>
      <c r="AG149">
        <v>3.6</v>
      </c>
      <c r="AH149">
        <v>3</v>
      </c>
      <c r="AI149">
        <v>-1</v>
      </c>
      <c r="AJ149" t="s">
        <v>3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ROW(Source!A289)</f>
        <v>289</v>
      </c>
      <c r="B150">
        <v>1474096697</v>
      </c>
      <c r="C150">
        <v>1472039806</v>
      </c>
      <c r="D150">
        <v>1441836187</v>
      </c>
      <c r="E150">
        <v>1</v>
      </c>
      <c r="F150">
        <v>1</v>
      </c>
      <c r="G150">
        <v>15514512</v>
      </c>
      <c r="H150">
        <v>3</v>
      </c>
      <c r="I150" t="s">
        <v>692</v>
      </c>
      <c r="J150" t="s">
        <v>693</v>
      </c>
      <c r="K150" t="s">
        <v>694</v>
      </c>
      <c r="L150">
        <v>1346</v>
      </c>
      <c r="N150">
        <v>1009</v>
      </c>
      <c r="O150" t="s">
        <v>657</v>
      </c>
      <c r="P150" t="s">
        <v>657</v>
      </c>
      <c r="Q150">
        <v>1</v>
      </c>
      <c r="X150">
        <v>8.0000000000000002E-3</v>
      </c>
      <c r="Y150">
        <v>424.66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0</v>
      </c>
      <c r="AF150" t="s">
        <v>164</v>
      </c>
      <c r="AG150">
        <v>1.6E-2</v>
      </c>
      <c r="AH150">
        <v>3</v>
      </c>
      <c r="AI150">
        <v>-1</v>
      </c>
      <c r="AJ150" t="s">
        <v>3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ROW(Source!A289)</f>
        <v>289</v>
      </c>
      <c r="B151">
        <v>1474096698</v>
      </c>
      <c r="C151">
        <v>1472039806</v>
      </c>
      <c r="D151">
        <v>1441836235</v>
      </c>
      <c r="E151">
        <v>1</v>
      </c>
      <c r="F151">
        <v>1</v>
      </c>
      <c r="G151">
        <v>15514512</v>
      </c>
      <c r="H151">
        <v>3</v>
      </c>
      <c r="I151" t="s">
        <v>683</v>
      </c>
      <c r="J151" t="s">
        <v>684</v>
      </c>
      <c r="K151" t="s">
        <v>685</v>
      </c>
      <c r="L151">
        <v>1346</v>
      </c>
      <c r="N151">
        <v>1009</v>
      </c>
      <c r="O151" t="s">
        <v>657</v>
      </c>
      <c r="P151" t="s">
        <v>657</v>
      </c>
      <c r="Q151">
        <v>1</v>
      </c>
      <c r="X151">
        <v>0.5</v>
      </c>
      <c r="Y151">
        <v>31.49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0</v>
      </c>
      <c r="AF151" t="s">
        <v>164</v>
      </c>
      <c r="AG151">
        <v>1</v>
      </c>
      <c r="AH151">
        <v>3</v>
      </c>
      <c r="AI151">
        <v>-1</v>
      </c>
      <c r="AJ151" t="s">
        <v>3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ROW(Source!A290)</f>
        <v>290</v>
      </c>
      <c r="B152">
        <v>1474096699</v>
      </c>
      <c r="C152">
        <v>1472039816</v>
      </c>
      <c r="D152">
        <v>1441819193</v>
      </c>
      <c r="E152">
        <v>15514512</v>
      </c>
      <c r="F152">
        <v>1</v>
      </c>
      <c r="G152">
        <v>15514512</v>
      </c>
      <c r="H152">
        <v>1</v>
      </c>
      <c r="I152" t="s">
        <v>648</v>
      </c>
      <c r="J152" t="s">
        <v>3</v>
      </c>
      <c r="K152" t="s">
        <v>649</v>
      </c>
      <c r="L152">
        <v>1191</v>
      </c>
      <c r="N152">
        <v>1013</v>
      </c>
      <c r="O152" t="s">
        <v>650</v>
      </c>
      <c r="P152" t="s">
        <v>650</v>
      </c>
      <c r="Q152">
        <v>1</v>
      </c>
      <c r="X152">
        <v>1.33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1</v>
      </c>
      <c r="AF152" t="s">
        <v>164</v>
      </c>
      <c r="AG152">
        <v>2.66</v>
      </c>
      <c r="AH152">
        <v>3</v>
      </c>
      <c r="AI152">
        <v>-1</v>
      </c>
      <c r="AJ152" t="s">
        <v>3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ROW(Source!A291)</f>
        <v>291</v>
      </c>
      <c r="B153">
        <v>1474096700</v>
      </c>
      <c r="C153">
        <v>1472039820</v>
      </c>
      <c r="D153">
        <v>1441819193</v>
      </c>
      <c r="E153">
        <v>15514512</v>
      </c>
      <c r="F153">
        <v>1</v>
      </c>
      <c r="G153">
        <v>15514512</v>
      </c>
      <c r="H153">
        <v>1</v>
      </c>
      <c r="I153" t="s">
        <v>648</v>
      </c>
      <c r="J153" t="s">
        <v>3</v>
      </c>
      <c r="K153" t="s">
        <v>649</v>
      </c>
      <c r="L153">
        <v>1191</v>
      </c>
      <c r="N153">
        <v>1013</v>
      </c>
      <c r="O153" t="s">
        <v>650</v>
      </c>
      <c r="P153" t="s">
        <v>650</v>
      </c>
      <c r="Q153">
        <v>1</v>
      </c>
      <c r="X153">
        <v>1.8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1</v>
      </c>
      <c r="AF153" t="s">
        <v>164</v>
      </c>
      <c r="AG153">
        <v>3.6</v>
      </c>
      <c r="AH153">
        <v>3</v>
      </c>
      <c r="AI153">
        <v>-1</v>
      </c>
      <c r="AJ153" t="s">
        <v>3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ROW(Source!A291)</f>
        <v>291</v>
      </c>
      <c r="B154">
        <v>1474096701</v>
      </c>
      <c r="C154">
        <v>1472039820</v>
      </c>
      <c r="D154">
        <v>1441836187</v>
      </c>
      <c r="E154">
        <v>1</v>
      </c>
      <c r="F154">
        <v>1</v>
      </c>
      <c r="G154">
        <v>15514512</v>
      </c>
      <c r="H154">
        <v>3</v>
      </c>
      <c r="I154" t="s">
        <v>692</v>
      </c>
      <c r="J154" t="s">
        <v>693</v>
      </c>
      <c r="K154" t="s">
        <v>694</v>
      </c>
      <c r="L154">
        <v>1346</v>
      </c>
      <c r="N154">
        <v>1009</v>
      </c>
      <c r="O154" t="s">
        <v>657</v>
      </c>
      <c r="P154" t="s">
        <v>657</v>
      </c>
      <c r="Q154">
        <v>1</v>
      </c>
      <c r="X154">
        <v>8.0000000000000002E-3</v>
      </c>
      <c r="Y154">
        <v>424.66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164</v>
      </c>
      <c r="AG154">
        <v>1.6E-2</v>
      </c>
      <c r="AH154">
        <v>3</v>
      </c>
      <c r="AI154">
        <v>-1</v>
      </c>
      <c r="AJ154" t="s">
        <v>3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ROW(Source!A291)</f>
        <v>291</v>
      </c>
      <c r="B155">
        <v>1474096702</v>
      </c>
      <c r="C155">
        <v>1472039820</v>
      </c>
      <c r="D155">
        <v>1441836235</v>
      </c>
      <c r="E155">
        <v>1</v>
      </c>
      <c r="F155">
        <v>1</v>
      </c>
      <c r="G155">
        <v>15514512</v>
      </c>
      <c r="H155">
        <v>3</v>
      </c>
      <c r="I155" t="s">
        <v>683</v>
      </c>
      <c r="J155" t="s">
        <v>684</v>
      </c>
      <c r="K155" t="s">
        <v>685</v>
      </c>
      <c r="L155">
        <v>1346</v>
      </c>
      <c r="N155">
        <v>1009</v>
      </c>
      <c r="O155" t="s">
        <v>657</v>
      </c>
      <c r="P155" t="s">
        <v>657</v>
      </c>
      <c r="Q155">
        <v>1</v>
      </c>
      <c r="X155">
        <v>0.5</v>
      </c>
      <c r="Y155">
        <v>31.49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164</v>
      </c>
      <c r="AG155">
        <v>1</v>
      </c>
      <c r="AH155">
        <v>3</v>
      </c>
      <c r="AI155">
        <v>-1</v>
      </c>
      <c r="AJ155" t="s">
        <v>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ROW(Source!A292)</f>
        <v>292</v>
      </c>
      <c r="B156">
        <v>1474096703</v>
      </c>
      <c r="C156">
        <v>1472039830</v>
      </c>
      <c r="D156">
        <v>1441819193</v>
      </c>
      <c r="E156">
        <v>15514512</v>
      </c>
      <c r="F156">
        <v>1</v>
      </c>
      <c r="G156">
        <v>15514512</v>
      </c>
      <c r="H156">
        <v>1</v>
      </c>
      <c r="I156" t="s">
        <v>648</v>
      </c>
      <c r="J156" t="s">
        <v>3</v>
      </c>
      <c r="K156" t="s">
        <v>649</v>
      </c>
      <c r="L156">
        <v>1191</v>
      </c>
      <c r="N156">
        <v>1013</v>
      </c>
      <c r="O156" t="s">
        <v>650</v>
      </c>
      <c r="P156" t="s">
        <v>650</v>
      </c>
      <c r="Q156">
        <v>1</v>
      </c>
      <c r="X156">
        <v>0.47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1</v>
      </c>
      <c r="AF156" t="s">
        <v>164</v>
      </c>
      <c r="AG156">
        <v>0.94</v>
      </c>
      <c r="AH156">
        <v>3</v>
      </c>
      <c r="AI156">
        <v>-1</v>
      </c>
      <c r="AJ156" t="s">
        <v>3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ROW(Source!A292)</f>
        <v>292</v>
      </c>
      <c r="B157">
        <v>1474096704</v>
      </c>
      <c r="C157">
        <v>1472039830</v>
      </c>
      <c r="D157">
        <v>1441836187</v>
      </c>
      <c r="E157">
        <v>1</v>
      </c>
      <c r="F157">
        <v>1</v>
      </c>
      <c r="G157">
        <v>15514512</v>
      </c>
      <c r="H157">
        <v>3</v>
      </c>
      <c r="I157" t="s">
        <v>692</v>
      </c>
      <c r="J157" t="s">
        <v>693</v>
      </c>
      <c r="K157" t="s">
        <v>694</v>
      </c>
      <c r="L157">
        <v>1346</v>
      </c>
      <c r="N157">
        <v>1009</v>
      </c>
      <c r="O157" t="s">
        <v>657</v>
      </c>
      <c r="P157" t="s">
        <v>657</v>
      </c>
      <c r="Q157">
        <v>1</v>
      </c>
      <c r="X157">
        <v>8.0000000000000002E-3</v>
      </c>
      <c r="Y157">
        <v>424.66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0</v>
      </c>
      <c r="AF157" t="s">
        <v>164</v>
      </c>
      <c r="AG157">
        <v>1.6E-2</v>
      </c>
      <c r="AH157">
        <v>3</v>
      </c>
      <c r="AI157">
        <v>-1</v>
      </c>
      <c r="AJ157" t="s">
        <v>3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ROW(Source!A292)</f>
        <v>292</v>
      </c>
      <c r="B158">
        <v>1474096705</v>
      </c>
      <c r="C158">
        <v>1472039830</v>
      </c>
      <c r="D158">
        <v>1441836235</v>
      </c>
      <c r="E158">
        <v>1</v>
      </c>
      <c r="F158">
        <v>1</v>
      </c>
      <c r="G158">
        <v>15514512</v>
      </c>
      <c r="H158">
        <v>3</v>
      </c>
      <c r="I158" t="s">
        <v>683</v>
      </c>
      <c r="J158" t="s">
        <v>684</v>
      </c>
      <c r="K158" t="s">
        <v>685</v>
      </c>
      <c r="L158">
        <v>1346</v>
      </c>
      <c r="N158">
        <v>1009</v>
      </c>
      <c r="O158" t="s">
        <v>657</v>
      </c>
      <c r="P158" t="s">
        <v>657</v>
      </c>
      <c r="Q158">
        <v>1</v>
      </c>
      <c r="X158">
        <v>0.5</v>
      </c>
      <c r="Y158">
        <v>31.49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0</v>
      </c>
      <c r="AF158" t="s">
        <v>164</v>
      </c>
      <c r="AG158">
        <v>1</v>
      </c>
      <c r="AH158">
        <v>3</v>
      </c>
      <c r="AI158">
        <v>-1</v>
      </c>
      <c r="AJ158" t="s">
        <v>3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ROW(Source!A292)</f>
        <v>292</v>
      </c>
      <c r="B159">
        <v>1474096706</v>
      </c>
      <c r="C159">
        <v>1472039830</v>
      </c>
      <c r="D159">
        <v>1441834642</v>
      </c>
      <c r="E159">
        <v>1</v>
      </c>
      <c r="F159">
        <v>1</v>
      </c>
      <c r="G159">
        <v>15514512</v>
      </c>
      <c r="H159">
        <v>3</v>
      </c>
      <c r="I159" t="s">
        <v>711</v>
      </c>
      <c r="J159" t="s">
        <v>712</v>
      </c>
      <c r="K159" t="s">
        <v>713</v>
      </c>
      <c r="L159">
        <v>1296</v>
      </c>
      <c r="N159">
        <v>1002</v>
      </c>
      <c r="O159" t="s">
        <v>667</v>
      </c>
      <c r="P159" t="s">
        <v>667</v>
      </c>
      <c r="Q159">
        <v>1</v>
      </c>
      <c r="X159">
        <v>0.01</v>
      </c>
      <c r="Y159">
        <v>109.78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 t="s">
        <v>164</v>
      </c>
      <c r="AG159">
        <v>0.02</v>
      </c>
      <c r="AH159">
        <v>3</v>
      </c>
      <c r="AI159">
        <v>-1</v>
      </c>
      <c r="AJ159" t="s">
        <v>3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ROW(Source!A293)</f>
        <v>293</v>
      </c>
      <c r="B160">
        <v>1474096707</v>
      </c>
      <c r="C160">
        <v>1472039843</v>
      </c>
      <c r="D160">
        <v>1441819193</v>
      </c>
      <c r="E160">
        <v>15514512</v>
      </c>
      <c r="F160">
        <v>1</v>
      </c>
      <c r="G160">
        <v>15514512</v>
      </c>
      <c r="H160">
        <v>1</v>
      </c>
      <c r="I160" t="s">
        <v>648</v>
      </c>
      <c r="J160" t="s">
        <v>3</v>
      </c>
      <c r="K160" t="s">
        <v>649</v>
      </c>
      <c r="L160">
        <v>1191</v>
      </c>
      <c r="N160">
        <v>1013</v>
      </c>
      <c r="O160" t="s">
        <v>650</v>
      </c>
      <c r="P160" t="s">
        <v>650</v>
      </c>
      <c r="Q160">
        <v>1</v>
      </c>
      <c r="X160">
        <v>12.5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1</v>
      </c>
      <c r="AF160" t="s">
        <v>164</v>
      </c>
      <c r="AG160">
        <v>25</v>
      </c>
      <c r="AH160">
        <v>3</v>
      </c>
      <c r="AI160">
        <v>-1</v>
      </c>
      <c r="AJ160" t="s">
        <v>3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ROW(Source!A293)</f>
        <v>293</v>
      </c>
      <c r="B161">
        <v>1474096708</v>
      </c>
      <c r="C161">
        <v>1472039843</v>
      </c>
      <c r="D161">
        <v>1441836235</v>
      </c>
      <c r="E161">
        <v>1</v>
      </c>
      <c r="F161">
        <v>1</v>
      </c>
      <c r="G161">
        <v>15514512</v>
      </c>
      <c r="H161">
        <v>3</v>
      </c>
      <c r="I161" t="s">
        <v>683</v>
      </c>
      <c r="J161" t="s">
        <v>684</v>
      </c>
      <c r="K161" t="s">
        <v>685</v>
      </c>
      <c r="L161">
        <v>1346</v>
      </c>
      <c r="N161">
        <v>1009</v>
      </c>
      <c r="O161" t="s">
        <v>657</v>
      </c>
      <c r="P161" t="s">
        <v>657</v>
      </c>
      <c r="Q161">
        <v>1</v>
      </c>
      <c r="X161">
        <v>0.2</v>
      </c>
      <c r="Y161">
        <v>31.49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164</v>
      </c>
      <c r="AG161">
        <v>0.4</v>
      </c>
      <c r="AH161">
        <v>3</v>
      </c>
      <c r="AI161">
        <v>-1</v>
      </c>
      <c r="AJ161" t="s">
        <v>3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ROW(Source!A293)</f>
        <v>293</v>
      </c>
      <c r="B162">
        <v>1474096709</v>
      </c>
      <c r="C162">
        <v>1472039843</v>
      </c>
      <c r="D162">
        <v>1441834628</v>
      </c>
      <c r="E162">
        <v>1</v>
      </c>
      <c r="F162">
        <v>1</v>
      </c>
      <c r="G162">
        <v>15514512</v>
      </c>
      <c r="H162">
        <v>3</v>
      </c>
      <c r="I162" t="s">
        <v>714</v>
      </c>
      <c r="J162" t="s">
        <v>715</v>
      </c>
      <c r="K162" t="s">
        <v>716</v>
      </c>
      <c r="L162">
        <v>1348</v>
      </c>
      <c r="N162">
        <v>1009</v>
      </c>
      <c r="O162" t="s">
        <v>675</v>
      </c>
      <c r="P162" t="s">
        <v>675</v>
      </c>
      <c r="Q162">
        <v>1000</v>
      </c>
      <c r="X162">
        <v>1.4999999999999999E-4</v>
      </c>
      <c r="Y162">
        <v>73951.73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164</v>
      </c>
      <c r="AG162">
        <v>2.9999999999999997E-4</v>
      </c>
      <c r="AH162">
        <v>3</v>
      </c>
      <c r="AI162">
        <v>-1</v>
      </c>
      <c r="AJ162" t="s">
        <v>3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ROW(Source!A294)</f>
        <v>294</v>
      </c>
      <c r="B163">
        <v>1474096710</v>
      </c>
      <c r="C163">
        <v>1472039853</v>
      </c>
      <c r="D163">
        <v>1441819193</v>
      </c>
      <c r="E163">
        <v>15514512</v>
      </c>
      <c r="F163">
        <v>1</v>
      </c>
      <c r="G163">
        <v>15514512</v>
      </c>
      <c r="H163">
        <v>1</v>
      </c>
      <c r="I163" t="s">
        <v>648</v>
      </c>
      <c r="J163" t="s">
        <v>3</v>
      </c>
      <c r="K163" t="s">
        <v>649</v>
      </c>
      <c r="L163">
        <v>1191</v>
      </c>
      <c r="N163">
        <v>1013</v>
      </c>
      <c r="O163" t="s">
        <v>650</v>
      </c>
      <c r="P163" t="s">
        <v>650</v>
      </c>
      <c r="Q163">
        <v>1</v>
      </c>
      <c r="X163">
        <v>0.7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1</v>
      </c>
      <c r="AF163" t="s">
        <v>3</v>
      </c>
      <c r="AG163">
        <v>0.7</v>
      </c>
      <c r="AH163">
        <v>3</v>
      </c>
      <c r="AI163">
        <v>-1</v>
      </c>
      <c r="AJ163" t="s">
        <v>3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ROW(Source!A295)</f>
        <v>295</v>
      </c>
      <c r="B164">
        <v>1474096711</v>
      </c>
      <c r="C164">
        <v>1472039857</v>
      </c>
      <c r="D164">
        <v>1441819193</v>
      </c>
      <c r="E164">
        <v>15514512</v>
      </c>
      <c r="F164">
        <v>1</v>
      </c>
      <c r="G164">
        <v>15514512</v>
      </c>
      <c r="H164">
        <v>1</v>
      </c>
      <c r="I164" t="s">
        <v>648</v>
      </c>
      <c r="J164" t="s">
        <v>3</v>
      </c>
      <c r="K164" t="s">
        <v>649</v>
      </c>
      <c r="L164">
        <v>1191</v>
      </c>
      <c r="N164">
        <v>1013</v>
      </c>
      <c r="O164" t="s">
        <v>650</v>
      </c>
      <c r="P164" t="s">
        <v>650</v>
      </c>
      <c r="Q164">
        <v>1</v>
      </c>
      <c r="X164">
        <v>1.06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1</v>
      </c>
      <c r="AF164" t="s">
        <v>164</v>
      </c>
      <c r="AG164">
        <v>2.12</v>
      </c>
      <c r="AH164">
        <v>3</v>
      </c>
      <c r="AI164">
        <v>-1</v>
      </c>
      <c r="AJ164" t="s">
        <v>3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ROW(Source!A332)</f>
        <v>332</v>
      </c>
      <c r="B165">
        <v>1474096712</v>
      </c>
      <c r="C165">
        <v>1472039862</v>
      </c>
      <c r="D165">
        <v>1441819193</v>
      </c>
      <c r="E165">
        <v>15514512</v>
      </c>
      <c r="F165">
        <v>1</v>
      </c>
      <c r="G165">
        <v>15514512</v>
      </c>
      <c r="H165">
        <v>1</v>
      </c>
      <c r="I165" t="s">
        <v>648</v>
      </c>
      <c r="J165" t="s">
        <v>3</v>
      </c>
      <c r="K165" t="s">
        <v>649</v>
      </c>
      <c r="L165">
        <v>1191</v>
      </c>
      <c r="N165">
        <v>1013</v>
      </c>
      <c r="O165" t="s">
        <v>650</v>
      </c>
      <c r="P165" t="s">
        <v>650</v>
      </c>
      <c r="Q165">
        <v>1</v>
      </c>
      <c r="X165">
        <v>0.57999999999999996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1</v>
      </c>
      <c r="AF165" t="s">
        <v>3</v>
      </c>
      <c r="AG165">
        <v>0.57999999999999996</v>
      </c>
      <c r="AH165">
        <v>3</v>
      </c>
      <c r="AI165">
        <v>-1</v>
      </c>
      <c r="AJ165" t="s">
        <v>3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ROW(Source!A332)</f>
        <v>332</v>
      </c>
      <c r="B166">
        <v>1474096713</v>
      </c>
      <c r="C166">
        <v>1472039862</v>
      </c>
      <c r="D166">
        <v>1441833954</v>
      </c>
      <c r="E166">
        <v>1</v>
      </c>
      <c r="F166">
        <v>1</v>
      </c>
      <c r="G166">
        <v>15514512</v>
      </c>
      <c r="H166">
        <v>2</v>
      </c>
      <c r="I166" t="s">
        <v>717</v>
      </c>
      <c r="J166" t="s">
        <v>718</v>
      </c>
      <c r="K166" t="s">
        <v>719</v>
      </c>
      <c r="L166">
        <v>1368</v>
      </c>
      <c r="N166">
        <v>1011</v>
      </c>
      <c r="O166" t="s">
        <v>603</v>
      </c>
      <c r="P166" t="s">
        <v>603</v>
      </c>
      <c r="Q166">
        <v>1</v>
      </c>
      <c r="X166">
        <v>4.2500000000000003E-2</v>
      </c>
      <c r="Y166">
        <v>0</v>
      </c>
      <c r="Z166">
        <v>59.51</v>
      </c>
      <c r="AA166">
        <v>0.82</v>
      </c>
      <c r="AB166">
        <v>0</v>
      </c>
      <c r="AC166">
        <v>0</v>
      </c>
      <c r="AD166">
        <v>1</v>
      </c>
      <c r="AE166">
        <v>0</v>
      </c>
      <c r="AF166" t="s">
        <v>3</v>
      </c>
      <c r="AG166">
        <v>4.2500000000000003E-2</v>
      </c>
      <c r="AH166">
        <v>3</v>
      </c>
      <c r="AI166">
        <v>-1</v>
      </c>
      <c r="AJ166" t="s">
        <v>3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ROW(Source!A332)</f>
        <v>332</v>
      </c>
      <c r="B167">
        <v>1474096714</v>
      </c>
      <c r="C167">
        <v>1472039862</v>
      </c>
      <c r="D167">
        <v>1441836235</v>
      </c>
      <c r="E167">
        <v>1</v>
      </c>
      <c r="F167">
        <v>1</v>
      </c>
      <c r="G167">
        <v>15514512</v>
      </c>
      <c r="H167">
        <v>3</v>
      </c>
      <c r="I167" t="s">
        <v>683</v>
      </c>
      <c r="J167" t="s">
        <v>684</v>
      </c>
      <c r="K167" t="s">
        <v>685</v>
      </c>
      <c r="L167">
        <v>1346</v>
      </c>
      <c r="N167">
        <v>1009</v>
      </c>
      <c r="O167" t="s">
        <v>657</v>
      </c>
      <c r="P167" t="s">
        <v>657</v>
      </c>
      <c r="Q167">
        <v>1</v>
      </c>
      <c r="X167">
        <v>1.4999999999999999E-2</v>
      </c>
      <c r="Y167">
        <v>31.49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0</v>
      </c>
      <c r="AF167" t="s">
        <v>3</v>
      </c>
      <c r="AG167">
        <v>1.4999999999999999E-2</v>
      </c>
      <c r="AH167">
        <v>3</v>
      </c>
      <c r="AI167">
        <v>-1</v>
      </c>
      <c r="AJ167" t="s">
        <v>3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ROW(Source!A333)</f>
        <v>333</v>
      </c>
      <c r="B168">
        <v>1474096715</v>
      </c>
      <c r="C168">
        <v>1472039872</v>
      </c>
      <c r="D168">
        <v>1441819193</v>
      </c>
      <c r="E168">
        <v>15514512</v>
      </c>
      <c r="F168">
        <v>1</v>
      </c>
      <c r="G168">
        <v>15514512</v>
      </c>
      <c r="H168">
        <v>1</v>
      </c>
      <c r="I168" t="s">
        <v>648</v>
      </c>
      <c r="J168" t="s">
        <v>3</v>
      </c>
      <c r="K168" t="s">
        <v>649</v>
      </c>
      <c r="L168">
        <v>1191</v>
      </c>
      <c r="N168">
        <v>1013</v>
      </c>
      <c r="O168" t="s">
        <v>650</v>
      </c>
      <c r="P168" t="s">
        <v>650</v>
      </c>
      <c r="Q168">
        <v>1</v>
      </c>
      <c r="X168">
        <v>0.9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1</v>
      </c>
      <c r="AF168" t="s">
        <v>3</v>
      </c>
      <c r="AG168">
        <v>0.9</v>
      </c>
      <c r="AH168">
        <v>3</v>
      </c>
      <c r="AI168">
        <v>-1</v>
      </c>
      <c r="AJ168" t="s">
        <v>3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ROW(Source!A333)</f>
        <v>333</v>
      </c>
      <c r="B169">
        <v>1474096716</v>
      </c>
      <c r="C169">
        <v>1472039872</v>
      </c>
      <c r="D169">
        <v>1441833954</v>
      </c>
      <c r="E169">
        <v>1</v>
      </c>
      <c r="F169">
        <v>1</v>
      </c>
      <c r="G169">
        <v>15514512</v>
      </c>
      <c r="H169">
        <v>2</v>
      </c>
      <c r="I169" t="s">
        <v>717</v>
      </c>
      <c r="J169" t="s">
        <v>718</v>
      </c>
      <c r="K169" t="s">
        <v>719</v>
      </c>
      <c r="L169">
        <v>1368</v>
      </c>
      <c r="N169">
        <v>1011</v>
      </c>
      <c r="O169" t="s">
        <v>603</v>
      </c>
      <c r="P169" t="s">
        <v>603</v>
      </c>
      <c r="Q169">
        <v>1</v>
      </c>
      <c r="X169">
        <v>8.5000000000000006E-2</v>
      </c>
      <c r="Y169">
        <v>0</v>
      </c>
      <c r="Z169">
        <v>59.51</v>
      </c>
      <c r="AA169">
        <v>0.82</v>
      </c>
      <c r="AB169">
        <v>0</v>
      </c>
      <c r="AC169">
        <v>0</v>
      </c>
      <c r="AD169">
        <v>1</v>
      </c>
      <c r="AE169">
        <v>0</v>
      </c>
      <c r="AF169" t="s">
        <v>3</v>
      </c>
      <c r="AG169">
        <v>8.5000000000000006E-2</v>
      </c>
      <c r="AH169">
        <v>3</v>
      </c>
      <c r="AI169">
        <v>-1</v>
      </c>
      <c r="AJ169" t="s">
        <v>3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ROW(Source!A333)</f>
        <v>333</v>
      </c>
      <c r="B170">
        <v>1474096717</v>
      </c>
      <c r="C170">
        <v>1472039872</v>
      </c>
      <c r="D170">
        <v>1441836235</v>
      </c>
      <c r="E170">
        <v>1</v>
      </c>
      <c r="F170">
        <v>1</v>
      </c>
      <c r="G170">
        <v>15514512</v>
      </c>
      <c r="H170">
        <v>3</v>
      </c>
      <c r="I170" t="s">
        <v>683</v>
      </c>
      <c r="J170" t="s">
        <v>684</v>
      </c>
      <c r="K170" t="s">
        <v>685</v>
      </c>
      <c r="L170">
        <v>1346</v>
      </c>
      <c r="N170">
        <v>1009</v>
      </c>
      <c r="O170" t="s">
        <v>657</v>
      </c>
      <c r="P170" t="s">
        <v>657</v>
      </c>
      <c r="Q170">
        <v>1</v>
      </c>
      <c r="X170">
        <v>0.03</v>
      </c>
      <c r="Y170">
        <v>31.49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0</v>
      </c>
      <c r="AF170" t="s">
        <v>3</v>
      </c>
      <c r="AG170">
        <v>0.03</v>
      </c>
      <c r="AH170">
        <v>3</v>
      </c>
      <c r="AI170">
        <v>-1</v>
      </c>
      <c r="AJ170" t="s">
        <v>3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ROW(Source!A334)</f>
        <v>334</v>
      </c>
      <c r="B171">
        <v>1474096718</v>
      </c>
      <c r="C171">
        <v>1472039882</v>
      </c>
      <c r="D171">
        <v>1441819193</v>
      </c>
      <c r="E171">
        <v>15514512</v>
      </c>
      <c r="F171">
        <v>1</v>
      </c>
      <c r="G171">
        <v>15514512</v>
      </c>
      <c r="H171">
        <v>1</v>
      </c>
      <c r="I171" t="s">
        <v>648</v>
      </c>
      <c r="J171" t="s">
        <v>3</v>
      </c>
      <c r="K171" t="s">
        <v>649</v>
      </c>
      <c r="L171">
        <v>1191</v>
      </c>
      <c r="N171">
        <v>1013</v>
      </c>
      <c r="O171" t="s">
        <v>650</v>
      </c>
      <c r="P171" t="s">
        <v>650</v>
      </c>
      <c r="Q171">
        <v>1</v>
      </c>
      <c r="X171">
        <v>1.84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1</v>
      </c>
      <c r="AF171" t="s">
        <v>3</v>
      </c>
      <c r="AG171">
        <v>1.84</v>
      </c>
      <c r="AH171">
        <v>3</v>
      </c>
      <c r="AI171">
        <v>-1</v>
      </c>
      <c r="AJ171" t="s">
        <v>3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ROW(Source!A334)</f>
        <v>334</v>
      </c>
      <c r="B172">
        <v>1474096719</v>
      </c>
      <c r="C172">
        <v>1472039882</v>
      </c>
      <c r="D172">
        <v>1441833954</v>
      </c>
      <c r="E172">
        <v>1</v>
      </c>
      <c r="F172">
        <v>1</v>
      </c>
      <c r="G172">
        <v>15514512</v>
      </c>
      <c r="H172">
        <v>2</v>
      </c>
      <c r="I172" t="s">
        <v>717</v>
      </c>
      <c r="J172" t="s">
        <v>718</v>
      </c>
      <c r="K172" t="s">
        <v>719</v>
      </c>
      <c r="L172">
        <v>1368</v>
      </c>
      <c r="N172">
        <v>1011</v>
      </c>
      <c r="O172" t="s">
        <v>603</v>
      </c>
      <c r="P172" t="s">
        <v>603</v>
      </c>
      <c r="Q172">
        <v>1</v>
      </c>
      <c r="X172">
        <v>6.88E-2</v>
      </c>
      <c r="Y172">
        <v>0</v>
      </c>
      <c r="Z172">
        <v>59.51</v>
      </c>
      <c r="AA172">
        <v>0.82</v>
      </c>
      <c r="AB172">
        <v>0</v>
      </c>
      <c r="AC172">
        <v>0</v>
      </c>
      <c r="AD172">
        <v>1</v>
      </c>
      <c r="AE172">
        <v>0</v>
      </c>
      <c r="AF172" t="s">
        <v>3</v>
      </c>
      <c r="AG172">
        <v>6.88E-2</v>
      </c>
      <c r="AH172">
        <v>3</v>
      </c>
      <c r="AI172">
        <v>-1</v>
      </c>
      <c r="AJ172" t="s">
        <v>3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ROW(Source!A334)</f>
        <v>334</v>
      </c>
      <c r="B173">
        <v>1474096720</v>
      </c>
      <c r="C173">
        <v>1472039882</v>
      </c>
      <c r="D173">
        <v>1441836235</v>
      </c>
      <c r="E173">
        <v>1</v>
      </c>
      <c r="F173">
        <v>1</v>
      </c>
      <c r="G173">
        <v>15514512</v>
      </c>
      <c r="H173">
        <v>3</v>
      </c>
      <c r="I173" t="s">
        <v>683</v>
      </c>
      <c r="J173" t="s">
        <v>684</v>
      </c>
      <c r="K173" t="s">
        <v>685</v>
      </c>
      <c r="L173">
        <v>1346</v>
      </c>
      <c r="N173">
        <v>1009</v>
      </c>
      <c r="O173" t="s">
        <v>657</v>
      </c>
      <c r="P173" t="s">
        <v>657</v>
      </c>
      <c r="Q173">
        <v>1</v>
      </c>
      <c r="X173">
        <v>5.2999999999999999E-2</v>
      </c>
      <c r="Y173">
        <v>31.49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0</v>
      </c>
      <c r="AF173" t="s">
        <v>3</v>
      </c>
      <c r="AG173">
        <v>5.2999999999999999E-2</v>
      </c>
      <c r="AH173">
        <v>3</v>
      </c>
      <c r="AI173">
        <v>-1</v>
      </c>
      <c r="AJ173" t="s">
        <v>3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ROW(Source!A335)</f>
        <v>335</v>
      </c>
      <c r="B174">
        <v>1474096721</v>
      </c>
      <c r="C174">
        <v>1472039892</v>
      </c>
      <c r="D174">
        <v>1441819193</v>
      </c>
      <c r="E174">
        <v>15514512</v>
      </c>
      <c r="F174">
        <v>1</v>
      </c>
      <c r="G174">
        <v>15514512</v>
      </c>
      <c r="H174">
        <v>1</v>
      </c>
      <c r="I174" t="s">
        <v>648</v>
      </c>
      <c r="J174" t="s">
        <v>3</v>
      </c>
      <c r="K174" t="s">
        <v>649</v>
      </c>
      <c r="L174">
        <v>1191</v>
      </c>
      <c r="N174">
        <v>1013</v>
      </c>
      <c r="O174" t="s">
        <v>650</v>
      </c>
      <c r="P174" t="s">
        <v>650</v>
      </c>
      <c r="Q174">
        <v>1</v>
      </c>
      <c r="X174">
        <v>1.84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1</v>
      </c>
      <c r="AF174" t="s">
        <v>3</v>
      </c>
      <c r="AG174">
        <v>1.84</v>
      </c>
      <c r="AH174">
        <v>3</v>
      </c>
      <c r="AI174">
        <v>-1</v>
      </c>
      <c r="AJ174" t="s">
        <v>3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ROW(Source!A335)</f>
        <v>335</v>
      </c>
      <c r="B175">
        <v>1474096722</v>
      </c>
      <c r="C175">
        <v>1472039892</v>
      </c>
      <c r="D175">
        <v>1441833954</v>
      </c>
      <c r="E175">
        <v>1</v>
      </c>
      <c r="F175">
        <v>1</v>
      </c>
      <c r="G175">
        <v>15514512</v>
      </c>
      <c r="H175">
        <v>2</v>
      </c>
      <c r="I175" t="s">
        <v>717</v>
      </c>
      <c r="J175" t="s">
        <v>718</v>
      </c>
      <c r="K175" t="s">
        <v>719</v>
      </c>
      <c r="L175">
        <v>1368</v>
      </c>
      <c r="N175">
        <v>1011</v>
      </c>
      <c r="O175" t="s">
        <v>603</v>
      </c>
      <c r="P175" t="s">
        <v>603</v>
      </c>
      <c r="Q175">
        <v>1</v>
      </c>
      <c r="X175">
        <v>6.88E-2</v>
      </c>
      <c r="Y175">
        <v>0</v>
      </c>
      <c r="Z175">
        <v>59.51</v>
      </c>
      <c r="AA175">
        <v>0.82</v>
      </c>
      <c r="AB175">
        <v>0</v>
      </c>
      <c r="AC175">
        <v>0</v>
      </c>
      <c r="AD175">
        <v>1</v>
      </c>
      <c r="AE175">
        <v>0</v>
      </c>
      <c r="AF175" t="s">
        <v>3</v>
      </c>
      <c r="AG175">
        <v>6.88E-2</v>
      </c>
      <c r="AH175">
        <v>3</v>
      </c>
      <c r="AI175">
        <v>-1</v>
      </c>
      <c r="AJ175" t="s">
        <v>3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ROW(Source!A335)</f>
        <v>335</v>
      </c>
      <c r="B176">
        <v>1474096723</v>
      </c>
      <c r="C176">
        <v>1472039892</v>
      </c>
      <c r="D176">
        <v>1441836235</v>
      </c>
      <c r="E176">
        <v>1</v>
      </c>
      <c r="F176">
        <v>1</v>
      </c>
      <c r="G176">
        <v>15514512</v>
      </c>
      <c r="H176">
        <v>3</v>
      </c>
      <c r="I176" t="s">
        <v>683</v>
      </c>
      <c r="J176" t="s">
        <v>684</v>
      </c>
      <c r="K176" t="s">
        <v>685</v>
      </c>
      <c r="L176">
        <v>1346</v>
      </c>
      <c r="N176">
        <v>1009</v>
      </c>
      <c r="O176" t="s">
        <v>657</v>
      </c>
      <c r="P176" t="s">
        <v>657</v>
      </c>
      <c r="Q176">
        <v>1</v>
      </c>
      <c r="X176">
        <v>5.2999999999999999E-2</v>
      </c>
      <c r="Y176">
        <v>31.49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0</v>
      </c>
      <c r="AF176" t="s">
        <v>3</v>
      </c>
      <c r="AG176">
        <v>5.2999999999999999E-2</v>
      </c>
      <c r="AH176">
        <v>3</v>
      </c>
      <c r="AI176">
        <v>-1</v>
      </c>
      <c r="AJ176" t="s">
        <v>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ROW(Source!A336)</f>
        <v>336</v>
      </c>
      <c r="B177">
        <v>1474096724</v>
      </c>
      <c r="C177">
        <v>1472039902</v>
      </c>
      <c r="D177">
        <v>1441819193</v>
      </c>
      <c r="E177">
        <v>15514512</v>
      </c>
      <c r="F177">
        <v>1</v>
      </c>
      <c r="G177">
        <v>15514512</v>
      </c>
      <c r="H177">
        <v>1</v>
      </c>
      <c r="I177" t="s">
        <v>648</v>
      </c>
      <c r="J177" t="s">
        <v>3</v>
      </c>
      <c r="K177" t="s">
        <v>649</v>
      </c>
      <c r="L177">
        <v>1191</v>
      </c>
      <c r="N177">
        <v>1013</v>
      </c>
      <c r="O177" t="s">
        <v>650</v>
      </c>
      <c r="P177" t="s">
        <v>650</v>
      </c>
      <c r="Q177">
        <v>1</v>
      </c>
      <c r="X177">
        <v>0.2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1</v>
      </c>
      <c r="AF177" t="s">
        <v>279</v>
      </c>
      <c r="AG177">
        <v>1</v>
      </c>
      <c r="AH177">
        <v>3</v>
      </c>
      <c r="AI177">
        <v>-1</v>
      </c>
      <c r="AJ177" t="s">
        <v>3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ROW(Source!A336)</f>
        <v>336</v>
      </c>
      <c r="B178">
        <v>1474096725</v>
      </c>
      <c r="C178">
        <v>1472039902</v>
      </c>
      <c r="D178">
        <v>1441833954</v>
      </c>
      <c r="E178">
        <v>1</v>
      </c>
      <c r="F178">
        <v>1</v>
      </c>
      <c r="G178">
        <v>15514512</v>
      </c>
      <c r="H178">
        <v>2</v>
      </c>
      <c r="I178" t="s">
        <v>717</v>
      </c>
      <c r="J178" t="s">
        <v>718</v>
      </c>
      <c r="K178" t="s">
        <v>719</v>
      </c>
      <c r="L178">
        <v>1368</v>
      </c>
      <c r="N178">
        <v>1011</v>
      </c>
      <c r="O178" t="s">
        <v>603</v>
      </c>
      <c r="P178" t="s">
        <v>603</v>
      </c>
      <c r="Q178">
        <v>1</v>
      </c>
      <c r="X178">
        <v>1.24E-2</v>
      </c>
      <c r="Y178">
        <v>0</v>
      </c>
      <c r="Z178">
        <v>59.51</v>
      </c>
      <c r="AA178">
        <v>0.82</v>
      </c>
      <c r="AB178">
        <v>0</v>
      </c>
      <c r="AC178">
        <v>0</v>
      </c>
      <c r="AD178">
        <v>1</v>
      </c>
      <c r="AE178">
        <v>0</v>
      </c>
      <c r="AF178" t="s">
        <v>279</v>
      </c>
      <c r="AG178">
        <v>6.2E-2</v>
      </c>
      <c r="AH178">
        <v>3</v>
      </c>
      <c r="AI178">
        <v>-1</v>
      </c>
      <c r="AJ178" t="s">
        <v>3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ROW(Source!A336)</f>
        <v>336</v>
      </c>
      <c r="B179">
        <v>1474096726</v>
      </c>
      <c r="C179">
        <v>1472039902</v>
      </c>
      <c r="D179">
        <v>1441836235</v>
      </c>
      <c r="E179">
        <v>1</v>
      </c>
      <c r="F179">
        <v>1</v>
      </c>
      <c r="G179">
        <v>15514512</v>
      </c>
      <c r="H179">
        <v>3</v>
      </c>
      <c r="I179" t="s">
        <v>683</v>
      </c>
      <c r="J179" t="s">
        <v>684</v>
      </c>
      <c r="K179" t="s">
        <v>685</v>
      </c>
      <c r="L179">
        <v>1346</v>
      </c>
      <c r="N179">
        <v>1009</v>
      </c>
      <c r="O179" t="s">
        <v>657</v>
      </c>
      <c r="P179" t="s">
        <v>657</v>
      </c>
      <c r="Q179">
        <v>1</v>
      </c>
      <c r="X179">
        <v>0.01</v>
      </c>
      <c r="Y179">
        <v>31.49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0</v>
      </c>
      <c r="AF179" t="s">
        <v>279</v>
      </c>
      <c r="AG179">
        <v>0.05</v>
      </c>
      <c r="AH179">
        <v>3</v>
      </c>
      <c r="AI179">
        <v>-1</v>
      </c>
      <c r="AJ179" t="s">
        <v>3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ROW(Source!A337)</f>
        <v>337</v>
      </c>
      <c r="B180">
        <v>1474096727</v>
      </c>
      <c r="C180">
        <v>1472039912</v>
      </c>
      <c r="D180">
        <v>1441819193</v>
      </c>
      <c r="E180">
        <v>15514512</v>
      </c>
      <c r="F180">
        <v>1</v>
      </c>
      <c r="G180">
        <v>15514512</v>
      </c>
      <c r="H180">
        <v>1</v>
      </c>
      <c r="I180" t="s">
        <v>648</v>
      </c>
      <c r="J180" t="s">
        <v>3</v>
      </c>
      <c r="K180" t="s">
        <v>649</v>
      </c>
      <c r="L180">
        <v>1191</v>
      </c>
      <c r="N180">
        <v>1013</v>
      </c>
      <c r="O180" t="s">
        <v>650</v>
      </c>
      <c r="P180" t="s">
        <v>650</v>
      </c>
      <c r="Q180">
        <v>1</v>
      </c>
      <c r="X180">
        <v>1.59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1</v>
      </c>
      <c r="AF180" t="s">
        <v>3</v>
      </c>
      <c r="AG180">
        <v>1.59</v>
      </c>
      <c r="AH180">
        <v>3</v>
      </c>
      <c r="AI180">
        <v>-1</v>
      </c>
      <c r="AJ180" t="s">
        <v>3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ROW(Source!A337)</f>
        <v>337</v>
      </c>
      <c r="B181">
        <v>1474096728</v>
      </c>
      <c r="C181">
        <v>1472039912</v>
      </c>
      <c r="D181">
        <v>1441836235</v>
      </c>
      <c r="E181">
        <v>1</v>
      </c>
      <c r="F181">
        <v>1</v>
      </c>
      <c r="G181">
        <v>15514512</v>
      </c>
      <c r="H181">
        <v>3</v>
      </c>
      <c r="I181" t="s">
        <v>683</v>
      </c>
      <c r="J181" t="s">
        <v>684</v>
      </c>
      <c r="K181" t="s">
        <v>685</v>
      </c>
      <c r="L181">
        <v>1346</v>
      </c>
      <c r="N181">
        <v>1009</v>
      </c>
      <c r="O181" t="s">
        <v>657</v>
      </c>
      <c r="P181" t="s">
        <v>657</v>
      </c>
      <c r="Q181">
        <v>1</v>
      </c>
      <c r="X181">
        <v>0.01</v>
      </c>
      <c r="Y181">
        <v>31.49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0</v>
      </c>
      <c r="AF181" t="s">
        <v>3</v>
      </c>
      <c r="AG181">
        <v>0.01</v>
      </c>
      <c r="AH181">
        <v>3</v>
      </c>
      <c r="AI181">
        <v>-1</v>
      </c>
      <c r="AJ181" t="s">
        <v>3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ROW(Source!A338)</f>
        <v>338</v>
      </c>
      <c r="B182">
        <v>1474096729</v>
      </c>
      <c r="C182">
        <v>1472039919</v>
      </c>
      <c r="D182">
        <v>1441819193</v>
      </c>
      <c r="E182">
        <v>15514512</v>
      </c>
      <c r="F182">
        <v>1</v>
      </c>
      <c r="G182">
        <v>15514512</v>
      </c>
      <c r="H182">
        <v>1</v>
      </c>
      <c r="I182" t="s">
        <v>648</v>
      </c>
      <c r="J182" t="s">
        <v>3</v>
      </c>
      <c r="K182" t="s">
        <v>649</v>
      </c>
      <c r="L182">
        <v>1191</v>
      </c>
      <c r="N182">
        <v>1013</v>
      </c>
      <c r="O182" t="s">
        <v>650</v>
      </c>
      <c r="P182" t="s">
        <v>650</v>
      </c>
      <c r="Q182">
        <v>1</v>
      </c>
      <c r="X182">
        <v>0.14000000000000001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1</v>
      </c>
      <c r="AF182" t="s">
        <v>3</v>
      </c>
      <c r="AG182">
        <v>0.14000000000000001</v>
      </c>
      <c r="AH182">
        <v>3</v>
      </c>
      <c r="AI182">
        <v>-1</v>
      </c>
      <c r="AJ182" t="s">
        <v>3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ROW(Source!A338)</f>
        <v>338</v>
      </c>
      <c r="B183">
        <v>1474096730</v>
      </c>
      <c r="C183">
        <v>1472039919</v>
      </c>
      <c r="D183">
        <v>1441834213</v>
      </c>
      <c r="E183">
        <v>1</v>
      </c>
      <c r="F183">
        <v>1</v>
      </c>
      <c r="G183">
        <v>15514512</v>
      </c>
      <c r="H183">
        <v>2</v>
      </c>
      <c r="I183" t="s">
        <v>720</v>
      </c>
      <c r="J183" t="s">
        <v>721</v>
      </c>
      <c r="K183" t="s">
        <v>722</v>
      </c>
      <c r="L183">
        <v>1368</v>
      </c>
      <c r="N183">
        <v>1011</v>
      </c>
      <c r="O183" t="s">
        <v>603</v>
      </c>
      <c r="P183" t="s">
        <v>603</v>
      </c>
      <c r="Q183">
        <v>1</v>
      </c>
      <c r="X183">
        <v>0.03</v>
      </c>
      <c r="Y183">
        <v>0</v>
      </c>
      <c r="Z183">
        <v>7.68</v>
      </c>
      <c r="AA183">
        <v>0.05</v>
      </c>
      <c r="AB183">
        <v>0</v>
      </c>
      <c r="AC183">
        <v>0</v>
      </c>
      <c r="AD183">
        <v>1</v>
      </c>
      <c r="AE183">
        <v>0</v>
      </c>
      <c r="AF183" t="s">
        <v>3</v>
      </c>
      <c r="AG183">
        <v>0.03</v>
      </c>
      <c r="AH183">
        <v>3</v>
      </c>
      <c r="AI183">
        <v>-1</v>
      </c>
      <c r="AJ183" t="s">
        <v>3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ROW(Source!A338)</f>
        <v>338</v>
      </c>
      <c r="B184">
        <v>1474096731</v>
      </c>
      <c r="C184">
        <v>1472039919</v>
      </c>
      <c r="D184">
        <v>1441836235</v>
      </c>
      <c r="E184">
        <v>1</v>
      </c>
      <c r="F184">
        <v>1</v>
      </c>
      <c r="G184">
        <v>15514512</v>
      </c>
      <c r="H184">
        <v>3</v>
      </c>
      <c r="I184" t="s">
        <v>683</v>
      </c>
      <c r="J184" t="s">
        <v>684</v>
      </c>
      <c r="K184" t="s">
        <v>685</v>
      </c>
      <c r="L184">
        <v>1346</v>
      </c>
      <c r="N184">
        <v>1009</v>
      </c>
      <c r="O184" t="s">
        <v>657</v>
      </c>
      <c r="P184" t="s">
        <v>657</v>
      </c>
      <c r="Q184">
        <v>1</v>
      </c>
      <c r="X184">
        <v>7.0000000000000007E-2</v>
      </c>
      <c r="Y184">
        <v>31.49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0</v>
      </c>
      <c r="AF184" t="s">
        <v>3</v>
      </c>
      <c r="AG184">
        <v>7.0000000000000007E-2</v>
      </c>
      <c r="AH184">
        <v>3</v>
      </c>
      <c r="AI184">
        <v>-1</v>
      </c>
      <c r="AJ184" t="s">
        <v>3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ROW(Source!A339)</f>
        <v>339</v>
      </c>
      <c r="B185">
        <v>1474096732</v>
      </c>
      <c r="C185">
        <v>1472039929</v>
      </c>
      <c r="D185">
        <v>1441819193</v>
      </c>
      <c r="E185">
        <v>15514512</v>
      </c>
      <c r="F185">
        <v>1</v>
      </c>
      <c r="G185">
        <v>15514512</v>
      </c>
      <c r="H185">
        <v>1</v>
      </c>
      <c r="I185" t="s">
        <v>648</v>
      </c>
      <c r="J185" t="s">
        <v>3</v>
      </c>
      <c r="K185" t="s">
        <v>649</v>
      </c>
      <c r="L185">
        <v>1191</v>
      </c>
      <c r="N185">
        <v>1013</v>
      </c>
      <c r="O185" t="s">
        <v>650</v>
      </c>
      <c r="P185" t="s">
        <v>650</v>
      </c>
      <c r="Q185">
        <v>1</v>
      </c>
      <c r="X185">
        <v>0.41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1</v>
      </c>
      <c r="AF185" t="s">
        <v>290</v>
      </c>
      <c r="AG185">
        <v>1.23</v>
      </c>
      <c r="AH185">
        <v>3</v>
      </c>
      <c r="AI185">
        <v>-1</v>
      </c>
      <c r="AJ185" t="s">
        <v>3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ROW(Source!A340)</f>
        <v>340</v>
      </c>
      <c r="B186">
        <v>1474096733</v>
      </c>
      <c r="C186">
        <v>1472039933</v>
      </c>
      <c r="D186">
        <v>1441819193</v>
      </c>
      <c r="E186">
        <v>15514512</v>
      </c>
      <c r="F186">
        <v>1</v>
      </c>
      <c r="G186">
        <v>15514512</v>
      </c>
      <c r="H186">
        <v>1</v>
      </c>
      <c r="I186" t="s">
        <v>648</v>
      </c>
      <c r="J186" t="s">
        <v>3</v>
      </c>
      <c r="K186" t="s">
        <v>649</v>
      </c>
      <c r="L186">
        <v>1191</v>
      </c>
      <c r="N186">
        <v>1013</v>
      </c>
      <c r="O186" t="s">
        <v>650</v>
      </c>
      <c r="P186" t="s">
        <v>650</v>
      </c>
      <c r="Q186">
        <v>1</v>
      </c>
      <c r="X186">
        <v>0.45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1</v>
      </c>
      <c r="AF186" t="s">
        <v>3</v>
      </c>
      <c r="AG186">
        <v>0.45</v>
      </c>
      <c r="AH186">
        <v>3</v>
      </c>
      <c r="AI186">
        <v>-1</v>
      </c>
      <c r="AJ186" t="s">
        <v>3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ROW(Source!A341)</f>
        <v>341</v>
      </c>
      <c r="B187">
        <v>1474096734</v>
      </c>
      <c r="C187">
        <v>1472039937</v>
      </c>
      <c r="D187">
        <v>1441819193</v>
      </c>
      <c r="E187">
        <v>15514512</v>
      </c>
      <c r="F187">
        <v>1</v>
      </c>
      <c r="G187">
        <v>15514512</v>
      </c>
      <c r="H187">
        <v>1</v>
      </c>
      <c r="I187" t="s">
        <v>648</v>
      </c>
      <c r="J187" t="s">
        <v>3</v>
      </c>
      <c r="K187" t="s">
        <v>649</v>
      </c>
      <c r="L187">
        <v>1191</v>
      </c>
      <c r="N187">
        <v>1013</v>
      </c>
      <c r="O187" t="s">
        <v>650</v>
      </c>
      <c r="P187" t="s">
        <v>650</v>
      </c>
      <c r="Q187">
        <v>1</v>
      </c>
      <c r="X187">
        <v>1.52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1</v>
      </c>
      <c r="AF187" t="s">
        <v>3</v>
      </c>
      <c r="AG187">
        <v>1.52</v>
      </c>
      <c r="AH187">
        <v>3</v>
      </c>
      <c r="AI187">
        <v>-1</v>
      </c>
      <c r="AJ187" t="s">
        <v>3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ROW(Source!A341)</f>
        <v>341</v>
      </c>
      <c r="B188">
        <v>1474096735</v>
      </c>
      <c r="C188">
        <v>1472039937</v>
      </c>
      <c r="D188">
        <v>1441836235</v>
      </c>
      <c r="E188">
        <v>1</v>
      </c>
      <c r="F188">
        <v>1</v>
      </c>
      <c r="G188">
        <v>15514512</v>
      </c>
      <c r="H188">
        <v>3</v>
      </c>
      <c r="I188" t="s">
        <v>683</v>
      </c>
      <c r="J188" t="s">
        <v>684</v>
      </c>
      <c r="K188" t="s">
        <v>685</v>
      </c>
      <c r="L188">
        <v>1346</v>
      </c>
      <c r="N188">
        <v>1009</v>
      </c>
      <c r="O188" t="s">
        <v>657</v>
      </c>
      <c r="P188" t="s">
        <v>657</v>
      </c>
      <c r="Q188">
        <v>1</v>
      </c>
      <c r="X188">
        <v>0.02</v>
      </c>
      <c r="Y188">
        <v>31.49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0</v>
      </c>
      <c r="AF188" t="s">
        <v>3</v>
      </c>
      <c r="AG188">
        <v>0.02</v>
      </c>
      <c r="AH188">
        <v>3</v>
      </c>
      <c r="AI188">
        <v>-1</v>
      </c>
      <c r="AJ188" t="s">
        <v>3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ROW(Source!A342)</f>
        <v>342</v>
      </c>
      <c r="B189">
        <v>1474096736</v>
      </c>
      <c r="C189">
        <v>1472039944</v>
      </c>
      <c r="D189">
        <v>1441819193</v>
      </c>
      <c r="E189">
        <v>15514512</v>
      </c>
      <c r="F189">
        <v>1</v>
      </c>
      <c r="G189">
        <v>15514512</v>
      </c>
      <c r="H189">
        <v>1</v>
      </c>
      <c r="I189" t="s">
        <v>648</v>
      </c>
      <c r="J189" t="s">
        <v>3</v>
      </c>
      <c r="K189" t="s">
        <v>649</v>
      </c>
      <c r="L189">
        <v>1191</v>
      </c>
      <c r="N189">
        <v>1013</v>
      </c>
      <c r="O189" t="s">
        <v>650</v>
      </c>
      <c r="P189" t="s">
        <v>650</v>
      </c>
      <c r="Q189">
        <v>1</v>
      </c>
      <c r="X189">
        <v>0.9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1</v>
      </c>
      <c r="AF189" t="s">
        <v>22</v>
      </c>
      <c r="AG189">
        <v>3.6</v>
      </c>
      <c r="AH189">
        <v>3</v>
      </c>
      <c r="AI189">
        <v>-1</v>
      </c>
      <c r="AJ189" t="s">
        <v>3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ROW(Source!A343)</f>
        <v>343</v>
      </c>
      <c r="B190">
        <v>1474096737</v>
      </c>
      <c r="C190">
        <v>1472039948</v>
      </c>
      <c r="D190">
        <v>1441819193</v>
      </c>
      <c r="E190">
        <v>15514512</v>
      </c>
      <c r="F190">
        <v>1</v>
      </c>
      <c r="G190">
        <v>15514512</v>
      </c>
      <c r="H190">
        <v>1</v>
      </c>
      <c r="I190" t="s">
        <v>648</v>
      </c>
      <c r="J190" t="s">
        <v>3</v>
      </c>
      <c r="K190" t="s">
        <v>649</v>
      </c>
      <c r="L190">
        <v>1191</v>
      </c>
      <c r="N190">
        <v>1013</v>
      </c>
      <c r="O190" t="s">
        <v>650</v>
      </c>
      <c r="P190" t="s">
        <v>650</v>
      </c>
      <c r="Q190">
        <v>1</v>
      </c>
      <c r="X190">
        <v>4.84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1</v>
      </c>
      <c r="AE190">
        <v>1</v>
      </c>
      <c r="AF190" t="s">
        <v>22</v>
      </c>
      <c r="AG190">
        <v>19.36</v>
      </c>
      <c r="AH190">
        <v>3</v>
      </c>
      <c r="AI190">
        <v>-1</v>
      </c>
      <c r="AJ190" t="s">
        <v>3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ROW(Source!A344)</f>
        <v>344</v>
      </c>
      <c r="B191">
        <v>1474096738</v>
      </c>
      <c r="C191">
        <v>1472039952</v>
      </c>
      <c r="D191">
        <v>1441819193</v>
      </c>
      <c r="E191">
        <v>15514512</v>
      </c>
      <c r="F191">
        <v>1</v>
      </c>
      <c r="G191">
        <v>15514512</v>
      </c>
      <c r="H191">
        <v>1</v>
      </c>
      <c r="I191" t="s">
        <v>648</v>
      </c>
      <c r="J191" t="s">
        <v>3</v>
      </c>
      <c r="K191" t="s">
        <v>649</v>
      </c>
      <c r="L191">
        <v>1191</v>
      </c>
      <c r="N191">
        <v>1013</v>
      </c>
      <c r="O191" t="s">
        <v>650</v>
      </c>
      <c r="P191" t="s">
        <v>650</v>
      </c>
      <c r="Q191">
        <v>1</v>
      </c>
      <c r="X191">
        <v>10.64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1</v>
      </c>
      <c r="AF191" t="s">
        <v>3</v>
      </c>
      <c r="AG191">
        <v>10.64</v>
      </c>
      <c r="AH191">
        <v>3</v>
      </c>
      <c r="AI191">
        <v>-1</v>
      </c>
      <c r="AJ191" t="s">
        <v>3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ROW(Source!A344)</f>
        <v>344</v>
      </c>
      <c r="B192">
        <v>1474096739</v>
      </c>
      <c r="C192">
        <v>1472039952</v>
      </c>
      <c r="D192">
        <v>1441833890</v>
      </c>
      <c r="E192">
        <v>1</v>
      </c>
      <c r="F192">
        <v>1</v>
      </c>
      <c r="G192">
        <v>15514512</v>
      </c>
      <c r="H192">
        <v>2</v>
      </c>
      <c r="I192" t="s">
        <v>697</v>
      </c>
      <c r="J192" t="s">
        <v>698</v>
      </c>
      <c r="K192" t="s">
        <v>699</v>
      </c>
      <c r="L192">
        <v>1368</v>
      </c>
      <c r="N192">
        <v>1011</v>
      </c>
      <c r="O192" t="s">
        <v>603</v>
      </c>
      <c r="P192" t="s">
        <v>603</v>
      </c>
      <c r="Q192">
        <v>1</v>
      </c>
      <c r="X192">
        <v>1.5</v>
      </c>
      <c r="Y192">
        <v>0</v>
      </c>
      <c r="Z192">
        <v>33.799999999999997</v>
      </c>
      <c r="AA192">
        <v>0.54</v>
      </c>
      <c r="AB192">
        <v>0</v>
      </c>
      <c r="AC192">
        <v>0</v>
      </c>
      <c r="AD192">
        <v>1</v>
      </c>
      <c r="AE192">
        <v>0</v>
      </c>
      <c r="AF192" t="s">
        <v>3</v>
      </c>
      <c r="AG192">
        <v>1.5</v>
      </c>
      <c r="AH192">
        <v>3</v>
      </c>
      <c r="AI192">
        <v>-1</v>
      </c>
      <c r="AJ192" t="s">
        <v>3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ROW(Source!A344)</f>
        <v>344</v>
      </c>
      <c r="B193">
        <v>1474096740</v>
      </c>
      <c r="C193">
        <v>1472039952</v>
      </c>
      <c r="D193">
        <v>1441836514</v>
      </c>
      <c r="E193">
        <v>1</v>
      </c>
      <c r="F193">
        <v>1</v>
      </c>
      <c r="G193">
        <v>15514512</v>
      </c>
      <c r="H193">
        <v>3</v>
      </c>
      <c r="I193" t="s">
        <v>676</v>
      </c>
      <c r="J193" t="s">
        <v>677</v>
      </c>
      <c r="K193" t="s">
        <v>678</v>
      </c>
      <c r="L193">
        <v>1339</v>
      </c>
      <c r="N193">
        <v>1007</v>
      </c>
      <c r="O193" t="s">
        <v>679</v>
      </c>
      <c r="P193" t="s">
        <v>679</v>
      </c>
      <c r="Q193">
        <v>1</v>
      </c>
      <c r="X193">
        <v>1</v>
      </c>
      <c r="Y193">
        <v>54.81</v>
      </c>
      <c r="Z193">
        <v>0</v>
      </c>
      <c r="AA193">
        <v>0</v>
      </c>
      <c r="AB193">
        <v>0</v>
      </c>
      <c r="AC193">
        <v>0</v>
      </c>
      <c r="AD193">
        <v>1</v>
      </c>
      <c r="AE193">
        <v>0</v>
      </c>
      <c r="AF193" t="s">
        <v>3</v>
      </c>
      <c r="AG193">
        <v>1</v>
      </c>
      <c r="AH193">
        <v>3</v>
      </c>
      <c r="AI193">
        <v>-1</v>
      </c>
      <c r="AJ193" t="s">
        <v>3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ROW(Source!A344)</f>
        <v>344</v>
      </c>
      <c r="B194">
        <v>1474096741</v>
      </c>
      <c r="C194">
        <v>1472039952</v>
      </c>
      <c r="D194">
        <v>1441836517</v>
      </c>
      <c r="E194">
        <v>1</v>
      </c>
      <c r="F194">
        <v>1</v>
      </c>
      <c r="G194">
        <v>15514512</v>
      </c>
      <c r="H194">
        <v>3</v>
      </c>
      <c r="I194" t="s">
        <v>700</v>
      </c>
      <c r="J194" t="s">
        <v>701</v>
      </c>
      <c r="K194" t="s">
        <v>702</v>
      </c>
      <c r="L194">
        <v>1346</v>
      </c>
      <c r="N194">
        <v>1009</v>
      </c>
      <c r="O194" t="s">
        <v>657</v>
      </c>
      <c r="P194" t="s">
        <v>657</v>
      </c>
      <c r="Q194">
        <v>1</v>
      </c>
      <c r="X194">
        <v>0.02</v>
      </c>
      <c r="Y194">
        <v>451.28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0</v>
      </c>
      <c r="AF194" t="s">
        <v>3</v>
      </c>
      <c r="AG194">
        <v>0.02</v>
      </c>
      <c r="AH194">
        <v>3</v>
      </c>
      <c r="AI194">
        <v>-1</v>
      </c>
      <c r="AJ194" t="s">
        <v>3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ROW(Source!A344)</f>
        <v>344</v>
      </c>
      <c r="B195">
        <v>1474096743</v>
      </c>
      <c r="C195">
        <v>1472039952</v>
      </c>
      <c r="D195">
        <v>1441821379</v>
      </c>
      <c r="E195">
        <v>15514512</v>
      </c>
      <c r="F195">
        <v>1</v>
      </c>
      <c r="G195">
        <v>15514512</v>
      </c>
      <c r="H195">
        <v>3</v>
      </c>
      <c r="I195" t="s">
        <v>703</v>
      </c>
      <c r="J195" t="s">
        <v>3</v>
      </c>
      <c r="K195" t="s">
        <v>704</v>
      </c>
      <c r="L195">
        <v>1346</v>
      </c>
      <c r="N195">
        <v>1009</v>
      </c>
      <c r="O195" t="s">
        <v>657</v>
      </c>
      <c r="P195" t="s">
        <v>657</v>
      </c>
      <c r="Q195">
        <v>1</v>
      </c>
      <c r="X195">
        <v>0.05</v>
      </c>
      <c r="Y195">
        <v>89.933959999999999</v>
      </c>
      <c r="Z195">
        <v>0</v>
      </c>
      <c r="AA195">
        <v>0</v>
      </c>
      <c r="AB195">
        <v>0</v>
      </c>
      <c r="AC195">
        <v>0</v>
      </c>
      <c r="AD195">
        <v>1</v>
      </c>
      <c r="AE195">
        <v>0</v>
      </c>
      <c r="AF195" t="s">
        <v>3</v>
      </c>
      <c r="AG195">
        <v>0.05</v>
      </c>
      <c r="AH195">
        <v>3</v>
      </c>
      <c r="AI195">
        <v>-1</v>
      </c>
      <c r="AJ195" t="s">
        <v>3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ROW(Source!A344)</f>
        <v>344</v>
      </c>
      <c r="B196">
        <v>1474096742</v>
      </c>
      <c r="C196">
        <v>1472039952</v>
      </c>
      <c r="D196">
        <v>1441834875</v>
      </c>
      <c r="E196">
        <v>1</v>
      </c>
      <c r="F196">
        <v>1</v>
      </c>
      <c r="G196">
        <v>15514512</v>
      </c>
      <c r="H196">
        <v>3</v>
      </c>
      <c r="I196" t="s">
        <v>705</v>
      </c>
      <c r="J196" t="s">
        <v>706</v>
      </c>
      <c r="K196" t="s">
        <v>707</v>
      </c>
      <c r="L196">
        <v>1346</v>
      </c>
      <c r="N196">
        <v>1009</v>
      </c>
      <c r="O196" t="s">
        <v>657</v>
      </c>
      <c r="P196" t="s">
        <v>657</v>
      </c>
      <c r="Q196">
        <v>1</v>
      </c>
      <c r="X196">
        <v>0.02</v>
      </c>
      <c r="Y196">
        <v>94.64</v>
      </c>
      <c r="Z196">
        <v>0</v>
      </c>
      <c r="AA196">
        <v>0</v>
      </c>
      <c r="AB196">
        <v>0</v>
      </c>
      <c r="AC196">
        <v>0</v>
      </c>
      <c r="AD196">
        <v>1</v>
      </c>
      <c r="AE196">
        <v>0</v>
      </c>
      <c r="AF196" t="s">
        <v>3</v>
      </c>
      <c r="AG196">
        <v>0.02</v>
      </c>
      <c r="AH196">
        <v>3</v>
      </c>
      <c r="AI196">
        <v>-1</v>
      </c>
      <c r="AJ196" t="s">
        <v>3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ROW(Source!A345)</f>
        <v>345</v>
      </c>
      <c r="B197">
        <v>1474096744</v>
      </c>
      <c r="C197">
        <v>1472039959</v>
      </c>
      <c r="D197">
        <v>1441819193</v>
      </c>
      <c r="E197">
        <v>15514512</v>
      </c>
      <c r="F197">
        <v>1</v>
      </c>
      <c r="G197">
        <v>15514512</v>
      </c>
      <c r="H197">
        <v>1</v>
      </c>
      <c r="I197" t="s">
        <v>648</v>
      </c>
      <c r="J197" t="s">
        <v>3</v>
      </c>
      <c r="K197" t="s">
        <v>649</v>
      </c>
      <c r="L197">
        <v>1191</v>
      </c>
      <c r="N197">
        <v>1013</v>
      </c>
      <c r="O197" t="s">
        <v>650</v>
      </c>
      <c r="P197" t="s">
        <v>650</v>
      </c>
      <c r="Q197">
        <v>1</v>
      </c>
      <c r="X197">
        <v>2.42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1</v>
      </c>
      <c r="AE197">
        <v>1</v>
      </c>
      <c r="AF197" t="s">
        <v>3</v>
      </c>
      <c r="AG197">
        <v>2.42</v>
      </c>
      <c r="AH197">
        <v>3</v>
      </c>
      <c r="AI197">
        <v>-1</v>
      </c>
      <c r="AJ197" t="s">
        <v>3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ROW(Source!A345)</f>
        <v>345</v>
      </c>
      <c r="B198">
        <v>1474096745</v>
      </c>
      <c r="C198">
        <v>1472039959</v>
      </c>
      <c r="D198">
        <v>1441833845</v>
      </c>
      <c r="E198">
        <v>1</v>
      </c>
      <c r="F198">
        <v>1</v>
      </c>
      <c r="G198">
        <v>15514512</v>
      </c>
      <c r="H198">
        <v>2</v>
      </c>
      <c r="I198" t="s">
        <v>708</v>
      </c>
      <c r="J198" t="s">
        <v>709</v>
      </c>
      <c r="K198" t="s">
        <v>710</v>
      </c>
      <c r="L198">
        <v>1368</v>
      </c>
      <c r="N198">
        <v>1011</v>
      </c>
      <c r="O198" t="s">
        <v>603</v>
      </c>
      <c r="P198" t="s">
        <v>603</v>
      </c>
      <c r="Q198">
        <v>1</v>
      </c>
      <c r="X198">
        <v>0.61</v>
      </c>
      <c r="Y198">
        <v>0</v>
      </c>
      <c r="Z198">
        <v>17.95</v>
      </c>
      <c r="AA198">
        <v>0.05</v>
      </c>
      <c r="AB198">
        <v>0</v>
      </c>
      <c r="AC198">
        <v>0</v>
      </c>
      <c r="AD198">
        <v>1</v>
      </c>
      <c r="AE198">
        <v>0</v>
      </c>
      <c r="AF198" t="s">
        <v>3</v>
      </c>
      <c r="AG198">
        <v>0.61</v>
      </c>
      <c r="AH198">
        <v>3</v>
      </c>
      <c r="AI198">
        <v>-1</v>
      </c>
      <c r="AJ198" t="s">
        <v>3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ROW(Source!A345)</f>
        <v>345</v>
      </c>
      <c r="B199">
        <v>1474096746</v>
      </c>
      <c r="C199">
        <v>1472039959</v>
      </c>
      <c r="D199">
        <v>1441836514</v>
      </c>
      <c r="E199">
        <v>1</v>
      </c>
      <c r="F199">
        <v>1</v>
      </c>
      <c r="G199">
        <v>15514512</v>
      </c>
      <c r="H199">
        <v>3</v>
      </c>
      <c r="I199" t="s">
        <v>676</v>
      </c>
      <c r="J199" t="s">
        <v>677</v>
      </c>
      <c r="K199" t="s">
        <v>678</v>
      </c>
      <c r="L199">
        <v>1339</v>
      </c>
      <c r="N199">
        <v>1007</v>
      </c>
      <c r="O199" t="s">
        <v>679</v>
      </c>
      <c r="P199" t="s">
        <v>679</v>
      </c>
      <c r="Q199">
        <v>1</v>
      </c>
      <c r="X199">
        <v>1.03</v>
      </c>
      <c r="Y199">
        <v>54.81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0</v>
      </c>
      <c r="AF199" t="s">
        <v>3</v>
      </c>
      <c r="AG199">
        <v>1.03</v>
      </c>
      <c r="AH199">
        <v>3</v>
      </c>
      <c r="AI199">
        <v>-1</v>
      </c>
      <c r="AJ199" t="s">
        <v>3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ROW(Source!A347)</f>
        <v>347</v>
      </c>
      <c r="B200">
        <v>1474096747</v>
      </c>
      <c r="C200">
        <v>1472039970</v>
      </c>
      <c r="D200">
        <v>1441819193</v>
      </c>
      <c r="E200">
        <v>15514512</v>
      </c>
      <c r="F200">
        <v>1</v>
      </c>
      <c r="G200">
        <v>15514512</v>
      </c>
      <c r="H200">
        <v>1</v>
      </c>
      <c r="I200" t="s">
        <v>648</v>
      </c>
      <c r="J200" t="s">
        <v>3</v>
      </c>
      <c r="K200" t="s">
        <v>649</v>
      </c>
      <c r="L200">
        <v>1191</v>
      </c>
      <c r="N200">
        <v>1013</v>
      </c>
      <c r="O200" t="s">
        <v>650</v>
      </c>
      <c r="P200" t="s">
        <v>650</v>
      </c>
      <c r="Q200">
        <v>1</v>
      </c>
      <c r="X200">
        <v>0.57999999999999996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1</v>
      </c>
      <c r="AF200" t="s">
        <v>3</v>
      </c>
      <c r="AG200">
        <v>0.57999999999999996</v>
      </c>
      <c r="AH200">
        <v>3</v>
      </c>
      <c r="AI200">
        <v>-1</v>
      </c>
      <c r="AJ200" t="s">
        <v>3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ROW(Source!A347)</f>
        <v>347</v>
      </c>
      <c r="B201">
        <v>1474096748</v>
      </c>
      <c r="C201">
        <v>1472039970</v>
      </c>
      <c r="D201">
        <v>1441833954</v>
      </c>
      <c r="E201">
        <v>1</v>
      </c>
      <c r="F201">
        <v>1</v>
      </c>
      <c r="G201">
        <v>15514512</v>
      </c>
      <c r="H201">
        <v>2</v>
      </c>
      <c r="I201" t="s">
        <v>717</v>
      </c>
      <c r="J201" t="s">
        <v>718</v>
      </c>
      <c r="K201" t="s">
        <v>719</v>
      </c>
      <c r="L201">
        <v>1368</v>
      </c>
      <c r="N201">
        <v>1011</v>
      </c>
      <c r="O201" t="s">
        <v>603</v>
      </c>
      <c r="P201" t="s">
        <v>603</v>
      </c>
      <c r="Q201">
        <v>1</v>
      </c>
      <c r="X201">
        <v>4.2500000000000003E-2</v>
      </c>
      <c r="Y201">
        <v>0</v>
      </c>
      <c r="Z201">
        <v>59.51</v>
      </c>
      <c r="AA201">
        <v>0.82</v>
      </c>
      <c r="AB201">
        <v>0</v>
      </c>
      <c r="AC201">
        <v>0</v>
      </c>
      <c r="AD201">
        <v>1</v>
      </c>
      <c r="AE201">
        <v>0</v>
      </c>
      <c r="AF201" t="s">
        <v>3</v>
      </c>
      <c r="AG201">
        <v>4.2500000000000003E-2</v>
      </c>
      <c r="AH201">
        <v>3</v>
      </c>
      <c r="AI201">
        <v>-1</v>
      </c>
      <c r="AJ201" t="s">
        <v>3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ROW(Source!A347)</f>
        <v>347</v>
      </c>
      <c r="B202">
        <v>1474096749</v>
      </c>
      <c r="C202">
        <v>1472039970</v>
      </c>
      <c r="D202">
        <v>1441836235</v>
      </c>
      <c r="E202">
        <v>1</v>
      </c>
      <c r="F202">
        <v>1</v>
      </c>
      <c r="G202">
        <v>15514512</v>
      </c>
      <c r="H202">
        <v>3</v>
      </c>
      <c r="I202" t="s">
        <v>683</v>
      </c>
      <c r="J202" t="s">
        <v>684</v>
      </c>
      <c r="K202" t="s">
        <v>685</v>
      </c>
      <c r="L202">
        <v>1346</v>
      </c>
      <c r="N202">
        <v>1009</v>
      </c>
      <c r="O202" t="s">
        <v>657</v>
      </c>
      <c r="P202" t="s">
        <v>657</v>
      </c>
      <c r="Q202">
        <v>1</v>
      </c>
      <c r="X202">
        <v>1.4999999999999999E-2</v>
      </c>
      <c r="Y202">
        <v>31.49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0</v>
      </c>
      <c r="AF202" t="s">
        <v>3</v>
      </c>
      <c r="AG202">
        <v>1.4999999999999999E-2</v>
      </c>
      <c r="AH202">
        <v>3</v>
      </c>
      <c r="AI202">
        <v>-1</v>
      </c>
      <c r="AJ202" t="s">
        <v>3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ROW(Source!A348)</f>
        <v>348</v>
      </c>
      <c r="B203">
        <v>1474096750</v>
      </c>
      <c r="C203">
        <v>1472039980</v>
      </c>
      <c r="D203">
        <v>1441819193</v>
      </c>
      <c r="E203">
        <v>15514512</v>
      </c>
      <c r="F203">
        <v>1</v>
      </c>
      <c r="G203">
        <v>15514512</v>
      </c>
      <c r="H203">
        <v>1</v>
      </c>
      <c r="I203" t="s">
        <v>648</v>
      </c>
      <c r="J203" t="s">
        <v>3</v>
      </c>
      <c r="K203" t="s">
        <v>649</v>
      </c>
      <c r="L203">
        <v>1191</v>
      </c>
      <c r="N203">
        <v>1013</v>
      </c>
      <c r="O203" t="s">
        <v>650</v>
      </c>
      <c r="P203" t="s">
        <v>650</v>
      </c>
      <c r="Q203">
        <v>1</v>
      </c>
      <c r="X203">
        <v>0.9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1</v>
      </c>
      <c r="AE203">
        <v>1</v>
      </c>
      <c r="AF203" t="s">
        <v>3</v>
      </c>
      <c r="AG203">
        <v>0.9</v>
      </c>
      <c r="AH203">
        <v>3</v>
      </c>
      <c r="AI203">
        <v>-1</v>
      </c>
      <c r="AJ203" t="s">
        <v>3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ROW(Source!A348)</f>
        <v>348</v>
      </c>
      <c r="B204">
        <v>1474096751</v>
      </c>
      <c r="C204">
        <v>1472039980</v>
      </c>
      <c r="D204">
        <v>1441833954</v>
      </c>
      <c r="E204">
        <v>1</v>
      </c>
      <c r="F204">
        <v>1</v>
      </c>
      <c r="G204">
        <v>15514512</v>
      </c>
      <c r="H204">
        <v>2</v>
      </c>
      <c r="I204" t="s">
        <v>717</v>
      </c>
      <c r="J204" t="s">
        <v>718</v>
      </c>
      <c r="K204" t="s">
        <v>719</v>
      </c>
      <c r="L204">
        <v>1368</v>
      </c>
      <c r="N204">
        <v>1011</v>
      </c>
      <c r="O204" t="s">
        <v>603</v>
      </c>
      <c r="P204" t="s">
        <v>603</v>
      </c>
      <c r="Q204">
        <v>1</v>
      </c>
      <c r="X204">
        <v>8.5000000000000006E-2</v>
      </c>
      <c r="Y204">
        <v>0</v>
      </c>
      <c r="Z204">
        <v>59.51</v>
      </c>
      <c r="AA204">
        <v>0.82</v>
      </c>
      <c r="AB204">
        <v>0</v>
      </c>
      <c r="AC204">
        <v>0</v>
      </c>
      <c r="AD204">
        <v>1</v>
      </c>
      <c r="AE204">
        <v>0</v>
      </c>
      <c r="AF204" t="s">
        <v>3</v>
      </c>
      <c r="AG204">
        <v>8.5000000000000006E-2</v>
      </c>
      <c r="AH204">
        <v>3</v>
      </c>
      <c r="AI204">
        <v>-1</v>
      </c>
      <c r="AJ204" t="s">
        <v>3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ROW(Source!A348)</f>
        <v>348</v>
      </c>
      <c r="B205">
        <v>1474096752</v>
      </c>
      <c r="C205">
        <v>1472039980</v>
      </c>
      <c r="D205">
        <v>1441836235</v>
      </c>
      <c r="E205">
        <v>1</v>
      </c>
      <c r="F205">
        <v>1</v>
      </c>
      <c r="G205">
        <v>15514512</v>
      </c>
      <c r="H205">
        <v>3</v>
      </c>
      <c r="I205" t="s">
        <v>683</v>
      </c>
      <c r="J205" t="s">
        <v>684</v>
      </c>
      <c r="K205" t="s">
        <v>685</v>
      </c>
      <c r="L205">
        <v>1346</v>
      </c>
      <c r="N205">
        <v>1009</v>
      </c>
      <c r="O205" t="s">
        <v>657</v>
      </c>
      <c r="P205" t="s">
        <v>657</v>
      </c>
      <c r="Q205">
        <v>1</v>
      </c>
      <c r="X205">
        <v>0.03</v>
      </c>
      <c r="Y205">
        <v>31.49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0</v>
      </c>
      <c r="AF205" t="s">
        <v>3</v>
      </c>
      <c r="AG205">
        <v>0.03</v>
      </c>
      <c r="AH205">
        <v>3</v>
      </c>
      <c r="AI205">
        <v>-1</v>
      </c>
      <c r="AJ205" t="s">
        <v>3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ROW(Source!A349)</f>
        <v>349</v>
      </c>
      <c r="B206">
        <v>1474096753</v>
      </c>
      <c r="C206">
        <v>1472039990</v>
      </c>
      <c r="D206">
        <v>1441819193</v>
      </c>
      <c r="E206">
        <v>15514512</v>
      </c>
      <c r="F206">
        <v>1</v>
      </c>
      <c r="G206">
        <v>15514512</v>
      </c>
      <c r="H206">
        <v>1</v>
      </c>
      <c r="I206" t="s">
        <v>648</v>
      </c>
      <c r="J206" t="s">
        <v>3</v>
      </c>
      <c r="K206" t="s">
        <v>649</v>
      </c>
      <c r="L206">
        <v>1191</v>
      </c>
      <c r="N206">
        <v>1013</v>
      </c>
      <c r="O206" t="s">
        <v>650</v>
      </c>
      <c r="P206" t="s">
        <v>650</v>
      </c>
      <c r="Q206">
        <v>1</v>
      </c>
      <c r="X206">
        <v>1.84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1</v>
      </c>
      <c r="AF206" t="s">
        <v>3</v>
      </c>
      <c r="AG206">
        <v>1.84</v>
      </c>
      <c r="AH206">
        <v>3</v>
      </c>
      <c r="AI206">
        <v>-1</v>
      </c>
      <c r="AJ206" t="s">
        <v>3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ROW(Source!A349)</f>
        <v>349</v>
      </c>
      <c r="B207">
        <v>1474096754</v>
      </c>
      <c r="C207">
        <v>1472039990</v>
      </c>
      <c r="D207">
        <v>1441833954</v>
      </c>
      <c r="E207">
        <v>1</v>
      </c>
      <c r="F207">
        <v>1</v>
      </c>
      <c r="G207">
        <v>15514512</v>
      </c>
      <c r="H207">
        <v>2</v>
      </c>
      <c r="I207" t="s">
        <v>717</v>
      </c>
      <c r="J207" t="s">
        <v>718</v>
      </c>
      <c r="K207" t="s">
        <v>719</v>
      </c>
      <c r="L207">
        <v>1368</v>
      </c>
      <c r="N207">
        <v>1011</v>
      </c>
      <c r="O207" t="s">
        <v>603</v>
      </c>
      <c r="P207" t="s">
        <v>603</v>
      </c>
      <c r="Q207">
        <v>1</v>
      </c>
      <c r="X207">
        <v>6.88E-2</v>
      </c>
      <c r="Y207">
        <v>0</v>
      </c>
      <c r="Z207">
        <v>59.51</v>
      </c>
      <c r="AA207">
        <v>0.82</v>
      </c>
      <c r="AB207">
        <v>0</v>
      </c>
      <c r="AC207">
        <v>0</v>
      </c>
      <c r="AD207">
        <v>1</v>
      </c>
      <c r="AE207">
        <v>0</v>
      </c>
      <c r="AF207" t="s">
        <v>3</v>
      </c>
      <c r="AG207">
        <v>6.88E-2</v>
      </c>
      <c r="AH207">
        <v>3</v>
      </c>
      <c r="AI207">
        <v>-1</v>
      </c>
      <c r="AJ207" t="s">
        <v>3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ROW(Source!A349)</f>
        <v>349</v>
      </c>
      <c r="B208">
        <v>1474096755</v>
      </c>
      <c r="C208">
        <v>1472039990</v>
      </c>
      <c r="D208">
        <v>1441836235</v>
      </c>
      <c r="E208">
        <v>1</v>
      </c>
      <c r="F208">
        <v>1</v>
      </c>
      <c r="G208">
        <v>15514512</v>
      </c>
      <c r="H208">
        <v>3</v>
      </c>
      <c r="I208" t="s">
        <v>683</v>
      </c>
      <c r="J208" t="s">
        <v>684</v>
      </c>
      <c r="K208" t="s">
        <v>685</v>
      </c>
      <c r="L208">
        <v>1346</v>
      </c>
      <c r="N208">
        <v>1009</v>
      </c>
      <c r="O208" t="s">
        <v>657</v>
      </c>
      <c r="P208" t="s">
        <v>657</v>
      </c>
      <c r="Q208">
        <v>1</v>
      </c>
      <c r="X208">
        <v>5.2999999999999999E-2</v>
      </c>
      <c r="Y208">
        <v>31.49</v>
      </c>
      <c r="Z208">
        <v>0</v>
      </c>
      <c r="AA208">
        <v>0</v>
      </c>
      <c r="AB208">
        <v>0</v>
      </c>
      <c r="AC208">
        <v>0</v>
      </c>
      <c r="AD208">
        <v>1</v>
      </c>
      <c r="AE208">
        <v>0</v>
      </c>
      <c r="AF208" t="s">
        <v>3</v>
      </c>
      <c r="AG208">
        <v>5.2999999999999999E-2</v>
      </c>
      <c r="AH208">
        <v>3</v>
      </c>
      <c r="AI208">
        <v>-1</v>
      </c>
      <c r="AJ208" t="s">
        <v>3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ROW(Source!A350)</f>
        <v>350</v>
      </c>
      <c r="B209">
        <v>1474096756</v>
      </c>
      <c r="C209">
        <v>1472040000</v>
      </c>
      <c r="D209">
        <v>1441819193</v>
      </c>
      <c r="E209">
        <v>15514512</v>
      </c>
      <c r="F209">
        <v>1</v>
      </c>
      <c r="G209">
        <v>15514512</v>
      </c>
      <c r="H209">
        <v>1</v>
      </c>
      <c r="I209" t="s">
        <v>648</v>
      </c>
      <c r="J209" t="s">
        <v>3</v>
      </c>
      <c r="K209" t="s">
        <v>649</v>
      </c>
      <c r="L209">
        <v>1191</v>
      </c>
      <c r="N209">
        <v>1013</v>
      </c>
      <c r="O209" t="s">
        <v>650</v>
      </c>
      <c r="P209" t="s">
        <v>650</v>
      </c>
      <c r="Q209">
        <v>1</v>
      </c>
      <c r="X209">
        <v>1.84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1</v>
      </c>
      <c r="AE209">
        <v>1</v>
      </c>
      <c r="AF209" t="s">
        <v>3</v>
      </c>
      <c r="AG209">
        <v>1.84</v>
      </c>
      <c r="AH209">
        <v>3</v>
      </c>
      <c r="AI209">
        <v>-1</v>
      </c>
      <c r="AJ209" t="s">
        <v>3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ROW(Source!A350)</f>
        <v>350</v>
      </c>
      <c r="B210">
        <v>1474096757</v>
      </c>
      <c r="C210">
        <v>1472040000</v>
      </c>
      <c r="D210">
        <v>1441833954</v>
      </c>
      <c r="E210">
        <v>1</v>
      </c>
      <c r="F210">
        <v>1</v>
      </c>
      <c r="G210">
        <v>15514512</v>
      </c>
      <c r="H210">
        <v>2</v>
      </c>
      <c r="I210" t="s">
        <v>717</v>
      </c>
      <c r="J210" t="s">
        <v>718</v>
      </c>
      <c r="K210" t="s">
        <v>719</v>
      </c>
      <c r="L210">
        <v>1368</v>
      </c>
      <c r="N210">
        <v>1011</v>
      </c>
      <c r="O210" t="s">
        <v>603</v>
      </c>
      <c r="P210" t="s">
        <v>603</v>
      </c>
      <c r="Q210">
        <v>1</v>
      </c>
      <c r="X210">
        <v>6.88E-2</v>
      </c>
      <c r="Y210">
        <v>0</v>
      </c>
      <c r="Z210">
        <v>59.51</v>
      </c>
      <c r="AA210">
        <v>0.82</v>
      </c>
      <c r="AB210">
        <v>0</v>
      </c>
      <c r="AC210">
        <v>0</v>
      </c>
      <c r="AD210">
        <v>1</v>
      </c>
      <c r="AE210">
        <v>0</v>
      </c>
      <c r="AF210" t="s">
        <v>3</v>
      </c>
      <c r="AG210">
        <v>6.88E-2</v>
      </c>
      <c r="AH210">
        <v>3</v>
      </c>
      <c r="AI210">
        <v>-1</v>
      </c>
      <c r="AJ210" t="s">
        <v>3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ROW(Source!A350)</f>
        <v>350</v>
      </c>
      <c r="B211">
        <v>1474096758</v>
      </c>
      <c r="C211">
        <v>1472040000</v>
      </c>
      <c r="D211">
        <v>1441836235</v>
      </c>
      <c r="E211">
        <v>1</v>
      </c>
      <c r="F211">
        <v>1</v>
      </c>
      <c r="G211">
        <v>15514512</v>
      </c>
      <c r="H211">
        <v>3</v>
      </c>
      <c r="I211" t="s">
        <v>683</v>
      </c>
      <c r="J211" t="s">
        <v>684</v>
      </c>
      <c r="K211" t="s">
        <v>685</v>
      </c>
      <c r="L211">
        <v>1346</v>
      </c>
      <c r="N211">
        <v>1009</v>
      </c>
      <c r="O211" t="s">
        <v>657</v>
      </c>
      <c r="P211" t="s">
        <v>657</v>
      </c>
      <c r="Q211">
        <v>1</v>
      </c>
      <c r="X211">
        <v>5.2999999999999999E-2</v>
      </c>
      <c r="Y211">
        <v>31.49</v>
      </c>
      <c r="Z211">
        <v>0</v>
      </c>
      <c r="AA211">
        <v>0</v>
      </c>
      <c r="AB211">
        <v>0</v>
      </c>
      <c r="AC211">
        <v>0</v>
      </c>
      <c r="AD211">
        <v>1</v>
      </c>
      <c r="AE211">
        <v>0</v>
      </c>
      <c r="AF211" t="s">
        <v>3</v>
      </c>
      <c r="AG211">
        <v>5.2999999999999999E-2</v>
      </c>
      <c r="AH211">
        <v>3</v>
      </c>
      <c r="AI211">
        <v>-1</v>
      </c>
      <c r="AJ211" t="s">
        <v>3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ROW(Source!A351)</f>
        <v>351</v>
      </c>
      <c r="B212">
        <v>1474096759</v>
      </c>
      <c r="C212">
        <v>1472040010</v>
      </c>
      <c r="D212">
        <v>1441819193</v>
      </c>
      <c r="E212">
        <v>15514512</v>
      </c>
      <c r="F212">
        <v>1</v>
      </c>
      <c r="G212">
        <v>15514512</v>
      </c>
      <c r="H212">
        <v>1</v>
      </c>
      <c r="I212" t="s">
        <v>648</v>
      </c>
      <c r="J212" t="s">
        <v>3</v>
      </c>
      <c r="K212" t="s">
        <v>649</v>
      </c>
      <c r="L212">
        <v>1191</v>
      </c>
      <c r="N212">
        <v>1013</v>
      </c>
      <c r="O212" t="s">
        <v>650</v>
      </c>
      <c r="P212" t="s">
        <v>650</v>
      </c>
      <c r="Q212">
        <v>1</v>
      </c>
      <c r="X212">
        <v>0.2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1</v>
      </c>
      <c r="AF212" t="s">
        <v>164</v>
      </c>
      <c r="AG212">
        <v>0.4</v>
      </c>
      <c r="AH212">
        <v>3</v>
      </c>
      <c r="AI212">
        <v>-1</v>
      </c>
      <c r="AJ212" t="s">
        <v>3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ROW(Source!A351)</f>
        <v>351</v>
      </c>
      <c r="B213">
        <v>1474096760</v>
      </c>
      <c r="C213">
        <v>1472040010</v>
      </c>
      <c r="D213">
        <v>1441833954</v>
      </c>
      <c r="E213">
        <v>1</v>
      </c>
      <c r="F213">
        <v>1</v>
      </c>
      <c r="G213">
        <v>15514512</v>
      </c>
      <c r="H213">
        <v>2</v>
      </c>
      <c r="I213" t="s">
        <v>717</v>
      </c>
      <c r="J213" t="s">
        <v>718</v>
      </c>
      <c r="K213" t="s">
        <v>719</v>
      </c>
      <c r="L213">
        <v>1368</v>
      </c>
      <c r="N213">
        <v>1011</v>
      </c>
      <c r="O213" t="s">
        <v>603</v>
      </c>
      <c r="P213" t="s">
        <v>603</v>
      </c>
      <c r="Q213">
        <v>1</v>
      </c>
      <c r="X213">
        <v>1.24E-2</v>
      </c>
      <c r="Y213">
        <v>0</v>
      </c>
      <c r="Z213">
        <v>59.51</v>
      </c>
      <c r="AA213">
        <v>0.82</v>
      </c>
      <c r="AB213">
        <v>0</v>
      </c>
      <c r="AC213">
        <v>0</v>
      </c>
      <c r="AD213">
        <v>1</v>
      </c>
      <c r="AE213">
        <v>0</v>
      </c>
      <c r="AF213" t="s">
        <v>164</v>
      </c>
      <c r="AG213">
        <v>2.4799999999999999E-2</v>
      </c>
      <c r="AH213">
        <v>3</v>
      </c>
      <c r="AI213">
        <v>-1</v>
      </c>
      <c r="AJ213" t="s">
        <v>3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ROW(Source!A351)</f>
        <v>351</v>
      </c>
      <c r="B214">
        <v>1474096761</v>
      </c>
      <c r="C214">
        <v>1472040010</v>
      </c>
      <c r="D214">
        <v>1441836235</v>
      </c>
      <c r="E214">
        <v>1</v>
      </c>
      <c r="F214">
        <v>1</v>
      </c>
      <c r="G214">
        <v>15514512</v>
      </c>
      <c r="H214">
        <v>3</v>
      </c>
      <c r="I214" t="s">
        <v>683</v>
      </c>
      <c r="J214" t="s">
        <v>684</v>
      </c>
      <c r="K214" t="s">
        <v>685</v>
      </c>
      <c r="L214">
        <v>1346</v>
      </c>
      <c r="N214">
        <v>1009</v>
      </c>
      <c r="O214" t="s">
        <v>657</v>
      </c>
      <c r="P214" t="s">
        <v>657</v>
      </c>
      <c r="Q214">
        <v>1</v>
      </c>
      <c r="X214">
        <v>0.01</v>
      </c>
      <c r="Y214">
        <v>31.49</v>
      </c>
      <c r="Z214">
        <v>0</v>
      </c>
      <c r="AA214">
        <v>0</v>
      </c>
      <c r="AB214">
        <v>0</v>
      </c>
      <c r="AC214">
        <v>0</v>
      </c>
      <c r="AD214">
        <v>1</v>
      </c>
      <c r="AE214">
        <v>0</v>
      </c>
      <c r="AF214" t="s">
        <v>164</v>
      </c>
      <c r="AG214">
        <v>0.02</v>
      </c>
      <c r="AH214">
        <v>3</v>
      </c>
      <c r="AI214">
        <v>-1</v>
      </c>
      <c r="AJ214" t="s">
        <v>3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ROW(Source!A352)</f>
        <v>352</v>
      </c>
      <c r="B215">
        <v>1474096762</v>
      </c>
      <c r="C215">
        <v>1472040020</v>
      </c>
      <c r="D215">
        <v>1441819193</v>
      </c>
      <c r="E215">
        <v>15514512</v>
      </c>
      <c r="F215">
        <v>1</v>
      </c>
      <c r="G215">
        <v>15514512</v>
      </c>
      <c r="H215">
        <v>1</v>
      </c>
      <c r="I215" t="s">
        <v>648</v>
      </c>
      <c r="J215" t="s">
        <v>3</v>
      </c>
      <c r="K215" t="s">
        <v>649</v>
      </c>
      <c r="L215">
        <v>1191</v>
      </c>
      <c r="N215">
        <v>1013</v>
      </c>
      <c r="O215" t="s">
        <v>650</v>
      </c>
      <c r="P215" t="s">
        <v>650</v>
      </c>
      <c r="Q215">
        <v>1</v>
      </c>
      <c r="X215">
        <v>1.84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1</v>
      </c>
      <c r="AE215">
        <v>1</v>
      </c>
      <c r="AF215" t="s">
        <v>3</v>
      </c>
      <c r="AG215">
        <v>1.84</v>
      </c>
      <c r="AH215">
        <v>3</v>
      </c>
      <c r="AI215">
        <v>-1</v>
      </c>
      <c r="AJ215" t="s">
        <v>3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ROW(Source!A352)</f>
        <v>352</v>
      </c>
      <c r="B216">
        <v>1474096763</v>
      </c>
      <c r="C216">
        <v>1472040020</v>
      </c>
      <c r="D216">
        <v>1441833954</v>
      </c>
      <c r="E216">
        <v>1</v>
      </c>
      <c r="F216">
        <v>1</v>
      </c>
      <c r="G216">
        <v>15514512</v>
      </c>
      <c r="H216">
        <v>2</v>
      </c>
      <c r="I216" t="s">
        <v>717</v>
      </c>
      <c r="J216" t="s">
        <v>718</v>
      </c>
      <c r="K216" t="s">
        <v>719</v>
      </c>
      <c r="L216">
        <v>1368</v>
      </c>
      <c r="N216">
        <v>1011</v>
      </c>
      <c r="O216" t="s">
        <v>603</v>
      </c>
      <c r="P216" t="s">
        <v>603</v>
      </c>
      <c r="Q216">
        <v>1</v>
      </c>
      <c r="X216">
        <v>6.88E-2</v>
      </c>
      <c r="Y216">
        <v>0</v>
      </c>
      <c r="Z216">
        <v>59.51</v>
      </c>
      <c r="AA216">
        <v>0.82</v>
      </c>
      <c r="AB216">
        <v>0</v>
      </c>
      <c r="AC216">
        <v>0</v>
      </c>
      <c r="AD216">
        <v>1</v>
      </c>
      <c r="AE216">
        <v>0</v>
      </c>
      <c r="AF216" t="s">
        <v>3</v>
      </c>
      <c r="AG216">
        <v>6.88E-2</v>
      </c>
      <c r="AH216">
        <v>3</v>
      </c>
      <c r="AI216">
        <v>-1</v>
      </c>
      <c r="AJ216" t="s">
        <v>3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ROW(Source!A352)</f>
        <v>352</v>
      </c>
      <c r="B217">
        <v>1474096764</v>
      </c>
      <c r="C217">
        <v>1472040020</v>
      </c>
      <c r="D217">
        <v>1441836235</v>
      </c>
      <c r="E217">
        <v>1</v>
      </c>
      <c r="F217">
        <v>1</v>
      </c>
      <c r="G217">
        <v>15514512</v>
      </c>
      <c r="H217">
        <v>3</v>
      </c>
      <c r="I217" t="s">
        <v>683</v>
      </c>
      <c r="J217" t="s">
        <v>684</v>
      </c>
      <c r="K217" t="s">
        <v>685</v>
      </c>
      <c r="L217">
        <v>1346</v>
      </c>
      <c r="N217">
        <v>1009</v>
      </c>
      <c r="O217" t="s">
        <v>657</v>
      </c>
      <c r="P217" t="s">
        <v>657</v>
      </c>
      <c r="Q217">
        <v>1</v>
      </c>
      <c r="X217">
        <v>5.2999999999999999E-2</v>
      </c>
      <c r="Y217">
        <v>31.49</v>
      </c>
      <c r="Z217">
        <v>0</v>
      </c>
      <c r="AA217">
        <v>0</v>
      </c>
      <c r="AB217">
        <v>0</v>
      </c>
      <c r="AC217">
        <v>0</v>
      </c>
      <c r="AD217">
        <v>1</v>
      </c>
      <c r="AE217">
        <v>0</v>
      </c>
      <c r="AF217" t="s">
        <v>3</v>
      </c>
      <c r="AG217">
        <v>5.2999999999999999E-2</v>
      </c>
      <c r="AH217">
        <v>3</v>
      </c>
      <c r="AI217">
        <v>-1</v>
      </c>
      <c r="AJ217" t="s">
        <v>3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ROW(Source!A353)</f>
        <v>353</v>
      </c>
      <c r="B218">
        <v>1474096765</v>
      </c>
      <c r="C218">
        <v>1472040030</v>
      </c>
      <c r="D218">
        <v>1441819193</v>
      </c>
      <c r="E218">
        <v>15514512</v>
      </c>
      <c r="F218">
        <v>1</v>
      </c>
      <c r="G218">
        <v>15514512</v>
      </c>
      <c r="H218">
        <v>1</v>
      </c>
      <c r="I218" t="s">
        <v>648</v>
      </c>
      <c r="J218" t="s">
        <v>3</v>
      </c>
      <c r="K218" t="s">
        <v>649</v>
      </c>
      <c r="L218">
        <v>1191</v>
      </c>
      <c r="N218">
        <v>1013</v>
      </c>
      <c r="O218" t="s">
        <v>650</v>
      </c>
      <c r="P218" t="s">
        <v>650</v>
      </c>
      <c r="Q218">
        <v>1</v>
      </c>
      <c r="X218">
        <v>0.2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1</v>
      </c>
      <c r="AF218" t="s">
        <v>279</v>
      </c>
      <c r="AG218">
        <v>1</v>
      </c>
      <c r="AH218">
        <v>3</v>
      </c>
      <c r="AI218">
        <v>-1</v>
      </c>
      <c r="AJ218" t="s">
        <v>3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ROW(Source!A353)</f>
        <v>353</v>
      </c>
      <c r="B219">
        <v>1474096766</v>
      </c>
      <c r="C219">
        <v>1472040030</v>
      </c>
      <c r="D219">
        <v>1441833954</v>
      </c>
      <c r="E219">
        <v>1</v>
      </c>
      <c r="F219">
        <v>1</v>
      </c>
      <c r="G219">
        <v>15514512</v>
      </c>
      <c r="H219">
        <v>2</v>
      </c>
      <c r="I219" t="s">
        <v>717</v>
      </c>
      <c r="J219" t="s">
        <v>718</v>
      </c>
      <c r="K219" t="s">
        <v>719</v>
      </c>
      <c r="L219">
        <v>1368</v>
      </c>
      <c r="N219">
        <v>1011</v>
      </c>
      <c r="O219" t="s">
        <v>603</v>
      </c>
      <c r="P219" t="s">
        <v>603</v>
      </c>
      <c r="Q219">
        <v>1</v>
      </c>
      <c r="X219">
        <v>1.24E-2</v>
      </c>
      <c r="Y219">
        <v>0</v>
      </c>
      <c r="Z219">
        <v>59.51</v>
      </c>
      <c r="AA219">
        <v>0.82</v>
      </c>
      <c r="AB219">
        <v>0</v>
      </c>
      <c r="AC219">
        <v>0</v>
      </c>
      <c r="AD219">
        <v>1</v>
      </c>
      <c r="AE219">
        <v>0</v>
      </c>
      <c r="AF219" t="s">
        <v>279</v>
      </c>
      <c r="AG219">
        <v>6.2E-2</v>
      </c>
      <c r="AH219">
        <v>3</v>
      </c>
      <c r="AI219">
        <v>-1</v>
      </c>
      <c r="AJ219" t="s">
        <v>3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ROW(Source!A353)</f>
        <v>353</v>
      </c>
      <c r="B220">
        <v>1474096767</v>
      </c>
      <c r="C220">
        <v>1472040030</v>
      </c>
      <c r="D220">
        <v>1441836235</v>
      </c>
      <c r="E220">
        <v>1</v>
      </c>
      <c r="F220">
        <v>1</v>
      </c>
      <c r="G220">
        <v>15514512</v>
      </c>
      <c r="H220">
        <v>3</v>
      </c>
      <c r="I220" t="s">
        <v>683</v>
      </c>
      <c r="J220" t="s">
        <v>684</v>
      </c>
      <c r="K220" t="s">
        <v>685</v>
      </c>
      <c r="L220">
        <v>1346</v>
      </c>
      <c r="N220">
        <v>1009</v>
      </c>
      <c r="O220" t="s">
        <v>657</v>
      </c>
      <c r="P220" t="s">
        <v>657</v>
      </c>
      <c r="Q220">
        <v>1</v>
      </c>
      <c r="X220">
        <v>0.01</v>
      </c>
      <c r="Y220">
        <v>31.49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0</v>
      </c>
      <c r="AF220" t="s">
        <v>279</v>
      </c>
      <c r="AG220">
        <v>0.05</v>
      </c>
      <c r="AH220">
        <v>3</v>
      </c>
      <c r="AI220">
        <v>-1</v>
      </c>
      <c r="AJ220" t="s">
        <v>3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ROW(Source!A354)</f>
        <v>354</v>
      </c>
      <c r="B221">
        <v>1474096768</v>
      </c>
      <c r="C221">
        <v>1472040040</v>
      </c>
      <c r="D221">
        <v>1441819193</v>
      </c>
      <c r="E221">
        <v>15514512</v>
      </c>
      <c r="F221">
        <v>1</v>
      </c>
      <c r="G221">
        <v>15514512</v>
      </c>
      <c r="H221">
        <v>1</v>
      </c>
      <c r="I221" t="s">
        <v>648</v>
      </c>
      <c r="J221" t="s">
        <v>3</v>
      </c>
      <c r="K221" t="s">
        <v>649</v>
      </c>
      <c r="L221">
        <v>1191</v>
      </c>
      <c r="N221">
        <v>1013</v>
      </c>
      <c r="O221" t="s">
        <v>650</v>
      </c>
      <c r="P221" t="s">
        <v>650</v>
      </c>
      <c r="Q221">
        <v>1</v>
      </c>
      <c r="X221">
        <v>1.59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1</v>
      </c>
      <c r="AE221">
        <v>1</v>
      </c>
      <c r="AF221" t="s">
        <v>3</v>
      </c>
      <c r="AG221">
        <v>1.59</v>
      </c>
      <c r="AH221">
        <v>3</v>
      </c>
      <c r="AI221">
        <v>-1</v>
      </c>
      <c r="AJ221" t="s">
        <v>3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ROW(Source!A354)</f>
        <v>354</v>
      </c>
      <c r="B222">
        <v>1474096769</v>
      </c>
      <c r="C222">
        <v>1472040040</v>
      </c>
      <c r="D222">
        <v>1441836235</v>
      </c>
      <c r="E222">
        <v>1</v>
      </c>
      <c r="F222">
        <v>1</v>
      </c>
      <c r="G222">
        <v>15514512</v>
      </c>
      <c r="H222">
        <v>3</v>
      </c>
      <c r="I222" t="s">
        <v>683</v>
      </c>
      <c r="J222" t="s">
        <v>684</v>
      </c>
      <c r="K222" t="s">
        <v>685</v>
      </c>
      <c r="L222">
        <v>1346</v>
      </c>
      <c r="N222">
        <v>1009</v>
      </c>
      <c r="O222" t="s">
        <v>657</v>
      </c>
      <c r="P222" t="s">
        <v>657</v>
      </c>
      <c r="Q222">
        <v>1</v>
      </c>
      <c r="X222">
        <v>0.01</v>
      </c>
      <c r="Y222">
        <v>31.49</v>
      </c>
      <c r="Z222">
        <v>0</v>
      </c>
      <c r="AA222">
        <v>0</v>
      </c>
      <c r="AB222">
        <v>0</v>
      </c>
      <c r="AC222">
        <v>0</v>
      </c>
      <c r="AD222">
        <v>1</v>
      </c>
      <c r="AE222">
        <v>0</v>
      </c>
      <c r="AF222" t="s">
        <v>3</v>
      </c>
      <c r="AG222">
        <v>0.01</v>
      </c>
      <c r="AH222">
        <v>3</v>
      </c>
      <c r="AI222">
        <v>-1</v>
      </c>
      <c r="AJ222" t="s">
        <v>3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ROW(Source!A355)</f>
        <v>355</v>
      </c>
      <c r="B223">
        <v>1474096770</v>
      </c>
      <c r="C223">
        <v>1472040047</v>
      </c>
      <c r="D223">
        <v>1441819193</v>
      </c>
      <c r="E223">
        <v>15514512</v>
      </c>
      <c r="F223">
        <v>1</v>
      </c>
      <c r="G223">
        <v>15514512</v>
      </c>
      <c r="H223">
        <v>1</v>
      </c>
      <c r="I223" t="s">
        <v>648</v>
      </c>
      <c r="J223" t="s">
        <v>3</v>
      </c>
      <c r="K223" t="s">
        <v>649</v>
      </c>
      <c r="L223">
        <v>1191</v>
      </c>
      <c r="N223">
        <v>1013</v>
      </c>
      <c r="O223" t="s">
        <v>650</v>
      </c>
      <c r="P223" t="s">
        <v>650</v>
      </c>
      <c r="Q223">
        <v>1</v>
      </c>
      <c r="X223">
        <v>11.04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1</v>
      </c>
      <c r="AE223">
        <v>1</v>
      </c>
      <c r="AF223" t="s">
        <v>164</v>
      </c>
      <c r="AG223">
        <v>22.08</v>
      </c>
      <c r="AH223">
        <v>3</v>
      </c>
      <c r="AI223">
        <v>-1</v>
      </c>
      <c r="AJ223" t="s">
        <v>3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ROW(Source!A355)</f>
        <v>355</v>
      </c>
      <c r="B224">
        <v>1474096771</v>
      </c>
      <c r="C224">
        <v>1472040047</v>
      </c>
      <c r="D224">
        <v>1441834258</v>
      </c>
      <c r="E224">
        <v>1</v>
      </c>
      <c r="F224">
        <v>1</v>
      </c>
      <c r="G224">
        <v>15514512</v>
      </c>
      <c r="H224">
        <v>2</v>
      </c>
      <c r="I224" t="s">
        <v>651</v>
      </c>
      <c r="J224" t="s">
        <v>652</v>
      </c>
      <c r="K224" t="s">
        <v>653</v>
      </c>
      <c r="L224">
        <v>1368</v>
      </c>
      <c r="N224">
        <v>1011</v>
      </c>
      <c r="O224" t="s">
        <v>603</v>
      </c>
      <c r="P224" t="s">
        <v>603</v>
      </c>
      <c r="Q224">
        <v>1</v>
      </c>
      <c r="X224">
        <v>2.42</v>
      </c>
      <c r="Y224">
        <v>0</v>
      </c>
      <c r="Z224">
        <v>1303.01</v>
      </c>
      <c r="AA224">
        <v>826.2</v>
      </c>
      <c r="AB224">
        <v>0</v>
      </c>
      <c r="AC224">
        <v>0</v>
      </c>
      <c r="AD224">
        <v>1</v>
      </c>
      <c r="AE224">
        <v>0</v>
      </c>
      <c r="AF224" t="s">
        <v>164</v>
      </c>
      <c r="AG224">
        <v>4.84</v>
      </c>
      <c r="AH224">
        <v>3</v>
      </c>
      <c r="AI224">
        <v>-1</v>
      </c>
      <c r="AJ224" t="s">
        <v>3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ROW(Source!A355)</f>
        <v>355</v>
      </c>
      <c r="B225">
        <v>1474096772</v>
      </c>
      <c r="C225">
        <v>1472040047</v>
      </c>
      <c r="D225">
        <v>1441836235</v>
      </c>
      <c r="E225">
        <v>1</v>
      </c>
      <c r="F225">
        <v>1</v>
      </c>
      <c r="G225">
        <v>15514512</v>
      </c>
      <c r="H225">
        <v>3</v>
      </c>
      <c r="I225" t="s">
        <v>683</v>
      </c>
      <c r="J225" t="s">
        <v>684</v>
      </c>
      <c r="K225" t="s">
        <v>685</v>
      </c>
      <c r="L225">
        <v>1346</v>
      </c>
      <c r="N225">
        <v>1009</v>
      </c>
      <c r="O225" t="s">
        <v>657</v>
      </c>
      <c r="P225" t="s">
        <v>657</v>
      </c>
      <c r="Q225">
        <v>1</v>
      </c>
      <c r="X225">
        <v>0.2477</v>
      </c>
      <c r="Y225">
        <v>31.49</v>
      </c>
      <c r="Z225">
        <v>0</v>
      </c>
      <c r="AA225">
        <v>0</v>
      </c>
      <c r="AB225">
        <v>0</v>
      </c>
      <c r="AC225">
        <v>0</v>
      </c>
      <c r="AD225">
        <v>1</v>
      </c>
      <c r="AE225">
        <v>0</v>
      </c>
      <c r="AF225" t="s">
        <v>164</v>
      </c>
      <c r="AG225">
        <v>0.49540000000000001</v>
      </c>
      <c r="AH225">
        <v>3</v>
      </c>
      <c r="AI225">
        <v>-1</v>
      </c>
      <c r="AJ225" t="s">
        <v>3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ROW(Source!A356)</f>
        <v>356</v>
      </c>
      <c r="B226">
        <v>1474096773</v>
      </c>
      <c r="C226">
        <v>1472040057</v>
      </c>
      <c r="D226">
        <v>1441819193</v>
      </c>
      <c r="E226">
        <v>15514512</v>
      </c>
      <c r="F226">
        <v>1</v>
      </c>
      <c r="G226">
        <v>15514512</v>
      </c>
      <c r="H226">
        <v>1</v>
      </c>
      <c r="I226" t="s">
        <v>648</v>
      </c>
      <c r="J226" t="s">
        <v>3</v>
      </c>
      <c r="K226" t="s">
        <v>649</v>
      </c>
      <c r="L226">
        <v>1191</v>
      </c>
      <c r="N226">
        <v>1013</v>
      </c>
      <c r="O226" t="s">
        <v>650</v>
      </c>
      <c r="P226" t="s">
        <v>650</v>
      </c>
      <c r="Q226">
        <v>1</v>
      </c>
      <c r="X226">
        <v>0.14000000000000001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1</v>
      </c>
      <c r="AE226">
        <v>1</v>
      </c>
      <c r="AF226" t="s">
        <v>3</v>
      </c>
      <c r="AG226">
        <v>0.14000000000000001</v>
      </c>
      <c r="AH226">
        <v>3</v>
      </c>
      <c r="AI226">
        <v>-1</v>
      </c>
      <c r="AJ226" t="s">
        <v>3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ROW(Source!A356)</f>
        <v>356</v>
      </c>
      <c r="B227">
        <v>1474096774</v>
      </c>
      <c r="C227">
        <v>1472040057</v>
      </c>
      <c r="D227">
        <v>1441834213</v>
      </c>
      <c r="E227">
        <v>1</v>
      </c>
      <c r="F227">
        <v>1</v>
      </c>
      <c r="G227">
        <v>15514512</v>
      </c>
      <c r="H227">
        <v>2</v>
      </c>
      <c r="I227" t="s">
        <v>720</v>
      </c>
      <c r="J227" t="s">
        <v>721</v>
      </c>
      <c r="K227" t="s">
        <v>722</v>
      </c>
      <c r="L227">
        <v>1368</v>
      </c>
      <c r="N227">
        <v>1011</v>
      </c>
      <c r="O227" t="s">
        <v>603</v>
      </c>
      <c r="P227" t="s">
        <v>603</v>
      </c>
      <c r="Q227">
        <v>1</v>
      </c>
      <c r="X227">
        <v>0.03</v>
      </c>
      <c r="Y227">
        <v>0</v>
      </c>
      <c r="Z227">
        <v>7.68</v>
      </c>
      <c r="AA227">
        <v>0.05</v>
      </c>
      <c r="AB227">
        <v>0</v>
      </c>
      <c r="AC227">
        <v>0</v>
      </c>
      <c r="AD227">
        <v>1</v>
      </c>
      <c r="AE227">
        <v>0</v>
      </c>
      <c r="AF227" t="s">
        <v>3</v>
      </c>
      <c r="AG227">
        <v>0.03</v>
      </c>
      <c r="AH227">
        <v>3</v>
      </c>
      <c r="AI227">
        <v>-1</v>
      </c>
      <c r="AJ227" t="s">
        <v>3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ROW(Source!A356)</f>
        <v>356</v>
      </c>
      <c r="B228">
        <v>1474096775</v>
      </c>
      <c r="C228">
        <v>1472040057</v>
      </c>
      <c r="D228">
        <v>1441836235</v>
      </c>
      <c r="E228">
        <v>1</v>
      </c>
      <c r="F228">
        <v>1</v>
      </c>
      <c r="G228">
        <v>15514512</v>
      </c>
      <c r="H228">
        <v>3</v>
      </c>
      <c r="I228" t="s">
        <v>683</v>
      </c>
      <c r="J228" t="s">
        <v>684</v>
      </c>
      <c r="K228" t="s">
        <v>685</v>
      </c>
      <c r="L228">
        <v>1346</v>
      </c>
      <c r="N228">
        <v>1009</v>
      </c>
      <c r="O228" t="s">
        <v>657</v>
      </c>
      <c r="P228" t="s">
        <v>657</v>
      </c>
      <c r="Q228">
        <v>1</v>
      </c>
      <c r="X228">
        <v>7.0000000000000007E-2</v>
      </c>
      <c r="Y228">
        <v>31.49</v>
      </c>
      <c r="Z228">
        <v>0</v>
      </c>
      <c r="AA228">
        <v>0</v>
      </c>
      <c r="AB228">
        <v>0</v>
      </c>
      <c r="AC228">
        <v>0</v>
      </c>
      <c r="AD228">
        <v>1</v>
      </c>
      <c r="AE228">
        <v>0</v>
      </c>
      <c r="AF228" t="s">
        <v>3</v>
      </c>
      <c r="AG228">
        <v>7.0000000000000007E-2</v>
      </c>
      <c r="AH228">
        <v>3</v>
      </c>
      <c r="AI228">
        <v>-1</v>
      </c>
      <c r="AJ228" t="s">
        <v>3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ROW(Source!A357)</f>
        <v>357</v>
      </c>
      <c r="B229">
        <v>1474096776</v>
      </c>
      <c r="C229">
        <v>1472040067</v>
      </c>
      <c r="D229">
        <v>1441819193</v>
      </c>
      <c r="E229">
        <v>15514512</v>
      </c>
      <c r="F229">
        <v>1</v>
      </c>
      <c r="G229">
        <v>15514512</v>
      </c>
      <c r="H229">
        <v>1</v>
      </c>
      <c r="I229" t="s">
        <v>648</v>
      </c>
      <c r="J229" t="s">
        <v>3</v>
      </c>
      <c r="K229" t="s">
        <v>649</v>
      </c>
      <c r="L229">
        <v>1191</v>
      </c>
      <c r="N229">
        <v>1013</v>
      </c>
      <c r="O229" t="s">
        <v>650</v>
      </c>
      <c r="P229" t="s">
        <v>650</v>
      </c>
      <c r="Q229">
        <v>1</v>
      </c>
      <c r="X229">
        <v>0.41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1</v>
      </c>
      <c r="AE229">
        <v>1</v>
      </c>
      <c r="AF229" t="s">
        <v>290</v>
      </c>
      <c r="AG229">
        <v>1.23</v>
      </c>
      <c r="AH229">
        <v>3</v>
      </c>
      <c r="AI229">
        <v>-1</v>
      </c>
      <c r="AJ229" t="s">
        <v>3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ROW(Source!A358)</f>
        <v>358</v>
      </c>
      <c r="B230">
        <v>1474096777</v>
      </c>
      <c r="C230">
        <v>1472040071</v>
      </c>
      <c r="D230">
        <v>1441819193</v>
      </c>
      <c r="E230">
        <v>15514512</v>
      </c>
      <c r="F230">
        <v>1</v>
      </c>
      <c r="G230">
        <v>15514512</v>
      </c>
      <c r="H230">
        <v>1</v>
      </c>
      <c r="I230" t="s">
        <v>648</v>
      </c>
      <c r="J230" t="s">
        <v>3</v>
      </c>
      <c r="K230" t="s">
        <v>649</v>
      </c>
      <c r="L230">
        <v>1191</v>
      </c>
      <c r="N230">
        <v>1013</v>
      </c>
      <c r="O230" t="s">
        <v>650</v>
      </c>
      <c r="P230" t="s">
        <v>650</v>
      </c>
      <c r="Q230">
        <v>1</v>
      </c>
      <c r="X230">
        <v>0.45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1</v>
      </c>
      <c r="AE230">
        <v>1</v>
      </c>
      <c r="AF230" t="s">
        <v>3</v>
      </c>
      <c r="AG230">
        <v>0.45</v>
      </c>
      <c r="AH230">
        <v>3</v>
      </c>
      <c r="AI230">
        <v>-1</v>
      </c>
      <c r="AJ230" t="s">
        <v>3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ROW(Source!A359)</f>
        <v>359</v>
      </c>
      <c r="B231">
        <v>1474096778</v>
      </c>
      <c r="C231">
        <v>1472040075</v>
      </c>
      <c r="D231">
        <v>1441819193</v>
      </c>
      <c r="E231">
        <v>15514512</v>
      </c>
      <c r="F231">
        <v>1</v>
      </c>
      <c r="G231">
        <v>15514512</v>
      </c>
      <c r="H231">
        <v>1</v>
      </c>
      <c r="I231" t="s">
        <v>648</v>
      </c>
      <c r="J231" t="s">
        <v>3</v>
      </c>
      <c r="K231" t="s">
        <v>649</v>
      </c>
      <c r="L231">
        <v>1191</v>
      </c>
      <c r="N231">
        <v>1013</v>
      </c>
      <c r="O231" t="s">
        <v>650</v>
      </c>
      <c r="P231" t="s">
        <v>650</v>
      </c>
      <c r="Q231">
        <v>1</v>
      </c>
      <c r="X231">
        <v>1.52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1</v>
      </c>
      <c r="AE231">
        <v>1</v>
      </c>
      <c r="AF231" t="s">
        <v>3</v>
      </c>
      <c r="AG231">
        <v>1.52</v>
      </c>
      <c r="AH231">
        <v>3</v>
      </c>
      <c r="AI231">
        <v>-1</v>
      </c>
      <c r="AJ231" t="s">
        <v>3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ROW(Source!A359)</f>
        <v>359</v>
      </c>
      <c r="B232">
        <v>1474096779</v>
      </c>
      <c r="C232">
        <v>1472040075</v>
      </c>
      <c r="D232">
        <v>1441836235</v>
      </c>
      <c r="E232">
        <v>1</v>
      </c>
      <c r="F232">
        <v>1</v>
      </c>
      <c r="G232">
        <v>15514512</v>
      </c>
      <c r="H232">
        <v>3</v>
      </c>
      <c r="I232" t="s">
        <v>683</v>
      </c>
      <c r="J232" t="s">
        <v>684</v>
      </c>
      <c r="K232" t="s">
        <v>685</v>
      </c>
      <c r="L232">
        <v>1346</v>
      </c>
      <c r="N232">
        <v>1009</v>
      </c>
      <c r="O232" t="s">
        <v>657</v>
      </c>
      <c r="P232" t="s">
        <v>657</v>
      </c>
      <c r="Q232">
        <v>1</v>
      </c>
      <c r="X232">
        <v>0.02</v>
      </c>
      <c r="Y232">
        <v>31.49</v>
      </c>
      <c r="Z232">
        <v>0</v>
      </c>
      <c r="AA232">
        <v>0</v>
      </c>
      <c r="AB232">
        <v>0</v>
      </c>
      <c r="AC232">
        <v>0</v>
      </c>
      <c r="AD232">
        <v>1</v>
      </c>
      <c r="AE232">
        <v>0</v>
      </c>
      <c r="AF232" t="s">
        <v>3</v>
      </c>
      <c r="AG232">
        <v>0.02</v>
      </c>
      <c r="AH232">
        <v>3</v>
      </c>
      <c r="AI232">
        <v>-1</v>
      </c>
      <c r="AJ232" t="s">
        <v>3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ROW(Source!A360)</f>
        <v>360</v>
      </c>
      <c r="B233">
        <v>1474096780</v>
      </c>
      <c r="C233">
        <v>1472040082</v>
      </c>
      <c r="D233">
        <v>1441819193</v>
      </c>
      <c r="E233">
        <v>15514512</v>
      </c>
      <c r="F233">
        <v>1</v>
      </c>
      <c r="G233">
        <v>15514512</v>
      </c>
      <c r="H233">
        <v>1</v>
      </c>
      <c r="I233" t="s">
        <v>648</v>
      </c>
      <c r="J233" t="s">
        <v>3</v>
      </c>
      <c r="K233" t="s">
        <v>649</v>
      </c>
      <c r="L233">
        <v>1191</v>
      </c>
      <c r="N233">
        <v>1013</v>
      </c>
      <c r="O233" t="s">
        <v>650</v>
      </c>
      <c r="P233" t="s">
        <v>650</v>
      </c>
      <c r="Q233">
        <v>1</v>
      </c>
      <c r="X233">
        <v>0.9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1</v>
      </c>
      <c r="AE233">
        <v>1</v>
      </c>
      <c r="AF233" t="s">
        <v>22</v>
      </c>
      <c r="AG233">
        <v>3.6</v>
      </c>
      <c r="AH233">
        <v>3</v>
      </c>
      <c r="AI233">
        <v>-1</v>
      </c>
      <c r="AJ233" t="s">
        <v>3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ROW(Source!A361)</f>
        <v>361</v>
      </c>
      <c r="B234">
        <v>1474096781</v>
      </c>
      <c r="C234">
        <v>1472040086</v>
      </c>
      <c r="D234">
        <v>1441819193</v>
      </c>
      <c r="E234">
        <v>15514512</v>
      </c>
      <c r="F234">
        <v>1</v>
      </c>
      <c r="G234">
        <v>15514512</v>
      </c>
      <c r="H234">
        <v>1</v>
      </c>
      <c r="I234" t="s">
        <v>648</v>
      </c>
      <c r="J234" t="s">
        <v>3</v>
      </c>
      <c r="K234" t="s">
        <v>649</v>
      </c>
      <c r="L234">
        <v>1191</v>
      </c>
      <c r="N234">
        <v>1013</v>
      </c>
      <c r="O234" t="s">
        <v>650</v>
      </c>
      <c r="P234" t="s">
        <v>650</v>
      </c>
      <c r="Q234">
        <v>1</v>
      </c>
      <c r="X234">
        <v>4.84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1</v>
      </c>
      <c r="AE234">
        <v>1</v>
      </c>
      <c r="AF234" t="s">
        <v>22</v>
      </c>
      <c r="AG234">
        <v>19.36</v>
      </c>
      <c r="AH234">
        <v>3</v>
      </c>
      <c r="AI234">
        <v>-1</v>
      </c>
      <c r="AJ234" t="s">
        <v>3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ROW(Source!A362)</f>
        <v>362</v>
      </c>
      <c r="B235">
        <v>1474096782</v>
      </c>
      <c r="C235">
        <v>1472040090</v>
      </c>
      <c r="D235">
        <v>1441819193</v>
      </c>
      <c r="E235">
        <v>15514512</v>
      </c>
      <c r="F235">
        <v>1</v>
      </c>
      <c r="G235">
        <v>15514512</v>
      </c>
      <c r="H235">
        <v>1</v>
      </c>
      <c r="I235" t="s">
        <v>648</v>
      </c>
      <c r="J235" t="s">
        <v>3</v>
      </c>
      <c r="K235" t="s">
        <v>649</v>
      </c>
      <c r="L235">
        <v>1191</v>
      </c>
      <c r="N235">
        <v>1013</v>
      </c>
      <c r="O235" t="s">
        <v>650</v>
      </c>
      <c r="P235" t="s">
        <v>650</v>
      </c>
      <c r="Q235">
        <v>1</v>
      </c>
      <c r="X235">
        <v>10.64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1</v>
      </c>
      <c r="AE235">
        <v>1</v>
      </c>
      <c r="AF235" t="s">
        <v>3</v>
      </c>
      <c r="AG235">
        <v>10.64</v>
      </c>
      <c r="AH235">
        <v>3</v>
      </c>
      <c r="AI235">
        <v>-1</v>
      </c>
      <c r="AJ235" t="s">
        <v>3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ROW(Source!A362)</f>
        <v>362</v>
      </c>
      <c r="B236">
        <v>1474096783</v>
      </c>
      <c r="C236">
        <v>1472040090</v>
      </c>
      <c r="D236">
        <v>1441833890</v>
      </c>
      <c r="E236">
        <v>1</v>
      </c>
      <c r="F236">
        <v>1</v>
      </c>
      <c r="G236">
        <v>15514512</v>
      </c>
      <c r="H236">
        <v>2</v>
      </c>
      <c r="I236" t="s">
        <v>697</v>
      </c>
      <c r="J236" t="s">
        <v>698</v>
      </c>
      <c r="K236" t="s">
        <v>699</v>
      </c>
      <c r="L236">
        <v>1368</v>
      </c>
      <c r="N236">
        <v>1011</v>
      </c>
      <c r="O236" t="s">
        <v>603</v>
      </c>
      <c r="P236" t="s">
        <v>603</v>
      </c>
      <c r="Q236">
        <v>1</v>
      </c>
      <c r="X236">
        <v>1.5</v>
      </c>
      <c r="Y236">
        <v>0</v>
      </c>
      <c r="Z236">
        <v>33.799999999999997</v>
      </c>
      <c r="AA236">
        <v>0.54</v>
      </c>
      <c r="AB236">
        <v>0</v>
      </c>
      <c r="AC236">
        <v>0</v>
      </c>
      <c r="AD236">
        <v>1</v>
      </c>
      <c r="AE236">
        <v>0</v>
      </c>
      <c r="AF236" t="s">
        <v>3</v>
      </c>
      <c r="AG236">
        <v>1.5</v>
      </c>
      <c r="AH236">
        <v>3</v>
      </c>
      <c r="AI236">
        <v>-1</v>
      </c>
      <c r="AJ236" t="s">
        <v>3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ROW(Source!A362)</f>
        <v>362</v>
      </c>
      <c r="B237">
        <v>1474096784</v>
      </c>
      <c r="C237">
        <v>1472040090</v>
      </c>
      <c r="D237">
        <v>1441836514</v>
      </c>
      <c r="E237">
        <v>1</v>
      </c>
      <c r="F237">
        <v>1</v>
      </c>
      <c r="G237">
        <v>15514512</v>
      </c>
      <c r="H237">
        <v>3</v>
      </c>
      <c r="I237" t="s">
        <v>676</v>
      </c>
      <c r="J237" t="s">
        <v>677</v>
      </c>
      <c r="K237" t="s">
        <v>678</v>
      </c>
      <c r="L237">
        <v>1339</v>
      </c>
      <c r="N237">
        <v>1007</v>
      </c>
      <c r="O237" t="s">
        <v>679</v>
      </c>
      <c r="P237" t="s">
        <v>679</v>
      </c>
      <c r="Q237">
        <v>1</v>
      </c>
      <c r="X237">
        <v>1</v>
      </c>
      <c r="Y237">
        <v>54.81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0</v>
      </c>
      <c r="AF237" t="s">
        <v>3</v>
      </c>
      <c r="AG237">
        <v>1</v>
      </c>
      <c r="AH237">
        <v>3</v>
      </c>
      <c r="AI237">
        <v>-1</v>
      </c>
      <c r="AJ237" t="s">
        <v>3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ROW(Source!A362)</f>
        <v>362</v>
      </c>
      <c r="B238">
        <v>1474096785</v>
      </c>
      <c r="C238">
        <v>1472040090</v>
      </c>
      <c r="D238">
        <v>1441836517</v>
      </c>
      <c r="E238">
        <v>1</v>
      </c>
      <c r="F238">
        <v>1</v>
      </c>
      <c r="G238">
        <v>15514512</v>
      </c>
      <c r="H238">
        <v>3</v>
      </c>
      <c r="I238" t="s">
        <v>700</v>
      </c>
      <c r="J238" t="s">
        <v>701</v>
      </c>
      <c r="K238" t="s">
        <v>702</v>
      </c>
      <c r="L238">
        <v>1346</v>
      </c>
      <c r="N238">
        <v>1009</v>
      </c>
      <c r="O238" t="s">
        <v>657</v>
      </c>
      <c r="P238" t="s">
        <v>657</v>
      </c>
      <c r="Q238">
        <v>1</v>
      </c>
      <c r="X238">
        <v>0.02</v>
      </c>
      <c r="Y238">
        <v>451.28</v>
      </c>
      <c r="Z238">
        <v>0</v>
      </c>
      <c r="AA238">
        <v>0</v>
      </c>
      <c r="AB238">
        <v>0</v>
      </c>
      <c r="AC238">
        <v>0</v>
      </c>
      <c r="AD238">
        <v>1</v>
      </c>
      <c r="AE238">
        <v>0</v>
      </c>
      <c r="AF238" t="s">
        <v>3</v>
      </c>
      <c r="AG238">
        <v>0.02</v>
      </c>
      <c r="AH238">
        <v>3</v>
      </c>
      <c r="AI238">
        <v>-1</v>
      </c>
      <c r="AJ238" t="s">
        <v>3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ROW(Source!A362)</f>
        <v>362</v>
      </c>
      <c r="B239">
        <v>1474096787</v>
      </c>
      <c r="C239">
        <v>1472040090</v>
      </c>
      <c r="D239">
        <v>1441821379</v>
      </c>
      <c r="E239">
        <v>15514512</v>
      </c>
      <c r="F239">
        <v>1</v>
      </c>
      <c r="G239">
        <v>15514512</v>
      </c>
      <c r="H239">
        <v>3</v>
      </c>
      <c r="I239" t="s">
        <v>703</v>
      </c>
      <c r="J239" t="s">
        <v>3</v>
      </c>
      <c r="K239" t="s">
        <v>704</v>
      </c>
      <c r="L239">
        <v>1346</v>
      </c>
      <c r="N239">
        <v>1009</v>
      </c>
      <c r="O239" t="s">
        <v>657</v>
      </c>
      <c r="P239" t="s">
        <v>657</v>
      </c>
      <c r="Q239">
        <v>1</v>
      </c>
      <c r="X239">
        <v>0.05</v>
      </c>
      <c r="Y239">
        <v>89.933959999999999</v>
      </c>
      <c r="Z239">
        <v>0</v>
      </c>
      <c r="AA239">
        <v>0</v>
      </c>
      <c r="AB239">
        <v>0</v>
      </c>
      <c r="AC239">
        <v>0</v>
      </c>
      <c r="AD239">
        <v>1</v>
      </c>
      <c r="AE239">
        <v>0</v>
      </c>
      <c r="AF239" t="s">
        <v>3</v>
      </c>
      <c r="AG239">
        <v>0.05</v>
      </c>
      <c r="AH239">
        <v>3</v>
      </c>
      <c r="AI239">
        <v>-1</v>
      </c>
      <c r="AJ239" t="s">
        <v>3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ROW(Source!A362)</f>
        <v>362</v>
      </c>
      <c r="B240">
        <v>1474096786</v>
      </c>
      <c r="C240">
        <v>1472040090</v>
      </c>
      <c r="D240">
        <v>1441834875</v>
      </c>
      <c r="E240">
        <v>1</v>
      </c>
      <c r="F240">
        <v>1</v>
      </c>
      <c r="G240">
        <v>15514512</v>
      </c>
      <c r="H240">
        <v>3</v>
      </c>
      <c r="I240" t="s">
        <v>705</v>
      </c>
      <c r="J240" t="s">
        <v>706</v>
      </c>
      <c r="K240" t="s">
        <v>707</v>
      </c>
      <c r="L240">
        <v>1346</v>
      </c>
      <c r="N240">
        <v>1009</v>
      </c>
      <c r="O240" t="s">
        <v>657</v>
      </c>
      <c r="P240" t="s">
        <v>657</v>
      </c>
      <c r="Q240">
        <v>1</v>
      </c>
      <c r="X240">
        <v>0.02</v>
      </c>
      <c r="Y240">
        <v>94.64</v>
      </c>
      <c r="Z240">
        <v>0</v>
      </c>
      <c r="AA240">
        <v>0</v>
      </c>
      <c r="AB240">
        <v>0</v>
      </c>
      <c r="AC240">
        <v>0</v>
      </c>
      <c r="AD240">
        <v>1</v>
      </c>
      <c r="AE240">
        <v>0</v>
      </c>
      <c r="AF240" t="s">
        <v>3</v>
      </c>
      <c r="AG240">
        <v>0.02</v>
      </c>
      <c r="AH240">
        <v>3</v>
      </c>
      <c r="AI240">
        <v>-1</v>
      </c>
      <c r="AJ240" t="s">
        <v>3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ROW(Source!A363)</f>
        <v>363</v>
      </c>
      <c r="B241">
        <v>1474096788</v>
      </c>
      <c r="C241">
        <v>1472040097</v>
      </c>
      <c r="D241">
        <v>1441819193</v>
      </c>
      <c r="E241">
        <v>15514512</v>
      </c>
      <c r="F241">
        <v>1</v>
      </c>
      <c r="G241">
        <v>15514512</v>
      </c>
      <c r="H241">
        <v>1</v>
      </c>
      <c r="I241" t="s">
        <v>648</v>
      </c>
      <c r="J241" t="s">
        <v>3</v>
      </c>
      <c r="K241" t="s">
        <v>649</v>
      </c>
      <c r="L241">
        <v>1191</v>
      </c>
      <c r="N241">
        <v>1013</v>
      </c>
      <c r="O241" t="s">
        <v>650</v>
      </c>
      <c r="P241" t="s">
        <v>650</v>
      </c>
      <c r="Q241">
        <v>1</v>
      </c>
      <c r="X241">
        <v>2.42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1</v>
      </c>
      <c r="AE241">
        <v>1</v>
      </c>
      <c r="AF241" t="s">
        <v>3</v>
      </c>
      <c r="AG241">
        <v>2.42</v>
      </c>
      <c r="AH241">
        <v>3</v>
      </c>
      <c r="AI241">
        <v>-1</v>
      </c>
      <c r="AJ241" t="s">
        <v>3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ROW(Source!A363)</f>
        <v>363</v>
      </c>
      <c r="B242">
        <v>1474096789</v>
      </c>
      <c r="C242">
        <v>1472040097</v>
      </c>
      <c r="D242">
        <v>1441833845</v>
      </c>
      <c r="E242">
        <v>1</v>
      </c>
      <c r="F242">
        <v>1</v>
      </c>
      <c r="G242">
        <v>15514512</v>
      </c>
      <c r="H242">
        <v>2</v>
      </c>
      <c r="I242" t="s">
        <v>708</v>
      </c>
      <c r="J242" t="s">
        <v>709</v>
      </c>
      <c r="K242" t="s">
        <v>710</v>
      </c>
      <c r="L242">
        <v>1368</v>
      </c>
      <c r="N242">
        <v>1011</v>
      </c>
      <c r="O242" t="s">
        <v>603</v>
      </c>
      <c r="P242" t="s">
        <v>603</v>
      </c>
      <c r="Q242">
        <v>1</v>
      </c>
      <c r="X242">
        <v>0.61</v>
      </c>
      <c r="Y242">
        <v>0</v>
      </c>
      <c r="Z242">
        <v>17.95</v>
      </c>
      <c r="AA242">
        <v>0.05</v>
      </c>
      <c r="AB242">
        <v>0</v>
      </c>
      <c r="AC242">
        <v>0</v>
      </c>
      <c r="AD242">
        <v>1</v>
      </c>
      <c r="AE242">
        <v>0</v>
      </c>
      <c r="AF242" t="s">
        <v>3</v>
      </c>
      <c r="AG242">
        <v>0.61</v>
      </c>
      <c r="AH242">
        <v>3</v>
      </c>
      <c r="AI242">
        <v>-1</v>
      </c>
      <c r="AJ242" t="s">
        <v>3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ROW(Source!A363)</f>
        <v>363</v>
      </c>
      <c r="B243">
        <v>1474096790</v>
      </c>
      <c r="C243">
        <v>1472040097</v>
      </c>
      <c r="D243">
        <v>1441836514</v>
      </c>
      <c r="E243">
        <v>1</v>
      </c>
      <c r="F243">
        <v>1</v>
      </c>
      <c r="G243">
        <v>15514512</v>
      </c>
      <c r="H243">
        <v>3</v>
      </c>
      <c r="I243" t="s">
        <v>676</v>
      </c>
      <c r="J243" t="s">
        <v>677</v>
      </c>
      <c r="K243" t="s">
        <v>678</v>
      </c>
      <c r="L243">
        <v>1339</v>
      </c>
      <c r="N243">
        <v>1007</v>
      </c>
      <c r="O243" t="s">
        <v>679</v>
      </c>
      <c r="P243" t="s">
        <v>679</v>
      </c>
      <c r="Q243">
        <v>1</v>
      </c>
      <c r="X243">
        <v>1.03</v>
      </c>
      <c r="Y243">
        <v>54.81</v>
      </c>
      <c r="Z243">
        <v>0</v>
      </c>
      <c r="AA243">
        <v>0</v>
      </c>
      <c r="AB243">
        <v>0</v>
      </c>
      <c r="AC243">
        <v>0</v>
      </c>
      <c r="AD243">
        <v>1</v>
      </c>
      <c r="AE243">
        <v>0</v>
      </c>
      <c r="AF243" t="s">
        <v>3</v>
      </c>
      <c r="AG243">
        <v>1.03</v>
      </c>
      <c r="AH243">
        <v>3</v>
      </c>
      <c r="AI243">
        <v>-1</v>
      </c>
      <c r="AJ243" t="s">
        <v>3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ROW(Source!A366)</f>
        <v>366</v>
      </c>
      <c r="B244">
        <v>1474096791</v>
      </c>
      <c r="C244">
        <v>1472040109</v>
      </c>
      <c r="D244">
        <v>1441819193</v>
      </c>
      <c r="E244">
        <v>15514512</v>
      </c>
      <c r="F244">
        <v>1</v>
      </c>
      <c r="G244">
        <v>15514512</v>
      </c>
      <c r="H244">
        <v>1</v>
      </c>
      <c r="I244" t="s">
        <v>648</v>
      </c>
      <c r="J244" t="s">
        <v>3</v>
      </c>
      <c r="K244" t="s">
        <v>649</v>
      </c>
      <c r="L244">
        <v>1191</v>
      </c>
      <c r="N244">
        <v>1013</v>
      </c>
      <c r="O244" t="s">
        <v>650</v>
      </c>
      <c r="P244" t="s">
        <v>650</v>
      </c>
      <c r="Q244">
        <v>1</v>
      </c>
      <c r="X244">
        <v>0.9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1</v>
      </c>
      <c r="AE244">
        <v>1</v>
      </c>
      <c r="AF244" t="s">
        <v>22</v>
      </c>
      <c r="AG244">
        <v>3.6</v>
      </c>
      <c r="AH244">
        <v>3</v>
      </c>
      <c r="AI244">
        <v>-1</v>
      </c>
      <c r="AJ244" t="s">
        <v>3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ROW(Source!A367)</f>
        <v>367</v>
      </c>
      <c r="B245">
        <v>1474096792</v>
      </c>
      <c r="C245">
        <v>1472040113</v>
      </c>
      <c r="D245">
        <v>1441819193</v>
      </c>
      <c r="E245">
        <v>15514512</v>
      </c>
      <c r="F245">
        <v>1</v>
      </c>
      <c r="G245">
        <v>15514512</v>
      </c>
      <c r="H245">
        <v>1</v>
      </c>
      <c r="I245" t="s">
        <v>648</v>
      </c>
      <c r="J245" t="s">
        <v>3</v>
      </c>
      <c r="K245" t="s">
        <v>649</v>
      </c>
      <c r="L245">
        <v>1191</v>
      </c>
      <c r="N245">
        <v>1013</v>
      </c>
      <c r="O245" t="s">
        <v>650</v>
      </c>
      <c r="P245" t="s">
        <v>650</v>
      </c>
      <c r="Q245">
        <v>1</v>
      </c>
      <c r="X245">
        <v>4.84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1</v>
      </c>
      <c r="AF245" t="s">
        <v>22</v>
      </c>
      <c r="AG245">
        <v>19.36</v>
      </c>
      <c r="AH245">
        <v>3</v>
      </c>
      <c r="AI245">
        <v>-1</v>
      </c>
      <c r="AJ245" t="s">
        <v>3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ROW(Source!A368)</f>
        <v>368</v>
      </c>
      <c r="B246">
        <v>1474096793</v>
      </c>
      <c r="C246">
        <v>1472040117</v>
      </c>
      <c r="D246">
        <v>1441819193</v>
      </c>
      <c r="E246">
        <v>15514512</v>
      </c>
      <c r="F246">
        <v>1</v>
      </c>
      <c r="G246">
        <v>15514512</v>
      </c>
      <c r="H246">
        <v>1</v>
      </c>
      <c r="I246" t="s">
        <v>648</v>
      </c>
      <c r="J246" t="s">
        <v>3</v>
      </c>
      <c r="K246" t="s">
        <v>649</v>
      </c>
      <c r="L246">
        <v>1191</v>
      </c>
      <c r="N246">
        <v>1013</v>
      </c>
      <c r="O246" t="s">
        <v>650</v>
      </c>
      <c r="P246" t="s">
        <v>650</v>
      </c>
      <c r="Q246">
        <v>1</v>
      </c>
      <c r="X246">
        <v>10.64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1</v>
      </c>
      <c r="AE246">
        <v>1</v>
      </c>
      <c r="AF246" t="s">
        <v>3</v>
      </c>
      <c r="AG246">
        <v>10.64</v>
      </c>
      <c r="AH246">
        <v>3</v>
      </c>
      <c r="AI246">
        <v>-1</v>
      </c>
      <c r="AJ246" t="s">
        <v>3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ROW(Source!A368)</f>
        <v>368</v>
      </c>
      <c r="B247">
        <v>1474096794</v>
      </c>
      <c r="C247">
        <v>1472040117</v>
      </c>
      <c r="D247">
        <v>1441833890</v>
      </c>
      <c r="E247">
        <v>1</v>
      </c>
      <c r="F247">
        <v>1</v>
      </c>
      <c r="G247">
        <v>15514512</v>
      </c>
      <c r="H247">
        <v>2</v>
      </c>
      <c r="I247" t="s">
        <v>697</v>
      </c>
      <c r="J247" t="s">
        <v>698</v>
      </c>
      <c r="K247" t="s">
        <v>699</v>
      </c>
      <c r="L247">
        <v>1368</v>
      </c>
      <c r="N247">
        <v>1011</v>
      </c>
      <c r="O247" t="s">
        <v>603</v>
      </c>
      <c r="P247" t="s">
        <v>603</v>
      </c>
      <c r="Q247">
        <v>1</v>
      </c>
      <c r="X247">
        <v>1.5</v>
      </c>
      <c r="Y247">
        <v>0</v>
      </c>
      <c r="Z247">
        <v>33.799999999999997</v>
      </c>
      <c r="AA247">
        <v>0.54</v>
      </c>
      <c r="AB247">
        <v>0</v>
      </c>
      <c r="AC247">
        <v>0</v>
      </c>
      <c r="AD247">
        <v>1</v>
      </c>
      <c r="AE247">
        <v>0</v>
      </c>
      <c r="AF247" t="s">
        <v>3</v>
      </c>
      <c r="AG247">
        <v>1.5</v>
      </c>
      <c r="AH247">
        <v>3</v>
      </c>
      <c r="AI247">
        <v>-1</v>
      </c>
      <c r="AJ247" t="s">
        <v>3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ROW(Source!A368)</f>
        <v>368</v>
      </c>
      <c r="B248">
        <v>1474096795</v>
      </c>
      <c r="C248">
        <v>1472040117</v>
      </c>
      <c r="D248">
        <v>1441836514</v>
      </c>
      <c r="E248">
        <v>1</v>
      </c>
      <c r="F248">
        <v>1</v>
      </c>
      <c r="G248">
        <v>15514512</v>
      </c>
      <c r="H248">
        <v>3</v>
      </c>
      <c r="I248" t="s">
        <v>676</v>
      </c>
      <c r="J248" t="s">
        <v>677</v>
      </c>
      <c r="K248" t="s">
        <v>678</v>
      </c>
      <c r="L248">
        <v>1339</v>
      </c>
      <c r="N248">
        <v>1007</v>
      </c>
      <c r="O248" t="s">
        <v>679</v>
      </c>
      <c r="P248" t="s">
        <v>679</v>
      </c>
      <c r="Q248">
        <v>1</v>
      </c>
      <c r="X248">
        <v>1</v>
      </c>
      <c r="Y248">
        <v>54.81</v>
      </c>
      <c r="Z248">
        <v>0</v>
      </c>
      <c r="AA248">
        <v>0</v>
      </c>
      <c r="AB248">
        <v>0</v>
      </c>
      <c r="AC248">
        <v>0</v>
      </c>
      <c r="AD248">
        <v>1</v>
      </c>
      <c r="AE248">
        <v>0</v>
      </c>
      <c r="AF248" t="s">
        <v>3</v>
      </c>
      <c r="AG248">
        <v>1</v>
      </c>
      <c r="AH248">
        <v>3</v>
      </c>
      <c r="AI248">
        <v>-1</v>
      </c>
      <c r="AJ248" t="s">
        <v>3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ROW(Source!A368)</f>
        <v>368</v>
      </c>
      <c r="B249">
        <v>1474096796</v>
      </c>
      <c r="C249">
        <v>1472040117</v>
      </c>
      <c r="D249">
        <v>1441836517</v>
      </c>
      <c r="E249">
        <v>1</v>
      </c>
      <c r="F249">
        <v>1</v>
      </c>
      <c r="G249">
        <v>15514512</v>
      </c>
      <c r="H249">
        <v>3</v>
      </c>
      <c r="I249" t="s">
        <v>700</v>
      </c>
      <c r="J249" t="s">
        <v>701</v>
      </c>
      <c r="K249" t="s">
        <v>702</v>
      </c>
      <c r="L249">
        <v>1346</v>
      </c>
      <c r="N249">
        <v>1009</v>
      </c>
      <c r="O249" t="s">
        <v>657</v>
      </c>
      <c r="P249" t="s">
        <v>657</v>
      </c>
      <c r="Q249">
        <v>1</v>
      </c>
      <c r="X249">
        <v>0.02</v>
      </c>
      <c r="Y249">
        <v>451.28</v>
      </c>
      <c r="Z249">
        <v>0</v>
      </c>
      <c r="AA249">
        <v>0</v>
      </c>
      <c r="AB249">
        <v>0</v>
      </c>
      <c r="AC249">
        <v>0</v>
      </c>
      <c r="AD249">
        <v>1</v>
      </c>
      <c r="AE249">
        <v>0</v>
      </c>
      <c r="AF249" t="s">
        <v>3</v>
      </c>
      <c r="AG249">
        <v>0.02</v>
      </c>
      <c r="AH249">
        <v>3</v>
      </c>
      <c r="AI249">
        <v>-1</v>
      </c>
      <c r="AJ249" t="s">
        <v>3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ROW(Source!A368)</f>
        <v>368</v>
      </c>
      <c r="B250">
        <v>1474096798</v>
      </c>
      <c r="C250">
        <v>1472040117</v>
      </c>
      <c r="D250">
        <v>1441821379</v>
      </c>
      <c r="E250">
        <v>15514512</v>
      </c>
      <c r="F250">
        <v>1</v>
      </c>
      <c r="G250">
        <v>15514512</v>
      </c>
      <c r="H250">
        <v>3</v>
      </c>
      <c r="I250" t="s">
        <v>703</v>
      </c>
      <c r="J250" t="s">
        <v>3</v>
      </c>
      <c r="K250" t="s">
        <v>704</v>
      </c>
      <c r="L250">
        <v>1346</v>
      </c>
      <c r="N250">
        <v>1009</v>
      </c>
      <c r="O250" t="s">
        <v>657</v>
      </c>
      <c r="P250" t="s">
        <v>657</v>
      </c>
      <c r="Q250">
        <v>1</v>
      </c>
      <c r="X250">
        <v>0.05</v>
      </c>
      <c r="Y250">
        <v>89.933959999999999</v>
      </c>
      <c r="Z250">
        <v>0</v>
      </c>
      <c r="AA250">
        <v>0</v>
      </c>
      <c r="AB250">
        <v>0</v>
      </c>
      <c r="AC250">
        <v>0</v>
      </c>
      <c r="AD250">
        <v>1</v>
      </c>
      <c r="AE250">
        <v>0</v>
      </c>
      <c r="AF250" t="s">
        <v>3</v>
      </c>
      <c r="AG250">
        <v>0.05</v>
      </c>
      <c r="AH250">
        <v>3</v>
      </c>
      <c r="AI250">
        <v>-1</v>
      </c>
      <c r="AJ250" t="s">
        <v>3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ROW(Source!A368)</f>
        <v>368</v>
      </c>
      <c r="B251">
        <v>1474096797</v>
      </c>
      <c r="C251">
        <v>1472040117</v>
      </c>
      <c r="D251">
        <v>1441834875</v>
      </c>
      <c r="E251">
        <v>1</v>
      </c>
      <c r="F251">
        <v>1</v>
      </c>
      <c r="G251">
        <v>15514512</v>
      </c>
      <c r="H251">
        <v>3</v>
      </c>
      <c r="I251" t="s">
        <v>705</v>
      </c>
      <c r="J251" t="s">
        <v>706</v>
      </c>
      <c r="K251" t="s">
        <v>707</v>
      </c>
      <c r="L251">
        <v>1346</v>
      </c>
      <c r="N251">
        <v>1009</v>
      </c>
      <c r="O251" t="s">
        <v>657</v>
      </c>
      <c r="P251" t="s">
        <v>657</v>
      </c>
      <c r="Q251">
        <v>1</v>
      </c>
      <c r="X251">
        <v>0.02</v>
      </c>
      <c r="Y251">
        <v>94.64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0</v>
      </c>
      <c r="AF251" t="s">
        <v>3</v>
      </c>
      <c r="AG251">
        <v>0.02</v>
      </c>
      <c r="AH251">
        <v>3</v>
      </c>
      <c r="AI251">
        <v>-1</v>
      </c>
      <c r="AJ251" t="s">
        <v>3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ROW(Source!A369)</f>
        <v>369</v>
      </c>
      <c r="B252">
        <v>1474096799</v>
      </c>
      <c r="C252">
        <v>1472040124</v>
      </c>
      <c r="D252">
        <v>1441819193</v>
      </c>
      <c r="E252">
        <v>15514512</v>
      </c>
      <c r="F252">
        <v>1</v>
      </c>
      <c r="G252">
        <v>15514512</v>
      </c>
      <c r="H252">
        <v>1</v>
      </c>
      <c r="I252" t="s">
        <v>648</v>
      </c>
      <c r="J252" t="s">
        <v>3</v>
      </c>
      <c r="K252" t="s">
        <v>649</v>
      </c>
      <c r="L252">
        <v>1191</v>
      </c>
      <c r="N252">
        <v>1013</v>
      </c>
      <c r="O252" t="s">
        <v>650</v>
      </c>
      <c r="P252" t="s">
        <v>650</v>
      </c>
      <c r="Q252">
        <v>1</v>
      </c>
      <c r="X252">
        <v>2.42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1</v>
      </c>
      <c r="AE252">
        <v>1</v>
      </c>
      <c r="AF252" t="s">
        <v>3</v>
      </c>
      <c r="AG252">
        <v>2.42</v>
      </c>
      <c r="AH252">
        <v>3</v>
      </c>
      <c r="AI252">
        <v>-1</v>
      </c>
      <c r="AJ252" t="s">
        <v>3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ROW(Source!A369)</f>
        <v>369</v>
      </c>
      <c r="B253">
        <v>1474096800</v>
      </c>
      <c r="C253">
        <v>1472040124</v>
      </c>
      <c r="D253">
        <v>1441833845</v>
      </c>
      <c r="E253">
        <v>1</v>
      </c>
      <c r="F253">
        <v>1</v>
      </c>
      <c r="G253">
        <v>15514512</v>
      </c>
      <c r="H253">
        <v>2</v>
      </c>
      <c r="I253" t="s">
        <v>708</v>
      </c>
      <c r="J253" t="s">
        <v>709</v>
      </c>
      <c r="K253" t="s">
        <v>710</v>
      </c>
      <c r="L253">
        <v>1368</v>
      </c>
      <c r="N253">
        <v>1011</v>
      </c>
      <c r="O253" t="s">
        <v>603</v>
      </c>
      <c r="P253" t="s">
        <v>603</v>
      </c>
      <c r="Q253">
        <v>1</v>
      </c>
      <c r="X253">
        <v>0.61</v>
      </c>
      <c r="Y253">
        <v>0</v>
      </c>
      <c r="Z253">
        <v>17.95</v>
      </c>
      <c r="AA253">
        <v>0.05</v>
      </c>
      <c r="AB253">
        <v>0</v>
      </c>
      <c r="AC253">
        <v>0</v>
      </c>
      <c r="AD253">
        <v>1</v>
      </c>
      <c r="AE253">
        <v>0</v>
      </c>
      <c r="AF253" t="s">
        <v>3</v>
      </c>
      <c r="AG253">
        <v>0.61</v>
      </c>
      <c r="AH253">
        <v>3</v>
      </c>
      <c r="AI253">
        <v>-1</v>
      </c>
      <c r="AJ253" t="s">
        <v>3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ROW(Source!A369)</f>
        <v>369</v>
      </c>
      <c r="B254">
        <v>1474096801</v>
      </c>
      <c r="C254">
        <v>1472040124</v>
      </c>
      <c r="D254">
        <v>1441836514</v>
      </c>
      <c r="E254">
        <v>1</v>
      </c>
      <c r="F254">
        <v>1</v>
      </c>
      <c r="G254">
        <v>15514512</v>
      </c>
      <c r="H254">
        <v>3</v>
      </c>
      <c r="I254" t="s">
        <v>676</v>
      </c>
      <c r="J254" t="s">
        <v>677</v>
      </c>
      <c r="K254" t="s">
        <v>678</v>
      </c>
      <c r="L254">
        <v>1339</v>
      </c>
      <c r="N254">
        <v>1007</v>
      </c>
      <c r="O254" t="s">
        <v>679</v>
      </c>
      <c r="P254" t="s">
        <v>679</v>
      </c>
      <c r="Q254">
        <v>1</v>
      </c>
      <c r="X254">
        <v>1.03</v>
      </c>
      <c r="Y254">
        <v>54.81</v>
      </c>
      <c r="Z254">
        <v>0</v>
      </c>
      <c r="AA254">
        <v>0</v>
      </c>
      <c r="AB254">
        <v>0</v>
      </c>
      <c r="AC254">
        <v>0</v>
      </c>
      <c r="AD254">
        <v>1</v>
      </c>
      <c r="AE254">
        <v>0</v>
      </c>
      <c r="AF254" t="s">
        <v>3</v>
      </c>
      <c r="AG254">
        <v>1.03</v>
      </c>
      <c r="AH254">
        <v>3</v>
      </c>
      <c r="AI254">
        <v>-1</v>
      </c>
      <c r="AJ254" t="s">
        <v>3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ROW(Source!A371)</f>
        <v>371</v>
      </c>
      <c r="B255">
        <v>1474096802</v>
      </c>
      <c r="C255">
        <v>1472040135</v>
      </c>
      <c r="D255">
        <v>1441819193</v>
      </c>
      <c r="E255">
        <v>15514512</v>
      </c>
      <c r="F255">
        <v>1</v>
      </c>
      <c r="G255">
        <v>15514512</v>
      </c>
      <c r="H255">
        <v>1</v>
      </c>
      <c r="I255" t="s">
        <v>648</v>
      </c>
      <c r="J255" t="s">
        <v>3</v>
      </c>
      <c r="K255" t="s">
        <v>649</v>
      </c>
      <c r="L255">
        <v>1191</v>
      </c>
      <c r="N255">
        <v>1013</v>
      </c>
      <c r="O255" t="s">
        <v>650</v>
      </c>
      <c r="P255" t="s">
        <v>650</v>
      </c>
      <c r="Q255">
        <v>1</v>
      </c>
      <c r="X255">
        <v>0.9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1</v>
      </c>
      <c r="AE255">
        <v>1</v>
      </c>
      <c r="AF255" t="s">
        <v>22</v>
      </c>
      <c r="AG255">
        <v>3.6</v>
      </c>
      <c r="AH255">
        <v>3</v>
      </c>
      <c r="AI255">
        <v>-1</v>
      </c>
      <c r="AJ255" t="s">
        <v>3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ROW(Source!A372)</f>
        <v>372</v>
      </c>
      <c r="B256">
        <v>1474096803</v>
      </c>
      <c r="C256">
        <v>1472040139</v>
      </c>
      <c r="D256">
        <v>1441819193</v>
      </c>
      <c r="E256">
        <v>15514512</v>
      </c>
      <c r="F256">
        <v>1</v>
      </c>
      <c r="G256">
        <v>15514512</v>
      </c>
      <c r="H256">
        <v>1</v>
      </c>
      <c r="I256" t="s">
        <v>648</v>
      </c>
      <c r="J256" t="s">
        <v>3</v>
      </c>
      <c r="K256" t="s">
        <v>649</v>
      </c>
      <c r="L256">
        <v>1191</v>
      </c>
      <c r="N256">
        <v>1013</v>
      </c>
      <c r="O256" t="s">
        <v>650</v>
      </c>
      <c r="P256" t="s">
        <v>650</v>
      </c>
      <c r="Q256">
        <v>1</v>
      </c>
      <c r="X256">
        <v>4.84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1</v>
      </c>
      <c r="AE256">
        <v>1</v>
      </c>
      <c r="AF256" t="s">
        <v>22</v>
      </c>
      <c r="AG256">
        <v>19.36</v>
      </c>
      <c r="AH256">
        <v>3</v>
      </c>
      <c r="AI256">
        <v>-1</v>
      </c>
      <c r="AJ256" t="s">
        <v>3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ROW(Source!A373)</f>
        <v>373</v>
      </c>
      <c r="B257">
        <v>1474096804</v>
      </c>
      <c r="C257">
        <v>1472040143</v>
      </c>
      <c r="D257">
        <v>1441819193</v>
      </c>
      <c r="E257">
        <v>15514512</v>
      </c>
      <c r="F257">
        <v>1</v>
      </c>
      <c r="G257">
        <v>15514512</v>
      </c>
      <c r="H257">
        <v>1</v>
      </c>
      <c r="I257" t="s">
        <v>648</v>
      </c>
      <c r="J257" t="s">
        <v>3</v>
      </c>
      <c r="K257" t="s">
        <v>649</v>
      </c>
      <c r="L257">
        <v>1191</v>
      </c>
      <c r="N257">
        <v>1013</v>
      </c>
      <c r="O257" t="s">
        <v>650</v>
      </c>
      <c r="P257" t="s">
        <v>650</v>
      </c>
      <c r="Q257">
        <v>1</v>
      </c>
      <c r="X257">
        <v>10.64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1</v>
      </c>
      <c r="AE257">
        <v>1</v>
      </c>
      <c r="AF257" t="s">
        <v>3</v>
      </c>
      <c r="AG257">
        <v>10.64</v>
      </c>
      <c r="AH257">
        <v>3</v>
      </c>
      <c r="AI257">
        <v>-1</v>
      </c>
      <c r="AJ257" t="s">
        <v>3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ROW(Source!A373)</f>
        <v>373</v>
      </c>
      <c r="B258">
        <v>1474096805</v>
      </c>
      <c r="C258">
        <v>1472040143</v>
      </c>
      <c r="D258">
        <v>1441833890</v>
      </c>
      <c r="E258">
        <v>1</v>
      </c>
      <c r="F258">
        <v>1</v>
      </c>
      <c r="G258">
        <v>15514512</v>
      </c>
      <c r="H258">
        <v>2</v>
      </c>
      <c r="I258" t="s">
        <v>697</v>
      </c>
      <c r="J258" t="s">
        <v>698</v>
      </c>
      <c r="K258" t="s">
        <v>699</v>
      </c>
      <c r="L258">
        <v>1368</v>
      </c>
      <c r="N258">
        <v>1011</v>
      </c>
      <c r="O258" t="s">
        <v>603</v>
      </c>
      <c r="P258" t="s">
        <v>603</v>
      </c>
      <c r="Q258">
        <v>1</v>
      </c>
      <c r="X258">
        <v>1.5</v>
      </c>
      <c r="Y258">
        <v>0</v>
      </c>
      <c r="Z258">
        <v>33.799999999999997</v>
      </c>
      <c r="AA258">
        <v>0.54</v>
      </c>
      <c r="AB258">
        <v>0</v>
      </c>
      <c r="AC258">
        <v>0</v>
      </c>
      <c r="AD258">
        <v>1</v>
      </c>
      <c r="AE258">
        <v>0</v>
      </c>
      <c r="AF258" t="s">
        <v>3</v>
      </c>
      <c r="AG258">
        <v>1.5</v>
      </c>
      <c r="AH258">
        <v>3</v>
      </c>
      <c r="AI258">
        <v>-1</v>
      </c>
      <c r="AJ258" t="s">
        <v>3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 x14ac:dyDescent="0.2">
      <c r="A259">
        <f>ROW(Source!A373)</f>
        <v>373</v>
      </c>
      <c r="B259">
        <v>1474096806</v>
      </c>
      <c r="C259">
        <v>1472040143</v>
      </c>
      <c r="D259">
        <v>1441836514</v>
      </c>
      <c r="E259">
        <v>1</v>
      </c>
      <c r="F259">
        <v>1</v>
      </c>
      <c r="G259">
        <v>15514512</v>
      </c>
      <c r="H259">
        <v>3</v>
      </c>
      <c r="I259" t="s">
        <v>676</v>
      </c>
      <c r="J259" t="s">
        <v>677</v>
      </c>
      <c r="K259" t="s">
        <v>678</v>
      </c>
      <c r="L259">
        <v>1339</v>
      </c>
      <c r="N259">
        <v>1007</v>
      </c>
      <c r="O259" t="s">
        <v>679</v>
      </c>
      <c r="P259" t="s">
        <v>679</v>
      </c>
      <c r="Q259">
        <v>1</v>
      </c>
      <c r="X259">
        <v>1</v>
      </c>
      <c r="Y259">
        <v>54.81</v>
      </c>
      <c r="Z259">
        <v>0</v>
      </c>
      <c r="AA259">
        <v>0</v>
      </c>
      <c r="AB259">
        <v>0</v>
      </c>
      <c r="AC259">
        <v>0</v>
      </c>
      <c r="AD259">
        <v>1</v>
      </c>
      <c r="AE259">
        <v>0</v>
      </c>
      <c r="AF259" t="s">
        <v>3</v>
      </c>
      <c r="AG259">
        <v>1</v>
      </c>
      <c r="AH259">
        <v>3</v>
      </c>
      <c r="AI259">
        <v>-1</v>
      </c>
      <c r="AJ259" t="s">
        <v>3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 x14ac:dyDescent="0.2">
      <c r="A260">
        <f>ROW(Source!A373)</f>
        <v>373</v>
      </c>
      <c r="B260">
        <v>1474096807</v>
      </c>
      <c r="C260">
        <v>1472040143</v>
      </c>
      <c r="D260">
        <v>1441836517</v>
      </c>
      <c r="E260">
        <v>1</v>
      </c>
      <c r="F260">
        <v>1</v>
      </c>
      <c r="G260">
        <v>15514512</v>
      </c>
      <c r="H260">
        <v>3</v>
      </c>
      <c r="I260" t="s">
        <v>700</v>
      </c>
      <c r="J260" t="s">
        <v>701</v>
      </c>
      <c r="K260" t="s">
        <v>702</v>
      </c>
      <c r="L260">
        <v>1346</v>
      </c>
      <c r="N260">
        <v>1009</v>
      </c>
      <c r="O260" t="s">
        <v>657</v>
      </c>
      <c r="P260" t="s">
        <v>657</v>
      </c>
      <c r="Q260">
        <v>1</v>
      </c>
      <c r="X260">
        <v>0.02</v>
      </c>
      <c r="Y260">
        <v>451.28</v>
      </c>
      <c r="Z260">
        <v>0</v>
      </c>
      <c r="AA260">
        <v>0</v>
      </c>
      <c r="AB260">
        <v>0</v>
      </c>
      <c r="AC260">
        <v>0</v>
      </c>
      <c r="AD260">
        <v>1</v>
      </c>
      <c r="AE260">
        <v>0</v>
      </c>
      <c r="AF260" t="s">
        <v>3</v>
      </c>
      <c r="AG260">
        <v>0.02</v>
      </c>
      <c r="AH260">
        <v>3</v>
      </c>
      <c r="AI260">
        <v>-1</v>
      </c>
      <c r="AJ260" t="s">
        <v>3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 x14ac:dyDescent="0.2">
      <c r="A261">
        <f>ROW(Source!A373)</f>
        <v>373</v>
      </c>
      <c r="B261">
        <v>1474096809</v>
      </c>
      <c r="C261">
        <v>1472040143</v>
      </c>
      <c r="D261">
        <v>1441821379</v>
      </c>
      <c r="E261">
        <v>15514512</v>
      </c>
      <c r="F261">
        <v>1</v>
      </c>
      <c r="G261">
        <v>15514512</v>
      </c>
      <c r="H261">
        <v>3</v>
      </c>
      <c r="I261" t="s">
        <v>703</v>
      </c>
      <c r="J261" t="s">
        <v>3</v>
      </c>
      <c r="K261" t="s">
        <v>704</v>
      </c>
      <c r="L261">
        <v>1346</v>
      </c>
      <c r="N261">
        <v>1009</v>
      </c>
      <c r="O261" t="s">
        <v>657</v>
      </c>
      <c r="P261" t="s">
        <v>657</v>
      </c>
      <c r="Q261">
        <v>1</v>
      </c>
      <c r="X261">
        <v>0.05</v>
      </c>
      <c r="Y261">
        <v>89.933959999999999</v>
      </c>
      <c r="Z261">
        <v>0</v>
      </c>
      <c r="AA261">
        <v>0</v>
      </c>
      <c r="AB261">
        <v>0</v>
      </c>
      <c r="AC261">
        <v>0</v>
      </c>
      <c r="AD261">
        <v>1</v>
      </c>
      <c r="AE261">
        <v>0</v>
      </c>
      <c r="AF261" t="s">
        <v>3</v>
      </c>
      <c r="AG261">
        <v>0.05</v>
      </c>
      <c r="AH261">
        <v>3</v>
      </c>
      <c r="AI261">
        <v>-1</v>
      </c>
      <c r="AJ261" t="s">
        <v>3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 x14ac:dyDescent="0.2">
      <c r="A262">
        <f>ROW(Source!A373)</f>
        <v>373</v>
      </c>
      <c r="B262">
        <v>1474096808</v>
      </c>
      <c r="C262">
        <v>1472040143</v>
      </c>
      <c r="D262">
        <v>1441834875</v>
      </c>
      <c r="E262">
        <v>1</v>
      </c>
      <c r="F262">
        <v>1</v>
      </c>
      <c r="G262">
        <v>15514512</v>
      </c>
      <c r="H262">
        <v>3</v>
      </c>
      <c r="I262" t="s">
        <v>705</v>
      </c>
      <c r="J262" t="s">
        <v>706</v>
      </c>
      <c r="K262" t="s">
        <v>707</v>
      </c>
      <c r="L262">
        <v>1346</v>
      </c>
      <c r="N262">
        <v>1009</v>
      </c>
      <c r="O262" t="s">
        <v>657</v>
      </c>
      <c r="P262" t="s">
        <v>657</v>
      </c>
      <c r="Q262">
        <v>1</v>
      </c>
      <c r="X262">
        <v>0.02</v>
      </c>
      <c r="Y262">
        <v>94.64</v>
      </c>
      <c r="Z262">
        <v>0</v>
      </c>
      <c r="AA262">
        <v>0</v>
      </c>
      <c r="AB262">
        <v>0</v>
      </c>
      <c r="AC262">
        <v>0</v>
      </c>
      <c r="AD262">
        <v>1</v>
      </c>
      <c r="AE262">
        <v>0</v>
      </c>
      <c r="AF262" t="s">
        <v>3</v>
      </c>
      <c r="AG262">
        <v>0.02</v>
      </c>
      <c r="AH262">
        <v>3</v>
      </c>
      <c r="AI262">
        <v>-1</v>
      </c>
      <c r="AJ262" t="s">
        <v>3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 x14ac:dyDescent="0.2">
      <c r="A263">
        <f>ROW(Source!A374)</f>
        <v>374</v>
      </c>
      <c r="B263">
        <v>1474096810</v>
      </c>
      <c r="C263">
        <v>1472040150</v>
      </c>
      <c r="D263">
        <v>1441819193</v>
      </c>
      <c r="E263">
        <v>15514512</v>
      </c>
      <c r="F263">
        <v>1</v>
      </c>
      <c r="G263">
        <v>15514512</v>
      </c>
      <c r="H263">
        <v>1</v>
      </c>
      <c r="I263" t="s">
        <v>648</v>
      </c>
      <c r="J263" t="s">
        <v>3</v>
      </c>
      <c r="K263" t="s">
        <v>649</v>
      </c>
      <c r="L263">
        <v>1191</v>
      </c>
      <c r="N263">
        <v>1013</v>
      </c>
      <c r="O263" t="s">
        <v>650</v>
      </c>
      <c r="P263" t="s">
        <v>650</v>
      </c>
      <c r="Q263">
        <v>1</v>
      </c>
      <c r="X263">
        <v>2.42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1</v>
      </c>
      <c r="AE263">
        <v>1</v>
      </c>
      <c r="AF263" t="s">
        <v>3</v>
      </c>
      <c r="AG263">
        <v>2.42</v>
      </c>
      <c r="AH263">
        <v>3</v>
      </c>
      <c r="AI263">
        <v>-1</v>
      </c>
      <c r="AJ263" t="s">
        <v>3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 x14ac:dyDescent="0.2">
      <c r="A264">
        <f>ROW(Source!A374)</f>
        <v>374</v>
      </c>
      <c r="B264">
        <v>1474096811</v>
      </c>
      <c r="C264">
        <v>1472040150</v>
      </c>
      <c r="D264">
        <v>1441833845</v>
      </c>
      <c r="E264">
        <v>1</v>
      </c>
      <c r="F264">
        <v>1</v>
      </c>
      <c r="G264">
        <v>15514512</v>
      </c>
      <c r="H264">
        <v>2</v>
      </c>
      <c r="I264" t="s">
        <v>708</v>
      </c>
      <c r="J264" t="s">
        <v>709</v>
      </c>
      <c r="K264" t="s">
        <v>710</v>
      </c>
      <c r="L264">
        <v>1368</v>
      </c>
      <c r="N264">
        <v>1011</v>
      </c>
      <c r="O264" t="s">
        <v>603</v>
      </c>
      <c r="P264" t="s">
        <v>603</v>
      </c>
      <c r="Q264">
        <v>1</v>
      </c>
      <c r="X264">
        <v>0.61</v>
      </c>
      <c r="Y264">
        <v>0</v>
      </c>
      <c r="Z264">
        <v>17.95</v>
      </c>
      <c r="AA264">
        <v>0.05</v>
      </c>
      <c r="AB264">
        <v>0</v>
      </c>
      <c r="AC264">
        <v>0</v>
      </c>
      <c r="AD264">
        <v>1</v>
      </c>
      <c r="AE264">
        <v>0</v>
      </c>
      <c r="AF264" t="s">
        <v>3</v>
      </c>
      <c r="AG264">
        <v>0.61</v>
      </c>
      <c r="AH264">
        <v>3</v>
      </c>
      <c r="AI264">
        <v>-1</v>
      </c>
      <c r="AJ264" t="s">
        <v>3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 x14ac:dyDescent="0.2">
      <c r="A265">
        <f>ROW(Source!A374)</f>
        <v>374</v>
      </c>
      <c r="B265">
        <v>1474096812</v>
      </c>
      <c r="C265">
        <v>1472040150</v>
      </c>
      <c r="D265">
        <v>1441836514</v>
      </c>
      <c r="E265">
        <v>1</v>
      </c>
      <c r="F265">
        <v>1</v>
      </c>
      <c r="G265">
        <v>15514512</v>
      </c>
      <c r="H265">
        <v>3</v>
      </c>
      <c r="I265" t="s">
        <v>676</v>
      </c>
      <c r="J265" t="s">
        <v>677</v>
      </c>
      <c r="K265" t="s">
        <v>678</v>
      </c>
      <c r="L265">
        <v>1339</v>
      </c>
      <c r="N265">
        <v>1007</v>
      </c>
      <c r="O265" t="s">
        <v>679</v>
      </c>
      <c r="P265" t="s">
        <v>679</v>
      </c>
      <c r="Q265">
        <v>1</v>
      </c>
      <c r="X265">
        <v>1.03</v>
      </c>
      <c r="Y265">
        <v>54.81</v>
      </c>
      <c r="Z265">
        <v>0</v>
      </c>
      <c r="AA265">
        <v>0</v>
      </c>
      <c r="AB265">
        <v>0</v>
      </c>
      <c r="AC265">
        <v>0</v>
      </c>
      <c r="AD265">
        <v>1</v>
      </c>
      <c r="AE265">
        <v>0</v>
      </c>
      <c r="AF265" t="s">
        <v>3</v>
      </c>
      <c r="AG265">
        <v>1.03</v>
      </c>
      <c r="AH265">
        <v>3</v>
      </c>
      <c r="AI265">
        <v>-1</v>
      </c>
      <c r="AJ265" t="s">
        <v>3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 x14ac:dyDescent="0.2">
      <c r="A266">
        <f>ROW(Source!A375)</f>
        <v>375</v>
      </c>
      <c r="B266">
        <v>1474096813</v>
      </c>
      <c r="C266">
        <v>1472040160</v>
      </c>
      <c r="D266">
        <v>1441819193</v>
      </c>
      <c r="E266">
        <v>15514512</v>
      </c>
      <c r="F266">
        <v>1</v>
      </c>
      <c r="G266">
        <v>15514512</v>
      </c>
      <c r="H266">
        <v>1</v>
      </c>
      <c r="I266" t="s">
        <v>648</v>
      </c>
      <c r="J266" t="s">
        <v>3</v>
      </c>
      <c r="K266" t="s">
        <v>649</v>
      </c>
      <c r="L266">
        <v>1191</v>
      </c>
      <c r="N266">
        <v>1013</v>
      </c>
      <c r="O266" t="s">
        <v>650</v>
      </c>
      <c r="P266" t="s">
        <v>650</v>
      </c>
      <c r="Q266">
        <v>1</v>
      </c>
      <c r="X266">
        <v>10.64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1</v>
      </c>
      <c r="AF266" t="s">
        <v>3</v>
      </c>
      <c r="AG266">
        <v>10.64</v>
      </c>
      <c r="AH266">
        <v>3</v>
      </c>
      <c r="AI266">
        <v>-1</v>
      </c>
      <c r="AJ266" t="s">
        <v>3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 x14ac:dyDescent="0.2">
      <c r="A267">
        <f>ROW(Source!A375)</f>
        <v>375</v>
      </c>
      <c r="B267">
        <v>1474096814</v>
      </c>
      <c r="C267">
        <v>1472040160</v>
      </c>
      <c r="D267">
        <v>1441833890</v>
      </c>
      <c r="E267">
        <v>1</v>
      </c>
      <c r="F267">
        <v>1</v>
      </c>
      <c r="G267">
        <v>15514512</v>
      </c>
      <c r="H267">
        <v>2</v>
      </c>
      <c r="I267" t="s">
        <v>697</v>
      </c>
      <c r="J267" t="s">
        <v>698</v>
      </c>
      <c r="K267" t="s">
        <v>699</v>
      </c>
      <c r="L267">
        <v>1368</v>
      </c>
      <c r="N267">
        <v>1011</v>
      </c>
      <c r="O267" t="s">
        <v>603</v>
      </c>
      <c r="P267" t="s">
        <v>603</v>
      </c>
      <c r="Q267">
        <v>1</v>
      </c>
      <c r="X267">
        <v>1.5</v>
      </c>
      <c r="Y267">
        <v>0</v>
      </c>
      <c r="Z267">
        <v>33.799999999999997</v>
      </c>
      <c r="AA267">
        <v>0.54</v>
      </c>
      <c r="AB267">
        <v>0</v>
      </c>
      <c r="AC267">
        <v>0</v>
      </c>
      <c r="AD267">
        <v>1</v>
      </c>
      <c r="AE267">
        <v>0</v>
      </c>
      <c r="AF267" t="s">
        <v>3</v>
      </c>
      <c r="AG267">
        <v>1.5</v>
      </c>
      <c r="AH267">
        <v>3</v>
      </c>
      <c r="AI267">
        <v>-1</v>
      </c>
      <c r="AJ267" t="s">
        <v>3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 x14ac:dyDescent="0.2">
      <c r="A268">
        <f>ROW(Source!A375)</f>
        <v>375</v>
      </c>
      <c r="B268">
        <v>1474096815</v>
      </c>
      <c r="C268">
        <v>1472040160</v>
      </c>
      <c r="D268">
        <v>1441836514</v>
      </c>
      <c r="E268">
        <v>1</v>
      </c>
      <c r="F268">
        <v>1</v>
      </c>
      <c r="G268">
        <v>15514512</v>
      </c>
      <c r="H268">
        <v>3</v>
      </c>
      <c r="I268" t="s">
        <v>676</v>
      </c>
      <c r="J268" t="s">
        <v>677</v>
      </c>
      <c r="K268" t="s">
        <v>678</v>
      </c>
      <c r="L268">
        <v>1339</v>
      </c>
      <c r="N268">
        <v>1007</v>
      </c>
      <c r="O268" t="s">
        <v>679</v>
      </c>
      <c r="P268" t="s">
        <v>679</v>
      </c>
      <c r="Q268">
        <v>1</v>
      </c>
      <c r="X268">
        <v>3.8</v>
      </c>
      <c r="Y268">
        <v>54.81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0</v>
      </c>
      <c r="AF268" t="s">
        <v>3</v>
      </c>
      <c r="AG268">
        <v>3.8</v>
      </c>
      <c r="AH268">
        <v>3</v>
      </c>
      <c r="AI268">
        <v>-1</v>
      </c>
      <c r="AJ268" t="s">
        <v>3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 x14ac:dyDescent="0.2">
      <c r="A269">
        <f>ROW(Source!A375)</f>
        <v>375</v>
      </c>
      <c r="B269">
        <v>1474096816</v>
      </c>
      <c r="C269">
        <v>1472040160</v>
      </c>
      <c r="D269">
        <v>1441836517</v>
      </c>
      <c r="E269">
        <v>1</v>
      </c>
      <c r="F269">
        <v>1</v>
      </c>
      <c r="G269">
        <v>15514512</v>
      </c>
      <c r="H269">
        <v>3</v>
      </c>
      <c r="I269" t="s">
        <v>700</v>
      </c>
      <c r="J269" t="s">
        <v>701</v>
      </c>
      <c r="K269" t="s">
        <v>702</v>
      </c>
      <c r="L269">
        <v>1346</v>
      </c>
      <c r="N269">
        <v>1009</v>
      </c>
      <c r="O269" t="s">
        <v>657</v>
      </c>
      <c r="P269" t="s">
        <v>657</v>
      </c>
      <c r="Q269">
        <v>1</v>
      </c>
      <c r="X269">
        <v>0.02</v>
      </c>
      <c r="Y269">
        <v>451.28</v>
      </c>
      <c r="Z269">
        <v>0</v>
      </c>
      <c r="AA269">
        <v>0</v>
      </c>
      <c r="AB269">
        <v>0</v>
      </c>
      <c r="AC269">
        <v>0</v>
      </c>
      <c r="AD269">
        <v>1</v>
      </c>
      <c r="AE269">
        <v>0</v>
      </c>
      <c r="AF269" t="s">
        <v>3</v>
      </c>
      <c r="AG269">
        <v>0.02</v>
      </c>
      <c r="AH269">
        <v>3</v>
      </c>
      <c r="AI269">
        <v>-1</v>
      </c>
      <c r="AJ269" t="s">
        <v>3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 x14ac:dyDescent="0.2">
      <c r="A270">
        <f>ROW(Source!A375)</f>
        <v>375</v>
      </c>
      <c r="B270">
        <v>1474096818</v>
      </c>
      <c r="C270">
        <v>1472040160</v>
      </c>
      <c r="D270">
        <v>1441821379</v>
      </c>
      <c r="E270">
        <v>15514512</v>
      </c>
      <c r="F270">
        <v>1</v>
      </c>
      <c r="G270">
        <v>15514512</v>
      </c>
      <c r="H270">
        <v>3</v>
      </c>
      <c r="I270" t="s">
        <v>703</v>
      </c>
      <c r="J270" t="s">
        <v>3</v>
      </c>
      <c r="K270" t="s">
        <v>704</v>
      </c>
      <c r="L270">
        <v>1346</v>
      </c>
      <c r="N270">
        <v>1009</v>
      </c>
      <c r="O270" t="s">
        <v>657</v>
      </c>
      <c r="P270" t="s">
        <v>657</v>
      </c>
      <c r="Q270">
        <v>1</v>
      </c>
      <c r="X270">
        <v>0.05</v>
      </c>
      <c r="Y270">
        <v>89.933959999999999</v>
      </c>
      <c r="Z270">
        <v>0</v>
      </c>
      <c r="AA270">
        <v>0</v>
      </c>
      <c r="AB270">
        <v>0</v>
      </c>
      <c r="AC270">
        <v>0</v>
      </c>
      <c r="AD270">
        <v>1</v>
      </c>
      <c r="AE270">
        <v>0</v>
      </c>
      <c r="AF270" t="s">
        <v>3</v>
      </c>
      <c r="AG270">
        <v>0.05</v>
      </c>
      <c r="AH270">
        <v>3</v>
      </c>
      <c r="AI270">
        <v>-1</v>
      </c>
      <c r="AJ270" t="s">
        <v>3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 x14ac:dyDescent="0.2">
      <c r="A271">
        <f>ROW(Source!A375)</f>
        <v>375</v>
      </c>
      <c r="B271">
        <v>1474096817</v>
      </c>
      <c r="C271">
        <v>1472040160</v>
      </c>
      <c r="D271">
        <v>1441834875</v>
      </c>
      <c r="E271">
        <v>1</v>
      </c>
      <c r="F271">
        <v>1</v>
      </c>
      <c r="G271">
        <v>15514512</v>
      </c>
      <c r="H271">
        <v>3</v>
      </c>
      <c r="I271" t="s">
        <v>705</v>
      </c>
      <c r="J271" t="s">
        <v>706</v>
      </c>
      <c r="K271" t="s">
        <v>707</v>
      </c>
      <c r="L271">
        <v>1346</v>
      </c>
      <c r="N271">
        <v>1009</v>
      </c>
      <c r="O271" t="s">
        <v>657</v>
      </c>
      <c r="P271" t="s">
        <v>657</v>
      </c>
      <c r="Q271">
        <v>1</v>
      </c>
      <c r="X271">
        <v>0.02</v>
      </c>
      <c r="Y271">
        <v>94.64</v>
      </c>
      <c r="Z271">
        <v>0</v>
      </c>
      <c r="AA271">
        <v>0</v>
      </c>
      <c r="AB271">
        <v>0</v>
      </c>
      <c r="AC271">
        <v>0</v>
      </c>
      <c r="AD271">
        <v>1</v>
      </c>
      <c r="AE271">
        <v>0</v>
      </c>
      <c r="AF271" t="s">
        <v>3</v>
      </c>
      <c r="AG271">
        <v>0.02</v>
      </c>
      <c r="AH271">
        <v>3</v>
      </c>
      <c r="AI271">
        <v>-1</v>
      </c>
      <c r="AJ271" t="s">
        <v>3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 x14ac:dyDescent="0.2">
      <c r="A272">
        <f>ROW(Source!A376)</f>
        <v>376</v>
      </c>
      <c r="B272">
        <v>1474096819</v>
      </c>
      <c r="C272">
        <v>1472040167</v>
      </c>
      <c r="D272">
        <v>1441819193</v>
      </c>
      <c r="E272">
        <v>15514512</v>
      </c>
      <c r="F272">
        <v>1</v>
      </c>
      <c r="G272">
        <v>15514512</v>
      </c>
      <c r="H272">
        <v>1</v>
      </c>
      <c r="I272" t="s">
        <v>648</v>
      </c>
      <c r="J272" t="s">
        <v>3</v>
      </c>
      <c r="K272" t="s">
        <v>649</v>
      </c>
      <c r="L272">
        <v>1191</v>
      </c>
      <c r="N272">
        <v>1013</v>
      </c>
      <c r="O272" t="s">
        <v>650</v>
      </c>
      <c r="P272" t="s">
        <v>650</v>
      </c>
      <c r="Q272">
        <v>1</v>
      </c>
      <c r="X272">
        <v>3.44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1</v>
      </c>
      <c r="AE272">
        <v>1</v>
      </c>
      <c r="AF272" t="s">
        <v>3</v>
      </c>
      <c r="AG272">
        <v>3.44</v>
      </c>
      <c r="AH272">
        <v>3</v>
      </c>
      <c r="AI272">
        <v>-1</v>
      </c>
      <c r="AJ272" t="s">
        <v>3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 x14ac:dyDescent="0.2">
      <c r="A273">
        <f>ROW(Source!A376)</f>
        <v>376</v>
      </c>
      <c r="B273">
        <v>1474096820</v>
      </c>
      <c r="C273">
        <v>1472040167</v>
      </c>
      <c r="D273">
        <v>1441833845</v>
      </c>
      <c r="E273">
        <v>1</v>
      </c>
      <c r="F273">
        <v>1</v>
      </c>
      <c r="G273">
        <v>15514512</v>
      </c>
      <c r="H273">
        <v>2</v>
      </c>
      <c r="I273" t="s">
        <v>708</v>
      </c>
      <c r="J273" t="s">
        <v>709</v>
      </c>
      <c r="K273" t="s">
        <v>710</v>
      </c>
      <c r="L273">
        <v>1368</v>
      </c>
      <c r="N273">
        <v>1011</v>
      </c>
      <c r="O273" t="s">
        <v>603</v>
      </c>
      <c r="P273" t="s">
        <v>603</v>
      </c>
      <c r="Q273">
        <v>1</v>
      </c>
      <c r="X273">
        <v>1.31</v>
      </c>
      <c r="Y273">
        <v>0</v>
      </c>
      <c r="Z273">
        <v>17.95</v>
      </c>
      <c r="AA273">
        <v>0.05</v>
      </c>
      <c r="AB273">
        <v>0</v>
      </c>
      <c r="AC273">
        <v>0</v>
      </c>
      <c r="AD273">
        <v>1</v>
      </c>
      <c r="AE273">
        <v>0</v>
      </c>
      <c r="AF273" t="s">
        <v>3</v>
      </c>
      <c r="AG273">
        <v>1.31</v>
      </c>
      <c r="AH273">
        <v>3</v>
      </c>
      <c r="AI273">
        <v>-1</v>
      </c>
      <c r="AJ273" t="s">
        <v>3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 x14ac:dyDescent="0.2">
      <c r="A274">
        <f>ROW(Source!A376)</f>
        <v>376</v>
      </c>
      <c r="B274">
        <v>1474096821</v>
      </c>
      <c r="C274">
        <v>1472040167</v>
      </c>
      <c r="D274">
        <v>1441836514</v>
      </c>
      <c r="E274">
        <v>1</v>
      </c>
      <c r="F274">
        <v>1</v>
      </c>
      <c r="G274">
        <v>15514512</v>
      </c>
      <c r="H274">
        <v>3</v>
      </c>
      <c r="I274" t="s">
        <v>676</v>
      </c>
      <c r="J274" t="s">
        <v>677</v>
      </c>
      <c r="K274" t="s">
        <v>678</v>
      </c>
      <c r="L274">
        <v>1339</v>
      </c>
      <c r="N274">
        <v>1007</v>
      </c>
      <c r="O274" t="s">
        <v>679</v>
      </c>
      <c r="P274" t="s">
        <v>679</v>
      </c>
      <c r="Q274">
        <v>1</v>
      </c>
      <c r="X274">
        <v>3.7</v>
      </c>
      <c r="Y274">
        <v>54.81</v>
      </c>
      <c r="Z274">
        <v>0</v>
      </c>
      <c r="AA274">
        <v>0</v>
      </c>
      <c r="AB274">
        <v>0</v>
      </c>
      <c r="AC274">
        <v>0</v>
      </c>
      <c r="AD274">
        <v>1</v>
      </c>
      <c r="AE274">
        <v>0</v>
      </c>
      <c r="AF274" t="s">
        <v>3</v>
      </c>
      <c r="AG274">
        <v>3.7</v>
      </c>
      <c r="AH274">
        <v>3</v>
      </c>
      <c r="AI274">
        <v>-1</v>
      </c>
      <c r="AJ274" t="s">
        <v>3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 x14ac:dyDescent="0.2">
      <c r="A275">
        <f>ROW(Source!A447)</f>
        <v>447</v>
      </c>
      <c r="B275">
        <v>1474096822</v>
      </c>
      <c r="C275">
        <v>1472040178</v>
      </c>
      <c r="D275">
        <v>1441819193</v>
      </c>
      <c r="E275">
        <v>15514512</v>
      </c>
      <c r="F275">
        <v>1</v>
      </c>
      <c r="G275">
        <v>15514512</v>
      </c>
      <c r="H275">
        <v>1</v>
      </c>
      <c r="I275" t="s">
        <v>648</v>
      </c>
      <c r="J275" t="s">
        <v>3</v>
      </c>
      <c r="K275" t="s">
        <v>649</v>
      </c>
      <c r="L275">
        <v>1191</v>
      </c>
      <c r="N275">
        <v>1013</v>
      </c>
      <c r="O275" t="s">
        <v>650</v>
      </c>
      <c r="P275" t="s">
        <v>650</v>
      </c>
      <c r="Q275">
        <v>1</v>
      </c>
      <c r="X275">
        <v>84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1</v>
      </c>
      <c r="AE275">
        <v>1</v>
      </c>
      <c r="AF275" t="s">
        <v>324</v>
      </c>
      <c r="AG275">
        <v>56</v>
      </c>
      <c r="AH275">
        <v>3</v>
      </c>
      <c r="AI275">
        <v>-1</v>
      </c>
      <c r="AJ275" t="s">
        <v>3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 x14ac:dyDescent="0.2">
      <c r="A276">
        <f>ROW(Source!A447)</f>
        <v>447</v>
      </c>
      <c r="B276">
        <v>1474096823</v>
      </c>
      <c r="C276">
        <v>1472040178</v>
      </c>
      <c r="D276">
        <v>1441835475</v>
      </c>
      <c r="E276">
        <v>1</v>
      </c>
      <c r="F276">
        <v>1</v>
      </c>
      <c r="G276">
        <v>15514512</v>
      </c>
      <c r="H276">
        <v>3</v>
      </c>
      <c r="I276" t="s">
        <v>723</v>
      </c>
      <c r="J276" t="s">
        <v>724</v>
      </c>
      <c r="K276" t="s">
        <v>725</v>
      </c>
      <c r="L276">
        <v>1348</v>
      </c>
      <c r="N276">
        <v>1009</v>
      </c>
      <c r="O276" t="s">
        <v>675</v>
      </c>
      <c r="P276" t="s">
        <v>675</v>
      </c>
      <c r="Q276">
        <v>1000</v>
      </c>
      <c r="X276">
        <v>8.0000000000000004E-4</v>
      </c>
      <c r="Y276">
        <v>155908.07999999999</v>
      </c>
      <c r="Z276">
        <v>0</v>
      </c>
      <c r="AA276">
        <v>0</v>
      </c>
      <c r="AB276">
        <v>0</v>
      </c>
      <c r="AC276">
        <v>0</v>
      </c>
      <c r="AD276">
        <v>1</v>
      </c>
      <c r="AE276">
        <v>0</v>
      </c>
      <c r="AF276" t="s">
        <v>324</v>
      </c>
      <c r="AG276">
        <v>5.3333333333333336E-4</v>
      </c>
      <c r="AH276">
        <v>3</v>
      </c>
      <c r="AI276">
        <v>-1</v>
      </c>
      <c r="AJ276" t="s">
        <v>3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 x14ac:dyDescent="0.2">
      <c r="A277">
        <f>ROW(Source!A447)</f>
        <v>447</v>
      </c>
      <c r="B277">
        <v>1474096824</v>
      </c>
      <c r="C277">
        <v>1472040178</v>
      </c>
      <c r="D277">
        <v>1441835549</v>
      </c>
      <c r="E277">
        <v>1</v>
      </c>
      <c r="F277">
        <v>1</v>
      </c>
      <c r="G277">
        <v>15514512</v>
      </c>
      <c r="H277">
        <v>3</v>
      </c>
      <c r="I277" t="s">
        <v>726</v>
      </c>
      <c r="J277" t="s">
        <v>727</v>
      </c>
      <c r="K277" t="s">
        <v>728</v>
      </c>
      <c r="L277">
        <v>1348</v>
      </c>
      <c r="N277">
        <v>1009</v>
      </c>
      <c r="O277" t="s">
        <v>675</v>
      </c>
      <c r="P277" t="s">
        <v>675</v>
      </c>
      <c r="Q277">
        <v>1000</v>
      </c>
      <c r="X277">
        <v>1E-4</v>
      </c>
      <c r="Y277">
        <v>194655.19</v>
      </c>
      <c r="Z277">
        <v>0</v>
      </c>
      <c r="AA277">
        <v>0</v>
      </c>
      <c r="AB277">
        <v>0</v>
      </c>
      <c r="AC277">
        <v>0</v>
      </c>
      <c r="AD277">
        <v>1</v>
      </c>
      <c r="AE277">
        <v>0</v>
      </c>
      <c r="AF277" t="s">
        <v>324</v>
      </c>
      <c r="AG277">
        <v>6.666666666666667E-5</v>
      </c>
      <c r="AH277">
        <v>3</v>
      </c>
      <c r="AI277">
        <v>-1</v>
      </c>
      <c r="AJ277" t="s">
        <v>3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 x14ac:dyDescent="0.2">
      <c r="A278">
        <f>ROW(Source!A447)</f>
        <v>447</v>
      </c>
      <c r="B278">
        <v>1474096825</v>
      </c>
      <c r="C278">
        <v>1472040178</v>
      </c>
      <c r="D278">
        <v>1441836325</v>
      </c>
      <c r="E278">
        <v>1</v>
      </c>
      <c r="F278">
        <v>1</v>
      </c>
      <c r="G278">
        <v>15514512</v>
      </c>
      <c r="H278">
        <v>3</v>
      </c>
      <c r="I278" t="s">
        <v>729</v>
      </c>
      <c r="J278" t="s">
        <v>730</v>
      </c>
      <c r="K278" t="s">
        <v>731</v>
      </c>
      <c r="L278">
        <v>1348</v>
      </c>
      <c r="N278">
        <v>1009</v>
      </c>
      <c r="O278" t="s">
        <v>675</v>
      </c>
      <c r="P278" t="s">
        <v>675</v>
      </c>
      <c r="Q278">
        <v>1000</v>
      </c>
      <c r="X278">
        <v>8.0000000000000004E-4</v>
      </c>
      <c r="Y278">
        <v>108798.39999999999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0</v>
      </c>
      <c r="AF278" t="s">
        <v>324</v>
      </c>
      <c r="AG278">
        <v>5.3333333333333336E-4</v>
      </c>
      <c r="AH278">
        <v>3</v>
      </c>
      <c r="AI278">
        <v>-1</v>
      </c>
      <c r="AJ278" t="s">
        <v>3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 x14ac:dyDescent="0.2">
      <c r="A279">
        <f>ROW(Source!A447)</f>
        <v>447</v>
      </c>
      <c r="B279">
        <v>1474096826</v>
      </c>
      <c r="C279">
        <v>1472040178</v>
      </c>
      <c r="D279">
        <v>1441838531</v>
      </c>
      <c r="E279">
        <v>1</v>
      </c>
      <c r="F279">
        <v>1</v>
      </c>
      <c r="G279">
        <v>15514512</v>
      </c>
      <c r="H279">
        <v>3</v>
      </c>
      <c r="I279" t="s">
        <v>732</v>
      </c>
      <c r="J279" t="s">
        <v>733</v>
      </c>
      <c r="K279" t="s">
        <v>734</v>
      </c>
      <c r="L279">
        <v>1348</v>
      </c>
      <c r="N279">
        <v>1009</v>
      </c>
      <c r="O279" t="s">
        <v>675</v>
      </c>
      <c r="P279" t="s">
        <v>675</v>
      </c>
      <c r="Q279">
        <v>1000</v>
      </c>
      <c r="X279">
        <v>6.9999999999999999E-4</v>
      </c>
      <c r="Y279">
        <v>370783.55</v>
      </c>
      <c r="Z279">
        <v>0</v>
      </c>
      <c r="AA279">
        <v>0</v>
      </c>
      <c r="AB279">
        <v>0</v>
      </c>
      <c r="AC279">
        <v>0</v>
      </c>
      <c r="AD279">
        <v>1</v>
      </c>
      <c r="AE279">
        <v>0</v>
      </c>
      <c r="AF279" t="s">
        <v>324</v>
      </c>
      <c r="AG279">
        <v>4.6666666666666666E-4</v>
      </c>
      <c r="AH279">
        <v>3</v>
      </c>
      <c r="AI279">
        <v>-1</v>
      </c>
      <c r="AJ279" t="s">
        <v>3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 x14ac:dyDescent="0.2">
      <c r="A280">
        <f>ROW(Source!A447)</f>
        <v>447</v>
      </c>
      <c r="B280">
        <v>1474096827</v>
      </c>
      <c r="C280">
        <v>1472040178</v>
      </c>
      <c r="D280">
        <v>1441838759</v>
      </c>
      <c r="E280">
        <v>1</v>
      </c>
      <c r="F280">
        <v>1</v>
      </c>
      <c r="G280">
        <v>15514512</v>
      </c>
      <c r="H280">
        <v>3</v>
      </c>
      <c r="I280" t="s">
        <v>735</v>
      </c>
      <c r="J280" t="s">
        <v>736</v>
      </c>
      <c r="K280" t="s">
        <v>737</v>
      </c>
      <c r="L280">
        <v>1348</v>
      </c>
      <c r="N280">
        <v>1009</v>
      </c>
      <c r="O280" t="s">
        <v>675</v>
      </c>
      <c r="P280" t="s">
        <v>675</v>
      </c>
      <c r="Q280">
        <v>1000</v>
      </c>
      <c r="X280">
        <v>6.9999999999999999E-4</v>
      </c>
      <c r="Y280">
        <v>1590701.16</v>
      </c>
      <c r="Z280">
        <v>0</v>
      </c>
      <c r="AA280">
        <v>0</v>
      </c>
      <c r="AB280">
        <v>0</v>
      </c>
      <c r="AC280">
        <v>0</v>
      </c>
      <c r="AD280">
        <v>1</v>
      </c>
      <c r="AE280">
        <v>0</v>
      </c>
      <c r="AF280" t="s">
        <v>324</v>
      </c>
      <c r="AG280">
        <v>4.6666666666666666E-4</v>
      </c>
      <c r="AH280">
        <v>3</v>
      </c>
      <c r="AI280">
        <v>-1</v>
      </c>
      <c r="AJ280" t="s">
        <v>3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 x14ac:dyDescent="0.2">
      <c r="A281">
        <f>ROW(Source!A447)</f>
        <v>447</v>
      </c>
      <c r="B281">
        <v>1474096828</v>
      </c>
      <c r="C281">
        <v>1472040178</v>
      </c>
      <c r="D281">
        <v>1441834635</v>
      </c>
      <c r="E281">
        <v>1</v>
      </c>
      <c r="F281">
        <v>1</v>
      </c>
      <c r="G281">
        <v>15514512</v>
      </c>
      <c r="H281">
        <v>3</v>
      </c>
      <c r="I281" t="s">
        <v>738</v>
      </c>
      <c r="J281" t="s">
        <v>739</v>
      </c>
      <c r="K281" t="s">
        <v>740</v>
      </c>
      <c r="L281">
        <v>1339</v>
      </c>
      <c r="N281">
        <v>1007</v>
      </c>
      <c r="O281" t="s">
        <v>679</v>
      </c>
      <c r="P281" t="s">
        <v>679</v>
      </c>
      <c r="Q281">
        <v>1</v>
      </c>
      <c r="X281">
        <v>1.8</v>
      </c>
      <c r="Y281">
        <v>103.4</v>
      </c>
      <c r="Z281">
        <v>0</v>
      </c>
      <c r="AA281">
        <v>0</v>
      </c>
      <c r="AB281">
        <v>0</v>
      </c>
      <c r="AC281">
        <v>0</v>
      </c>
      <c r="AD281">
        <v>1</v>
      </c>
      <c r="AE281">
        <v>0</v>
      </c>
      <c r="AF281" t="s">
        <v>324</v>
      </c>
      <c r="AG281">
        <v>1.2</v>
      </c>
      <c r="AH281">
        <v>3</v>
      </c>
      <c r="AI281">
        <v>-1</v>
      </c>
      <c r="AJ281" t="s">
        <v>3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 x14ac:dyDescent="0.2">
      <c r="A282">
        <f>ROW(Source!A447)</f>
        <v>447</v>
      </c>
      <c r="B282">
        <v>1474096829</v>
      </c>
      <c r="C282">
        <v>1472040178</v>
      </c>
      <c r="D282">
        <v>1441834627</v>
      </c>
      <c r="E282">
        <v>1</v>
      </c>
      <c r="F282">
        <v>1</v>
      </c>
      <c r="G282">
        <v>15514512</v>
      </c>
      <c r="H282">
        <v>3</v>
      </c>
      <c r="I282" t="s">
        <v>741</v>
      </c>
      <c r="J282" t="s">
        <v>742</v>
      </c>
      <c r="K282" t="s">
        <v>743</v>
      </c>
      <c r="L282">
        <v>1339</v>
      </c>
      <c r="N282">
        <v>1007</v>
      </c>
      <c r="O282" t="s">
        <v>679</v>
      </c>
      <c r="P282" t="s">
        <v>679</v>
      </c>
      <c r="Q282">
        <v>1</v>
      </c>
      <c r="X282">
        <v>0.9</v>
      </c>
      <c r="Y282">
        <v>875.46</v>
      </c>
      <c r="Z282">
        <v>0</v>
      </c>
      <c r="AA282">
        <v>0</v>
      </c>
      <c r="AB282">
        <v>0</v>
      </c>
      <c r="AC282">
        <v>0</v>
      </c>
      <c r="AD282">
        <v>1</v>
      </c>
      <c r="AE282">
        <v>0</v>
      </c>
      <c r="AF282" t="s">
        <v>324</v>
      </c>
      <c r="AG282">
        <v>0.6</v>
      </c>
      <c r="AH282">
        <v>3</v>
      </c>
      <c r="AI282">
        <v>-1</v>
      </c>
      <c r="AJ282" t="s">
        <v>3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 x14ac:dyDescent="0.2">
      <c r="A283">
        <f>ROW(Source!A447)</f>
        <v>447</v>
      </c>
      <c r="B283">
        <v>1474096830</v>
      </c>
      <c r="C283">
        <v>1472040178</v>
      </c>
      <c r="D283">
        <v>1441834671</v>
      </c>
      <c r="E283">
        <v>1</v>
      </c>
      <c r="F283">
        <v>1</v>
      </c>
      <c r="G283">
        <v>15514512</v>
      </c>
      <c r="H283">
        <v>3</v>
      </c>
      <c r="I283" t="s">
        <v>744</v>
      </c>
      <c r="J283" t="s">
        <v>745</v>
      </c>
      <c r="K283" t="s">
        <v>746</v>
      </c>
      <c r="L283">
        <v>1348</v>
      </c>
      <c r="N283">
        <v>1009</v>
      </c>
      <c r="O283" t="s">
        <v>675</v>
      </c>
      <c r="P283" t="s">
        <v>675</v>
      </c>
      <c r="Q283">
        <v>1000</v>
      </c>
      <c r="X283">
        <v>5.9999999999999995E-4</v>
      </c>
      <c r="Y283">
        <v>184462.17</v>
      </c>
      <c r="Z283">
        <v>0</v>
      </c>
      <c r="AA283">
        <v>0</v>
      </c>
      <c r="AB283">
        <v>0</v>
      </c>
      <c r="AC283">
        <v>0</v>
      </c>
      <c r="AD283">
        <v>1</v>
      </c>
      <c r="AE283">
        <v>0</v>
      </c>
      <c r="AF283" t="s">
        <v>324</v>
      </c>
      <c r="AG283">
        <v>3.9999999999999996E-4</v>
      </c>
      <c r="AH283">
        <v>3</v>
      </c>
      <c r="AI283">
        <v>-1</v>
      </c>
      <c r="AJ283" t="s">
        <v>3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 x14ac:dyDescent="0.2">
      <c r="A284">
        <f>ROW(Source!A447)</f>
        <v>447</v>
      </c>
      <c r="B284">
        <v>1474096831</v>
      </c>
      <c r="C284">
        <v>1472040178</v>
      </c>
      <c r="D284">
        <v>1441834634</v>
      </c>
      <c r="E284">
        <v>1</v>
      </c>
      <c r="F284">
        <v>1</v>
      </c>
      <c r="G284">
        <v>15514512</v>
      </c>
      <c r="H284">
        <v>3</v>
      </c>
      <c r="I284" t="s">
        <v>747</v>
      </c>
      <c r="J284" t="s">
        <v>748</v>
      </c>
      <c r="K284" t="s">
        <v>749</v>
      </c>
      <c r="L284">
        <v>1348</v>
      </c>
      <c r="N284">
        <v>1009</v>
      </c>
      <c r="O284" t="s">
        <v>675</v>
      </c>
      <c r="P284" t="s">
        <v>675</v>
      </c>
      <c r="Q284">
        <v>1000</v>
      </c>
      <c r="X284">
        <v>1E-3</v>
      </c>
      <c r="Y284">
        <v>88053.759999999995</v>
      </c>
      <c r="Z284">
        <v>0</v>
      </c>
      <c r="AA284">
        <v>0</v>
      </c>
      <c r="AB284">
        <v>0</v>
      </c>
      <c r="AC284">
        <v>0</v>
      </c>
      <c r="AD284">
        <v>1</v>
      </c>
      <c r="AE284">
        <v>0</v>
      </c>
      <c r="AF284" t="s">
        <v>324</v>
      </c>
      <c r="AG284">
        <v>6.6666666666666664E-4</v>
      </c>
      <c r="AH284">
        <v>3</v>
      </c>
      <c r="AI284">
        <v>-1</v>
      </c>
      <c r="AJ284" t="s">
        <v>3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 x14ac:dyDescent="0.2">
      <c r="A285">
        <f>ROW(Source!A447)</f>
        <v>447</v>
      </c>
      <c r="B285">
        <v>1474096832</v>
      </c>
      <c r="C285">
        <v>1472040178</v>
      </c>
      <c r="D285">
        <v>1441834836</v>
      </c>
      <c r="E285">
        <v>1</v>
      </c>
      <c r="F285">
        <v>1</v>
      </c>
      <c r="G285">
        <v>15514512</v>
      </c>
      <c r="H285">
        <v>3</v>
      </c>
      <c r="I285" t="s">
        <v>750</v>
      </c>
      <c r="J285" t="s">
        <v>751</v>
      </c>
      <c r="K285" t="s">
        <v>752</v>
      </c>
      <c r="L285">
        <v>1348</v>
      </c>
      <c r="N285">
        <v>1009</v>
      </c>
      <c r="O285" t="s">
        <v>675</v>
      </c>
      <c r="P285" t="s">
        <v>675</v>
      </c>
      <c r="Q285">
        <v>1000</v>
      </c>
      <c r="X285">
        <v>2.16E-3</v>
      </c>
      <c r="Y285">
        <v>93194.67</v>
      </c>
      <c r="Z285">
        <v>0</v>
      </c>
      <c r="AA285">
        <v>0</v>
      </c>
      <c r="AB285">
        <v>0</v>
      </c>
      <c r="AC285">
        <v>0</v>
      </c>
      <c r="AD285">
        <v>1</v>
      </c>
      <c r="AE285">
        <v>0</v>
      </c>
      <c r="AF285" t="s">
        <v>324</v>
      </c>
      <c r="AG285">
        <v>1.4400000000000001E-3</v>
      </c>
      <c r="AH285">
        <v>3</v>
      </c>
      <c r="AI285">
        <v>-1</v>
      </c>
      <c r="AJ285" t="s">
        <v>3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 x14ac:dyDescent="0.2">
      <c r="A286">
        <f>ROW(Source!A447)</f>
        <v>447</v>
      </c>
      <c r="B286">
        <v>1474096833</v>
      </c>
      <c r="C286">
        <v>1472040178</v>
      </c>
      <c r="D286">
        <v>1441834853</v>
      </c>
      <c r="E286">
        <v>1</v>
      </c>
      <c r="F286">
        <v>1</v>
      </c>
      <c r="G286">
        <v>15514512</v>
      </c>
      <c r="H286">
        <v>3</v>
      </c>
      <c r="I286" t="s">
        <v>753</v>
      </c>
      <c r="J286" t="s">
        <v>754</v>
      </c>
      <c r="K286" t="s">
        <v>755</v>
      </c>
      <c r="L286">
        <v>1348</v>
      </c>
      <c r="N286">
        <v>1009</v>
      </c>
      <c r="O286" t="s">
        <v>675</v>
      </c>
      <c r="P286" t="s">
        <v>675</v>
      </c>
      <c r="Q286">
        <v>1000</v>
      </c>
      <c r="X286">
        <v>8.0000000000000004E-4</v>
      </c>
      <c r="Y286">
        <v>78065.73</v>
      </c>
      <c r="Z286">
        <v>0</v>
      </c>
      <c r="AA286">
        <v>0</v>
      </c>
      <c r="AB286">
        <v>0</v>
      </c>
      <c r="AC286">
        <v>0</v>
      </c>
      <c r="AD286">
        <v>1</v>
      </c>
      <c r="AE286">
        <v>0</v>
      </c>
      <c r="AF286" t="s">
        <v>324</v>
      </c>
      <c r="AG286">
        <v>5.3333333333333336E-4</v>
      </c>
      <c r="AH286">
        <v>3</v>
      </c>
      <c r="AI286">
        <v>-1</v>
      </c>
      <c r="AJ286" t="s">
        <v>3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 x14ac:dyDescent="0.2">
      <c r="A287">
        <f>ROW(Source!A447)</f>
        <v>447</v>
      </c>
      <c r="B287">
        <v>1474096835</v>
      </c>
      <c r="C287">
        <v>1472040178</v>
      </c>
      <c r="D287">
        <v>1441822273</v>
      </c>
      <c r="E287">
        <v>15514512</v>
      </c>
      <c r="F287">
        <v>1</v>
      </c>
      <c r="G287">
        <v>15514512</v>
      </c>
      <c r="H287">
        <v>3</v>
      </c>
      <c r="I287" t="s">
        <v>705</v>
      </c>
      <c r="J287" t="s">
        <v>3</v>
      </c>
      <c r="K287" t="s">
        <v>707</v>
      </c>
      <c r="L287">
        <v>1348</v>
      </c>
      <c r="N287">
        <v>1009</v>
      </c>
      <c r="O287" t="s">
        <v>675</v>
      </c>
      <c r="P287" t="s">
        <v>675</v>
      </c>
      <c r="Q287">
        <v>1000</v>
      </c>
      <c r="X287">
        <v>2.4000000000000001E-4</v>
      </c>
      <c r="Y287">
        <v>94640</v>
      </c>
      <c r="Z287">
        <v>0</v>
      </c>
      <c r="AA287">
        <v>0</v>
      </c>
      <c r="AB287">
        <v>0</v>
      </c>
      <c r="AC287">
        <v>0</v>
      </c>
      <c r="AD287">
        <v>1</v>
      </c>
      <c r="AE287">
        <v>0</v>
      </c>
      <c r="AF287" t="s">
        <v>324</v>
      </c>
      <c r="AG287">
        <v>1.6000000000000001E-4</v>
      </c>
      <c r="AH287">
        <v>3</v>
      </c>
      <c r="AI287">
        <v>-1</v>
      </c>
      <c r="AJ287" t="s">
        <v>3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 x14ac:dyDescent="0.2">
      <c r="A288">
        <f>ROW(Source!A447)</f>
        <v>447</v>
      </c>
      <c r="B288">
        <v>1474096834</v>
      </c>
      <c r="C288">
        <v>1472040178</v>
      </c>
      <c r="D288">
        <v>1441850453</v>
      </c>
      <c r="E288">
        <v>1</v>
      </c>
      <c r="F288">
        <v>1</v>
      </c>
      <c r="G288">
        <v>15514512</v>
      </c>
      <c r="H288">
        <v>3</v>
      </c>
      <c r="I288" t="s">
        <v>756</v>
      </c>
      <c r="J288" t="s">
        <v>757</v>
      </c>
      <c r="K288" t="s">
        <v>758</v>
      </c>
      <c r="L288">
        <v>1348</v>
      </c>
      <c r="N288">
        <v>1009</v>
      </c>
      <c r="O288" t="s">
        <v>675</v>
      </c>
      <c r="P288" t="s">
        <v>675</v>
      </c>
      <c r="Q288">
        <v>1000</v>
      </c>
      <c r="X288">
        <v>8.9999999999999998E-4</v>
      </c>
      <c r="Y288">
        <v>178433.97</v>
      </c>
      <c r="Z288">
        <v>0</v>
      </c>
      <c r="AA288">
        <v>0</v>
      </c>
      <c r="AB288">
        <v>0</v>
      </c>
      <c r="AC288">
        <v>0</v>
      </c>
      <c r="AD288">
        <v>1</v>
      </c>
      <c r="AE288">
        <v>0</v>
      </c>
      <c r="AF288" t="s">
        <v>324</v>
      </c>
      <c r="AG288">
        <v>5.9999999999999995E-4</v>
      </c>
      <c r="AH288">
        <v>3</v>
      </c>
      <c r="AI288">
        <v>-1</v>
      </c>
      <c r="AJ288" t="s">
        <v>3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 x14ac:dyDescent="0.2">
      <c r="A289">
        <f>ROW(Source!A448)</f>
        <v>448</v>
      </c>
      <c r="B289">
        <v>1474096836</v>
      </c>
      <c r="C289">
        <v>1472040221</v>
      </c>
      <c r="D289">
        <v>1441819193</v>
      </c>
      <c r="E289">
        <v>15514512</v>
      </c>
      <c r="F289">
        <v>1</v>
      </c>
      <c r="G289">
        <v>15514512</v>
      </c>
      <c r="H289">
        <v>1</v>
      </c>
      <c r="I289" t="s">
        <v>648</v>
      </c>
      <c r="J289" t="s">
        <v>3</v>
      </c>
      <c r="K289" t="s">
        <v>649</v>
      </c>
      <c r="L289">
        <v>1191</v>
      </c>
      <c r="N289">
        <v>1013</v>
      </c>
      <c r="O289" t="s">
        <v>650</v>
      </c>
      <c r="P289" t="s">
        <v>650</v>
      </c>
      <c r="Q289">
        <v>1</v>
      </c>
      <c r="X289">
        <v>7.12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1</v>
      </c>
      <c r="AE289">
        <v>1</v>
      </c>
      <c r="AF289" t="s">
        <v>3</v>
      </c>
      <c r="AG289">
        <v>7.12</v>
      </c>
      <c r="AH289">
        <v>3</v>
      </c>
      <c r="AI289">
        <v>-1</v>
      </c>
      <c r="AJ289" t="s">
        <v>3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 x14ac:dyDescent="0.2">
      <c r="A290">
        <f>ROW(Source!A448)</f>
        <v>448</v>
      </c>
      <c r="B290">
        <v>1474096837</v>
      </c>
      <c r="C290">
        <v>1472040221</v>
      </c>
      <c r="D290">
        <v>1441833954</v>
      </c>
      <c r="E290">
        <v>1</v>
      </c>
      <c r="F290">
        <v>1</v>
      </c>
      <c r="G290">
        <v>15514512</v>
      </c>
      <c r="H290">
        <v>2</v>
      </c>
      <c r="I290" t="s">
        <v>717</v>
      </c>
      <c r="J290" t="s">
        <v>718</v>
      </c>
      <c r="K290" t="s">
        <v>719</v>
      </c>
      <c r="L290">
        <v>1368</v>
      </c>
      <c r="N290">
        <v>1011</v>
      </c>
      <c r="O290" t="s">
        <v>603</v>
      </c>
      <c r="P290" t="s">
        <v>603</v>
      </c>
      <c r="Q290">
        <v>1</v>
      </c>
      <c r="X290">
        <v>0.15</v>
      </c>
      <c r="Y290">
        <v>0</v>
      </c>
      <c r="Z290">
        <v>59.51</v>
      </c>
      <c r="AA290">
        <v>0.82</v>
      </c>
      <c r="AB290">
        <v>0</v>
      </c>
      <c r="AC290">
        <v>0</v>
      </c>
      <c r="AD290">
        <v>1</v>
      </c>
      <c r="AE290">
        <v>0</v>
      </c>
      <c r="AF290" t="s">
        <v>3</v>
      </c>
      <c r="AG290">
        <v>0.15</v>
      </c>
      <c r="AH290">
        <v>3</v>
      </c>
      <c r="AI290">
        <v>-1</v>
      </c>
      <c r="AJ290" t="s">
        <v>3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 x14ac:dyDescent="0.2">
      <c r="A291">
        <f>ROW(Source!A448)</f>
        <v>448</v>
      </c>
      <c r="B291">
        <v>1474096838</v>
      </c>
      <c r="C291">
        <v>1472040221</v>
      </c>
      <c r="D291">
        <v>1441836235</v>
      </c>
      <c r="E291">
        <v>1</v>
      </c>
      <c r="F291">
        <v>1</v>
      </c>
      <c r="G291">
        <v>15514512</v>
      </c>
      <c r="H291">
        <v>3</v>
      </c>
      <c r="I291" t="s">
        <v>683</v>
      </c>
      <c r="J291" t="s">
        <v>684</v>
      </c>
      <c r="K291" t="s">
        <v>685</v>
      </c>
      <c r="L291">
        <v>1346</v>
      </c>
      <c r="N291">
        <v>1009</v>
      </c>
      <c r="O291" t="s">
        <v>657</v>
      </c>
      <c r="P291" t="s">
        <v>657</v>
      </c>
      <c r="Q291">
        <v>1</v>
      </c>
      <c r="X291">
        <v>0.36</v>
      </c>
      <c r="Y291">
        <v>31.49</v>
      </c>
      <c r="Z291">
        <v>0</v>
      </c>
      <c r="AA291">
        <v>0</v>
      </c>
      <c r="AB291">
        <v>0</v>
      </c>
      <c r="AC291">
        <v>0</v>
      </c>
      <c r="AD291">
        <v>1</v>
      </c>
      <c r="AE291">
        <v>0</v>
      </c>
      <c r="AF291" t="s">
        <v>3</v>
      </c>
      <c r="AG291">
        <v>0.36</v>
      </c>
      <c r="AH291">
        <v>3</v>
      </c>
      <c r="AI291">
        <v>-1</v>
      </c>
      <c r="AJ291" t="s">
        <v>3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 x14ac:dyDescent="0.2">
      <c r="A292">
        <f>ROW(Source!A448)</f>
        <v>448</v>
      </c>
      <c r="B292">
        <v>1474096839</v>
      </c>
      <c r="C292">
        <v>1472040221</v>
      </c>
      <c r="D292">
        <v>1441821379</v>
      </c>
      <c r="E292">
        <v>15514512</v>
      </c>
      <c r="F292">
        <v>1</v>
      </c>
      <c r="G292">
        <v>15514512</v>
      </c>
      <c r="H292">
        <v>3</v>
      </c>
      <c r="I292" t="s">
        <v>703</v>
      </c>
      <c r="J292" t="s">
        <v>3</v>
      </c>
      <c r="K292" t="s">
        <v>704</v>
      </c>
      <c r="L292">
        <v>1346</v>
      </c>
      <c r="N292">
        <v>1009</v>
      </c>
      <c r="O292" t="s">
        <v>657</v>
      </c>
      <c r="P292" t="s">
        <v>657</v>
      </c>
      <c r="Q292">
        <v>1</v>
      </c>
      <c r="X292">
        <v>2.4E-2</v>
      </c>
      <c r="Y292">
        <v>89.933959999999999</v>
      </c>
      <c r="Z292">
        <v>0</v>
      </c>
      <c r="AA292">
        <v>0</v>
      </c>
      <c r="AB292">
        <v>0</v>
      </c>
      <c r="AC292">
        <v>0</v>
      </c>
      <c r="AD292">
        <v>1</v>
      </c>
      <c r="AE292">
        <v>0</v>
      </c>
      <c r="AF292" t="s">
        <v>3</v>
      </c>
      <c r="AG292">
        <v>2.4E-2</v>
      </c>
      <c r="AH292">
        <v>3</v>
      </c>
      <c r="AI292">
        <v>-1</v>
      </c>
      <c r="AJ292" t="s">
        <v>3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 x14ac:dyDescent="0.2">
      <c r="A293">
        <f>ROW(Source!A449)</f>
        <v>449</v>
      </c>
      <c r="B293">
        <v>1474096840</v>
      </c>
      <c r="C293">
        <v>1472040234</v>
      </c>
      <c r="D293">
        <v>1441819193</v>
      </c>
      <c r="E293">
        <v>15514512</v>
      </c>
      <c r="F293">
        <v>1</v>
      </c>
      <c r="G293">
        <v>15514512</v>
      </c>
      <c r="H293">
        <v>1</v>
      </c>
      <c r="I293" t="s">
        <v>648</v>
      </c>
      <c r="J293" t="s">
        <v>3</v>
      </c>
      <c r="K293" t="s">
        <v>649</v>
      </c>
      <c r="L293">
        <v>1191</v>
      </c>
      <c r="N293">
        <v>1013</v>
      </c>
      <c r="O293" t="s">
        <v>650</v>
      </c>
      <c r="P293" t="s">
        <v>650</v>
      </c>
      <c r="Q293">
        <v>1</v>
      </c>
      <c r="X293">
        <v>3.14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1</v>
      </c>
      <c r="AE293">
        <v>1</v>
      </c>
      <c r="AF293" t="s">
        <v>164</v>
      </c>
      <c r="AG293">
        <v>6.28</v>
      </c>
      <c r="AH293">
        <v>3</v>
      </c>
      <c r="AI293">
        <v>-1</v>
      </c>
      <c r="AJ293" t="s">
        <v>3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 x14ac:dyDescent="0.2">
      <c r="A294">
        <f>ROW(Source!A449)</f>
        <v>449</v>
      </c>
      <c r="B294">
        <v>1474096841</v>
      </c>
      <c r="C294">
        <v>1472040234</v>
      </c>
      <c r="D294">
        <v>1441833954</v>
      </c>
      <c r="E294">
        <v>1</v>
      </c>
      <c r="F294">
        <v>1</v>
      </c>
      <c r="G294">
        <v>15514512</v>
      </c>
      <c r="H294">
        <v>2</v>
      </c>
      <c r="I294" t="s">
        <v>717</v>
      </c>
      <c r="J294" t="s">
        <v>718</v>
      </c>
      <c r="K294" t="s">
        <v>719</v>
      </c>
      <c r="L294">
        <v>1368</v>
      </c>
      <c r="N294">
        <v>1011</v>
      </c>
      <c r="O294" t="s">
        <v>603</v>
      </c>
      <c r="P294" t="s">
        <v>603</v>
      </c>
      <c r="Q294">
        <v>1</v>
      </c>
      <c r="X294">
        <v>0.03</v>
      </c>
      <c r="Y294">
        <v>0</v>
      </c>
      <c r="Z294">
        <v>59.51</v>
      </c>
      <c r="AA294">
        <v>0.82</v>
      </c>
      <c r="AB294">
        <v>0</v>
      </c>
      <c r="AC294">
        <v>0</v>
      </c>
      <c r="AD294">
        <v>1</v>
      </c>
      <c r="AE294">
        <v>0</v>
      </c>
      <c r="AF294" t="s">
        <v>164</v>
      </c>
      <c r="AG294">
        <v>0.06</v>
      </c>
      <c r="AH294">
        <v>3</v>
      </c>
      <c r="AI294">
        <v>-1</v>
      </c>
      <c r="AJ294" t="s">
        <v>3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 x14ac:dyDescent="0.2">
      <c r="A295">
        <f>ROW(Source!A449)</f>
        <v>449</v>
      </c>
      <c r="B295">
        <v>1474096842</v>
      </c>
      <c r="C295">
        <v>1472040234</v>
      </c>
      <c r="D295">
        <v>1441836235</v>
      </c>
      <c r="E295">
        <v>1</v>
      </c>
      <c r="F295">
        <v>1</v>
      </c>
      <c r="G295">
        <v>15514512</v>
      </c>
      <c r="H295">
        <v>3</v>
      </c>
      <c r="I295" t="s">
        <v>683</v>
      </c>
      <c r="J295" t="s">
        <v>684</v>
      </c>
      <c r="K295" t="s">
        <v>685</v>
      </c>
      <c r="L295">
        <v>1346</v>
      </c>
      <c r="N295">
        <v>1009</v>
      </c>
      <c r="O295" t="s">
        <v>657</v>
      </c>
      <c r="P295" t="s">
        <v>657</v>
      </c>
      <c r="Q295">
        <v>1</v>
      </c>
      <c r="X295">
        <v>0.32</v>
      </c>
      <c r="Y295">
        <v>31.49</v>
      </c>
      <c r="Z295">
        <v>0</v>
      </c>
      <c r="AA295">
        <v>0</v>
      </c>
      <c r="AB295">
        <v>0</v>
      </c>
      <c r="AC295">
        <v>0</v>
      </c>
      <c r="AD295">
        <v>1</v>
      </c>
      <c r="AE295">
        <v>0</v>
      </c>
      <c r="AF295" t="s">
        <v>164</v>
      </c>
      <c r="AG295">
        <v>0.64</v>
      </c>
      <c r="AH295">
        <v>3</v>
      </c>
      <c r="AI295">
        <v>-1</v>
      </c>
      <c r="AJ295" t="s">
        <v>3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 x14ac:dyDescent="0.2">
      <c r="A296">
        <f>ROW(Source!A450)</f>
        <v>450</v>
      </c>
      <c r="B296">
        <v>1474096843</v>
      </c>
      <c r="C296">
        <v>1472040244</v>
      </c>
      <c r="D296">
        <v>1441819193</v>
      </c>
      <c r="E296">
        <v>15514512</v>
      </c>
      <c r="F296">
        <v>1</v>
      </c>
      <c r="G296">
        <v>15514512</v>
      </c>
      <c r="H296">
        <v>1</v>
      </c>
      <c r="I296" t="s">
        <v>648</v>
      </c>
      <c r="J296" t="s">
        <v>3</v>
      </c>
      <c r="K296" t="s">
        <v>649</v>
      </c>
      <c r="L296">
        <v>1191</v>
      </c>
      <c r="N296">
        <v>1013</v>
      </c>
      <c r="O296" t="s">
        <v>650</v>
      </c>
      <c r="P296" t="s">
        <v>650</v>
      </c>
      <c r="Q296">
        <v>1</v>
      </c>
      <c r="X296">
        <v>1.56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1</v>
      </c>
      <c r="AE296">
        <v>1</v>
      </c>
      <c r="AF296" t="s">
        <v>164</v>
      </c>
      <c r="AG296">
        <v>3.12</v>
      </c>
      <c r="AH296">
        <v>3</v>
      </c>
      <c r="AI296">
        <v>-1</v>
      </c>
      <c r="AJ296" t="s">
        <v>3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 x14ac:dyDescent="0.2">
      <c r="A297">
        <f>ROW(Source!A450)</f>
        <v>450</v>
      </c>
      <c r="B297">
        <v>1474096844</v>
      </c>
      <c r="C297">
        <v>1472040244</v>
      </c>
      <c r="D297">
        <v>1441833954</v>
      </c>
      <c r="E297">
        <v>1</v>
      </c>
      <c r="F297">
        <v>1</v>
      </c>
      <c r="G297">
        <v>15514512</v>
      </c>
      <c r="H297">
        <v>2</v>
      </c>
      <c r="I297" t="s">
        <v>717</v>
      </c>
      <c r="J297" t="s">
        <v>718</v>
      </c>
      <c r="K297" t="s">
        <v>719</v>
      </c>
      <c r="L297">
        <v>1368</v>
      </c>
      <c r="N297">
        <v>1011</v>
      </c>
      <c r="O297" t="s">
        <v>603</v>
      </c>
      <c r="P297" t="s">
        <v>603</v>
      </c>
      <c r="Q297">
        <v>1</v>
      </c>
      <c r="X297">
        <v>0.03</v>
      </c>
      <c r="Y297">
        <v>0</v>
      </c>
      <c r="Z297">
        <v>59.51</v>
      </c>
      <c r="AA297">
        <v>0.82</v>
      </c>
      <c r="AB297">
        <v>0</v>
      </c>
      <c r="AC297">
        <v>0</v>
      </c>
      <c r="AD297">
        <v>1</v>
      </c>
      <c r="AE297">
        <v>0</v>
      </c>
      <c r="AF297" t="s">
        <v>164</v>
      </c>
      <c r="AG297">
        <v>0.06</v>
      </c>
      <c r="AH297">
        <v>3</v>
      </c>
      <c r="AI297">
        <v>-1</v>
      </c>
      <c r="AJ297" t="s">
        <v>3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 x14ac:dyDescent="0.2">
      <c r="A298">
        <f>ROW(Source!A450)</f>
        <v>450</v>
      </c>
      <c r="B298">
        <v>1474096845</v>
      </c>
      <c r="C298">
        <v>1472040244</v>
      </c>
      <c r="D298">
        <v>1441836235</v>
      </c>
      <c r="E298">
        <v>1</v>
      </c>
      <c r="F298">
        <v>1</v>
      </c>
      <c r="G298">
        <v>15514512</v>
      </c>
      <c r="H298">
        <v>3</v>
      </c>
      <c r="I298" t="s">
        <v>683</v>
      </c>
      <c r="J298" t="s">
        <v>684</v>
      </c>
      <c r="K298" t="s">
        <v>685</v>
      </c>
      <c r="L298">
        <v>1346</v>
      </c>
      <c r="N298">
        <v>1009</v>
      </c>
      <c r="O298" t="s">
        <v>657</v>
      </c>
      <c r="P298" t="s">
        <v>657</v>
      </c>
      <c r="Q298">
        <v>1</v>
      </c>
      <c r="X298">
        <v>0.02</v>
      </c>
      <c r="Y298">
        <v>31.49</v>
      </c>
      <c r="Z298">
        <v>0</v>
      </c>
      <c r="AA298">
        <v>0</v>
      </c>
      <c r="AB298">
        <v>0</v>
      </c>
      <c r="AC298">
        <v>0</v>
      </c>
      <c r="AD298">
        <v>1</v>
      </c>
      <c r="AE298">
        <v>0</v>
      </c>
      <c r="AF298" t="s">
        <v>164</v>
      </c>
      <c r="AG298">
        <v>0.04</v>
      </c>
      <c r="AH298">
        <v>3</v>
      </c>
      <c r="AI298">
        <v>-1</v>
      </c>
      <c r="AJ298" t="s">
        <v>3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 x14ac:dyDescent="0.2">
      <c r="A299">
        <f>ROW(Source!A451)</f>
        <v>451</v>
      </c>
      <c r="B299">
        <v>1474096846</v>
      </c>
      <c r="C299">
        <v>1472040254</v>
      </c>
      <c r="D299">
        <v>1441819193</v>
      </c>
      <c r="E299">
        <v>15514512</v>
      </c>
      <c r="F299">
        <v>1</v>
      </c>
      <c r="G299">
        <v>15514512</v>
      </c>
      <c r="H299">
        <v>1</v>
      </c>
      <c r="I299" t="s">
        <v>648</v>
      </c>
      <c r="J299" t="s">
        <v>3</v>
      </c>
      <c r="K299" t="s">
        <v>649</v>
      </c>
      <c r="L299">
        <v>1191</v>
      </c>
      <c r="N299">
        <v>1013</v>
      </c>
      <c r="O299" t="s">
        <v>650</v>
      </c>
      <c r="P299" t="s">
        <v>650</v>
      </c>
      <c r="Q299">
        <v>1</v>
      </c>
      <c r="X299">
        <v>36.1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1</v>
      </c>
      <c r="AE299">
        <v>1</v>
      </c>
      <c r="AF299" t="s">
        <v>324</v>
      </c>
      <c r="AG299">
        <v>24.066666666666666</v>
      </c>
      <c r="AH299">
        <v>3</v>
      </c>
      <c r="AI299">
        <v>-1</v>
      </c>
      <c r="AJ299" t="s">
        <v>3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 x14ac:dyDescent="0.2">
      <c r="A300">
        <f>ROW(Source!A451)</f>
        <v>451</v>
      </c>
      <c r="B300">
        <v>1474096847</v>
      </c>
      <c r="C300">
        <v>1472040254</v>
      </c>
      <c r="D300">
        <v>1441835475</v>
      </c>
      <c r="E300">
        <v>1</v>
      </c>
      <c r="F300">
        <v>1</v>
      </c>
      <c r="G300">
        <v>15514512</v>
      </c>
      <c r="H300">
        <v>3</v>
      </c>
      <c r="I300" t="s">
        <v>723</v>
      </c>
      <c r="J300" t="s">
        <v>724</v>
      </c>
      <c r="K300" t="s">
        <v>725</v>
      </c>
      <c r="L300">
        <v>1348</v>
      </c>
      <c r="N300">
        <v>1009</v>
      </c>
      <c r="O300" t="s">
        <v>675</v>
      </c>
      <c r="P300" t="s">
        <v>675</v>
      </c>
      <c r="Q300">
        <v>1000</v>
      </c>
      <c r="X300">
        <v>2.9999999999999997E-4</v>
      </c>
      <c r="Y300">
        <v>155908.07999999999</v>
      </c>
      <c r="Z300">
        <v>0</v>
      </c>
      <c r="AA300">
        <v>0</v>
      </c>
      <c r="AB300">
        <v>0</v>
      </c>
      <c r="AC300">
        <v>0</v>
      </c>
      <c r="AD300">
        <v>1</v>
      </c>
      <c r="AE300">
        <v>0</v>
      </c>
      <c r="AF300" t="s">
        <v>324</v>
      </c>
      <c r="AG300">
        <v>1.9999999999999998E-4</v>
      </c>
      <c r="AH300">
        <v>3</v>
      </c>
      <c r="AI300">
        <v>-1</v>
      </c>
      <c r="AJ300" t="s">
        <v>3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 x14ac:dyDescent="0.2">
      <c r="A301">
        <f>ROW(Source!A451)</f>
        <v>451</v>
      </c>
      <c r="B301">
        <v>1474096848</v>
      </c>
      <c r="C301">
        <v>1472040254</v>
      </c>
      <c r="D301">
        <v>1441835549</v>
      </c>
      <c r="E301">
        <v>1</v>
      </c>
      <c r="F301">
        <v>1</v>
      </c>
      <c r="G301">
        <v>15514512</v>
      </c>
      <c r="H301">
        <v>3</v>
      </c>
      <c r="I301" t="s">
        <v>726</v>
      </c>
      <c r="J301" t="s">
        <v>727</v>
      </c>
      <c r="K301" t="s">
        <v>728</v>
      </c>
      <c r="L301">
        <v>1348</v>
      </c>
      <c r="N301">
        <v>1009</v>
      </c>
      <c r="O301" t="s">
        <v>675</v>
      </c>
      <c r="P301" t="s">
        <v>675</v>
      </c>
      <c r="Q301">
        <v>1000</v>
      </c>
      <c r="X301">
        <v>1E-4</v>
      </c>
      <c r="Y301">
        <v>194655.19</v>
      </c>
      <c r="Z301">
        <v>0</v>
      </c>
      <c r="AA301">
        <v>0</v>
      </c>
      <c r="AB301">
        <v>0</v>
      </c>
      <c r="AC301">
        <v>0</v>
      </c>
      <c r="AD301">
        <v>1</v>
      </c>
      <c r="AE301">
        <v>0</v>
      </c>
      <c r="AF301" t="s">
        <v>324</v>
      </c>
      <c r="AG301">
        <v>6.666666666666667E-5</v>
      </c>
      <c r="AH301">
        <v>3</v>
      </c>
      <c r="AI301">
        <v>-1</v>
      </c>
      <c r="AJ301" t="s">
        <v>3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 x14ac:dyDescent="0.2">
      <c r="A302">
        <f>ROW(Source!A451)</f>
        <v>451</v>
      </c>
      <c r="B302">
        <v>1474096849</v>
      </c>
      <c r="C302">
        <v>1472040254</v>
      </c>
      <c r="D302">
        <v>1441836250</v>
      </c>
      <c r="E302">
        <v>1</v>
      </c>
      <c r="F302">
        <v>1</v>
      </c>
      <c r="G302">
        <v>15514512</v>
      </c>
      <c r="H302">
        <v>3</v>
      </c>
      <c r="I302" t="s">
        <v>759</v>
      </c>
      <c r="J302" t="s">
        <v>760</v>
      </c>
      <c r="K302" t="s">
        <v>761</v>
      </c>
      <c r="L302">
        <v>1327</v>
      </c>
      <c r="N302">
        <v>1005</v>
      </c>
      <c r="O302" t="s">
        <v>762</v>
      </c>
      <c r="P302" t="s">
        <v>762</v>
      </c>
      <c r="Q302">
        <v>1</v>
      </c>
      <c r="X302">
        <v>1.1000000000000001</v>
      </c>
      <c r="Y302">
        <v>149.25</v>
      </c>
      <c r="Z302">
        <v>0</v>
      </c>
      <c r="AA302">
        <v>0</v>
      </c>
      <c r="AB302">
        <v>0</v>
      </c>
      <c r="AC302">
        <v>0</v>
      </c>
      <c r="AD302">
        <v>1</v>
      </c>
      <c r="AE302">
        <v>0</v>
      </c>
      <c r="AF302" t="s">
        <v>324</v>
      </c>
      <c r="AG302">
        <v>0.73333333333333339</v>
      </c>
      <c r="AH302">
        <v>3</v>
      </c>
      <c r="AI302">
        <v>-1</v>
      </c>
      <c r="AJ302" t="s">
        <v>3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 x14ac:dyDescent="0.2">
      <c r="A303">
        <f>ROW(Source!A451)</f>
        <v>451</v>
      </c>
      <c r="B303">
        <v>1474096850</v>
      </c>
      <c r="C303">
        <v>1472040254</v>
      </c>
      <c r="D303">
        <v>1441834635</v>
      </c>
      <c r="E303">
        <v>1</v>
      </c>
      <c r="F303">
        <v>1</v>
      </c>
      <c r="G303">
        <v>15514512</v>
      </c>
      <c r="H303">
        <v>3</v>
      </c>
      <c r="I303" t="s">
        <v>738</v>
      </c>
      <c r="J303" t="s">
        <v>739</v>
      </c>
      <c r="K303" t="s">
        <v>740</v>
      </c>
      <c r="L303">
        <v>1339</v>
      </c>
      <c r="N303">
        <v>1007</v>
      </c>
      <c r="O303" t="s">
        <v>679</v>
      </c>
      <c r="P303" t="s">
        <v>679</v>
      </c>
      <c r="Q303">
        <v>1</v>
      </c>
      <c r="X303">
        <v>0.5</v>
      </c>
      <c r="Y303">
        <v>103.4</v>
      </c>
      <c r="Z303">
        <v>0</v>
      </c>
      <c r="AA303">
        <v>0</v>
      </c>
      <c r="AB303">
        <v>0</v>
      </c>
      <c r="AC303">
        <v>0</v>
      </c>
      <c r="AD303">
        <v>1</v>
      </c>
      <c r="AE303">
        <v>0</v>
      </c>
      <c r="AF303" t="s">
        <v>324</v>
      </c>
      <c r="AG303">
        <v>0.33333333333333331</v>
      </c>
      <c r="AH303">
        <v>3</v>
      </c>
      <c r="AI303">
        <v>-1</v>
      </c>
      <c r="AJ303" t="s">
        <v>3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 x14ac:dyDescent="0.2">
      <c r="A304">
        <f>ROW(Source!A451)</f>
        <v>451</v>
      </c>
      <c r="B304">
        <v>1474096851</v>
      </c>
      <c r="C304">
        <v>1472040254</v>
      </c>
      <c r="D304">
        <v>1441834627</v>
      </c>
      <c r="E304">
        <v>1</v>
      </c>
      <c r="F304">
        <v>1</v>
      </c>
      <c r="G304">
        <v>15514512</v>
      </c>
      <c r="H304">
        <v>3</v>
      </c>
      <c r="I304" t="s">
        <v>741</v>
      </c>
      <c r="J304" t="s">
        <v>742</v>
      </c>
      <c r="K304" t="s">
        <v>743</v>
      </c>
      <c r="L304">
        <v>1339</v>
      </c>
      <c r="N304">
        <v>1007</v>
      </c>
      <c r="O304" t="s">
        <v>679</v>
      </c>
      <c r="P304" t="s">
        <v>679</v>
      </c>
      <c r="Q304">
        <v>1</v>
      </c>
      <c r="X304">
        <v>0.3</v>
      </c>
      <c r="Y304">
        <v>875.46</v>
      </c>
      <c r="Z304">
        <v>0</v>
      </c>
      <c r="AA304">
        <v>0</v>
      </c>
      <c r="AB304">
        <v>0</v>
      </c>
      <c r="AC304">
        <v>0</v>
      </c>
      <c r="AD304">
        <v>1</v>
      </c>
      <c r="AE304">
        <v>0</v>
      </c>
      <c r="AF304" t="s">
        <v>324</v>
      </c>
      <c r="AG304">
        <v>0.19999999999999998</v>
      </c>
      <c r="AH304">
        <v>3</v>
      </c>
      <c r="AI304">
        <v>-1</v>
      </c>
      <c r="AJ304" t="s">
        <v>3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  <row r="305" spans="1:44" x14ac:dyDescent="0.2">
      <c r="A305">
        <f>ROW(Source!A451)</f>
        <v>451</v>
      </c>
      <c r="B305">
        <v>1474096852</v>
      </c>
      <c r="C305">
        <v>1472040254</v>
      </c>
      <c r="D305">
        <v>1441834671</v>
      </c>
      <c r="E305">
        <v>1</v>
      </c>
      <c r="F305">
        <v>1</v>
      </c>
      <c r="G305">
        <v>15514512</v>
      </c>
      <c r="H305">
        <v>3</v>
      </c>
      <c r="I305" t="s">
        <v>744</v>
      </c>
      <c r="J305" t="s">
        <v>745</v>
      </c>
      <c r="K305" t="s">
        <v>746</v>
      </c>
      <c r="L305">
        <v>1348</v>
      </c>
      <c r="N305">
        <v>1009</v>
      </c>
      <c r="O305" t="s">
        <v>675</v>
      </c>
      <c r="P305" t="s">
        <v>675</v>
      </c>
      <c r="Q305">
        <v>1000</v>
      </c>
      <c r="X305">
        <v>1E-4</v>
      </c>
      <c r="Y305">
        <v>184462.17</v>
      </c>
      <c r="Z305">
        <v>0</v>
      </c>
      <c r="AA305">
        <v>0</v>
      </c>
      <c r="AB305">
        <v>0</v>
      </c>
      <c r="AC305">
        <v>0</v>
      </c>
      <c r="AD305">
        <v>1</v>
      </c>
      <c r="AE305">
        <v>0</v>
      </c>
      <c r="AF305" t="s">
        <v>324</v>
      </c>
      <c r="AG305">
        <v>6.666666666666667E-5</v>
      </c>
      <c r="AH305">
        <v>3</v>
      </c>
      <c r="AI305">
        <v>-1</v>
      </c>
      <c r="AJ305" t="s">
        <v>3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</row>
    <row r="306" spans="1:44" x14ac:dyDescent="0.2">
      <c r="A306">
        <f>ROW(Source!A451)</f>
        <v>451</v>
      </c>
      <c r="B306">
        <v>1474096853</v>
      </c>
      <c r="C306">
        <v>1472040254</v>
      </c>
      <c r="D306">
        <v>1441834634</v>
      </c>
      <c r="E306">
        <v>1</v>
      </c>
      <c r="F306">
        <v>1</v>
      </c>
      <c r="G306">
        <v>15514512</v>
      </c>
      <c r="H306">
        <v>3</v>
      </c>
      <c r="I306" t="s">
        <v>747</v>
      </c>
      <c r="J306" t="s">
        <v>748</v>
      </c>
      <c r="K306" t="s">
        <v>749</v>
      </c>
      <c r="L306">
        <v>1348</v>
      </c>
      <c r="N306">
        <v>1009</v>
      </c>
      <c r="O306" t="s">
        <v>675</v>
      </c>
      <c r="P306" t="s">
        <v>675</v>
      </c>
      <c r="Q306">
        <v>1000</v>
      </c>
      <c r="X306">
        <v>2.9999999999999997E-4</v>
      </c>
      <c r="Y306">
        <v>88053.759999999995</v>
      </c>
      <c r="Z306">
        <v>0</v>
      </c>
      <c r="AA306">
        <v>0</v>
      </c>
      <c r="AB306">
        <v>0</v>
      </c>
      <c r="AC306">
        <v>0</v>
      </c>
      <c r="AD306">
        <v>1</v>
      </c>
      <c r="AE306">
        <v>0</v>
      </c>
      <c r="AF306" t="s">
        <v>324</v>
      </c>
      <c r="AG306">
        <v>1.9999999999999998E-4</v>
      </c>
      <c r="AH306">
        <v>3</v>
      </c>
      <c r="AI306">
        <v>-1</v>
      </c>
      <c r="AJ306" t="s">
        <v>3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</row>
    <row r="307" spans="1:44" x14ac:dyDescent="0.2">
      <c r="A307">
        <f>ROW(Source!A451)</f>
        <v>451</v>
      </c>
      <c r="B307">
        <v>1474096854</v>
      </c>
      <c r="C307">
        <v>1472040254</v>
      </c>
      <c r="D307">
        <v>1441834836</v>
      </c>
      <c r="E307">
        <v>1</v>
      </c>
      <c r="F307">
        <v>1</v>
      </c>
      <c r="G307">
        <v>15514512</v>
      </c>
      <c r="H307">
        <v>3</v>
      </c>
      <c r="I307" t="s">
        <v>750</v>
      </c>
      <c r="J307" t="s">
        <v>751</v>
      </c>
      <c r="K307" t="s">
        <v>752</v>
      </c>
      <c r="L307">
        <v>1348</v>
      </c>
      <c r="N307">
        <v>1009</v>
      </c>
      <c r="O307" t="s">
        <v>675</v>
      </c>
      <c r="P307" t="s">
        <v>675</v>
      </c>
      <c r="Q307">
        <v>1000</v>
      </c>
      <c r="X307">
        <v>6.3000000000000003E-4</v>
      </c>
      <c r="Y307">
        <v>93194.67</v>
      </c>
      <c r="Z307">
        <v>0</v>
      </c>
      <c r="AA307">
        <v>0</v>
      </c>
      <c r="AB307">
        <v>0</v>
      </c>
      <c r="AC307">
        <v>0</v>
      </c>
      <c r="AD307">
        <v>1</v>
      </c>
      <c r="AE307">
        <v>0</v>
      </c>
      <c r="AF307" t="s">
        <v>324</v>
      </c>
      <c r="AG307">
        <v>4.2000000000000002E-4</v>
      </c>
      <c r="AH307">
        <v>3</v>
      </c>
      <c r="AI307">
        <v>-1</v>
      </c>
      <c r="AJ307" t="s">
        <v>3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</row>
    <row r="308" spans="1:44" x14ac:dyDescent="0.2">
      <c r="A308">
        <f>ROW(Source!A451)</f>
        <v>451</v>
      </c>
      <c r="B308">
        <v>1474096855</v>
      </c>
      <c r="C308">
        <v>1472040254</v>
      </c>
      <c r="D308">
        <v>1441822273</v>
      </c>
      <c r="E308">
        <v>15514512</v>
      </c>
      <c r="F308">
        <v>1</v>
      </c>
      <c r="G308">
        <v>15514512</v>
      </c>
      <c r="H308">
        <v>3</v>
      </c>
      <c r="I308" t="s">
        <v>705</v>
      </c>
      <c r="J308" t="s">
        <v>3</v>
      </c>
      <c r="K308" t="s">
        <v>707</v>
      </c>
      <c r="L308">
        <v>1348</v>
      </c>
      <c r="N308">
        <v>1009</v>
      </c>
      <c r="O308" t="s">
        <v>675</v>
      </c>
      <c r="P308" t="s">
        <v>675</v>
      </c>
      <c r="Q308">
        <v>1000</v>
      </c>
      <c r="X308">
        <v>6.9999999999999994E-5</v>
      </c>
      <c r="Y308">
        <v>94640</v>
      </c>
      <c r="Z308">
        <v>0</v>
      </c>
      <c r="AA308">
        <v>0</v>
      </c>
      <c r="AB308">
        <v>0</v>
      </c>
      <c r="AC308">
        <v>0</v>
      </c>
      <c r="AD308">
        <v>1</v>
      </c>
      <c r="AE308">
        <v>0</v>
      </c>
      <c r="AF308" t="s">
        <v>324</v>
      </c>
      <c r="AG308">
        <v>4.6666666666666665E-5</v>
      </c>
      <c r="AH308">
        <v>3</v>
      </c>
      <c r="AI308">
        <v>-1</v>
      </c>
      <c r="AJ308" t="s">
        <v>3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</row>
    <row r="309" spans="1:44" x14ac:dyDescent="0.2">
      <c r="A309">
        <f>ROW(Source!A452)</f>
        <v>452</v>
      </c>
      <c r="B309">
        <v>1474096856</v>
      </c>
      <c r="C309">
        <v>1472040285</v>
      </c>
      <c r="D309">
        <v>1441819193</v>
      </c>
      <c r="E309">
        <v>15514512</v>
      </c>
      <c r="F309">
        <v>1</v>
      </c>
      <c r="G309">
        <v>15514512</v>
      </c>
      <c r="H309">
        <v>1</v>
      </c>
      <c r="I309" t="s">
        <v>648</v>
      </c>
      <c r="J309" t="s">
        <v>3</v>
      </c>
      <c r="K309" t="s">
        <v>649</v>
      </c>
      <c r="L309">
        <v>1191</v>
      </c>
      <c r="N309">
        <v>1013</v>
      </c>
      <c r="O309" t="s">
        <v>650</v>
      </c>
      <c r="P309" t="s">
        <v>650</v>
      </c>
      <c r="Q309">
        <v>1</v>
      </c>
      <c r="X309">
        <v>5.5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1</v>
      </c>
      <c r="AE309">
        <v>1</v>
      </c>
      <c r="AF309" t="s">
        <v>3</v>
      </c>
      <c r="AG309">
        <v>5.5</v>
      </c>
      <c r="AH309">
        <v>3</v>
      </c>
      <c r="AI309">
        <v>-1</v>
      </c>
      <c r="AJ309" t="s">
        <v>3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</row>
    <row r="310" spans="1:44" x14ac:dyDescent="0.2">
      <c r="A310">
        <f>ROW(Source!A452)</f>
        <v>452</v>
      </c>
      <c r="B310">
        <v>1474096857</v>
      </c>
      <c r="C310">
        <v>1472040285</v>
      </c>
      <c r="D310">
        <v>1441836235</v>
      </c>
      <c r="E310">
        <v>1</v>
      </c>
      <c r="F310">
        <v>1</v>
      </c>
      <c r="G310">
        <v>15514512</v>
      </c>
      <c r="H310">
        <v>3</v>
      </c>
      <c r="I310" t="s">
        <v>683</v>
      </c>
      <c r="J310" t="s">
        <v>684</v>
      </c>
      <c r="K310" t="s">
        <v>685</v>
      </c>
      <c r="L310">
        <v>1346</v>
      </c>
      <c r="N310">
        <v>1009</v>
      </c>
      <c r="O310" t="s">
        <v>657</v>
      </c>
      <c r="P310" t="s">
        <v>657</v>
      </c>
      <c r="Q310">
        <v>1</v>
      </c>
      <c r="X310">
        <v>0.02</v>
      </c>
      <c r="Y310">
        <v>31.49</v>
      </c>
      <c r="Z310">
        <v>0</v>
      </c>
      <c r="AA310">
        <v>0</v>
      </c>
      <c r="AB310">
        <v>0</v>
      </c>
      <c r="AC310">
        <v>0</v>
      </c>
      <c r="AD310">
        <v>1</v>
      </c>
      <c r="AE310">
        <v>0</v>
      </c>
      <c r="AF310" t="s">
        <v>3</v>
      </c>
      <c r="AG310">
        <v>0.02</v>
      </c>
      <c r="AH310">
        <v>3</v>
      </c>
      <c r="AI310">
        <v>-1</v>
      </c>
      <c r="AJ310" t="s">
        <v>3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</row>
    <row r="311" spans="1:44" x14ac:dyDescent="0.2">
      <c r="A311">
        <f>ROW(Source!A452)</f>
        <v>452</v>
      </c>
      <c r="B311">
        <v>1474096858</v>
      </c>
      <c r="C311">
        <v>1472040285</v>
      </c>
      <c r="D311">
        <v>1441821379</v>
      </c>
      <c r="E311">
        <v>15514512</v>
      </c>
      <c r="F311">
        <v>1</v>
      </c>
      <c r="G311">
        <v>15514512</v>
      </c>
      <c r="H311">
        <v>3</v>
      </c>
      <c r="I311" t="s">
        <v>703</v>
      </c>
      <c r="J311" t="s">
        <v>3</v>
      </c>
      <c r="K311" t="s">
        <v>704</v>
      </c>
      <c r="L311">
        <v>1346</v>
      </c>
      <c r="N311">
        <v>1009</v>
      </c>
      <c r="O311" t="s">
        <v>657</v>
      </c>
      <c r="P311" t="s">
        <v>657</v>
      </c>
      <c r="Q311">
        <v>1</v>
      </c>
      <c r="X311">
        <v>2.4E-2</v>
      </c>
      <c r="Y311">
        <v>89.933959999999999</v>
      </c>
      <c r="Z311">
        <v>0</v>
      </c>
      <c r="AA311">
        <v>0</v>
      </c>
      <c r="AB311">
        <v>0</v>
      </c>
      <c r="AC311">
        <v>0</v>
      </c>
      <c r="AD311">
        <v>1</v>
      </c>
      <c r="AE311">
        <v>0</v>
      </c>
      <c r="AF311" t="s">
        <v>3</v>
      </c>
      <c r="AG311">
        <v>2.4E-2</v>
      </c>
      <c r="AH311">
        <v>3</v>
      </c>
      <c r="AI311">
        <v>-1</v>
      </c>
      <c r="AJ311" t="s">
        <v>3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</row>
    <row r="312" spans="1:44" x14ac:dyDescent="0.2">
      <c r="A312">
        <f>ROW(Source!A453)</f>
        <v>453</v>
      </c>
      <c r="B312">
        <v>1474096859</v>
      </c>
      <c r="C312">
        <v>1472040295</v>
      </c>
      <c r="D312">
        <v>1441819193</v>
      </c>
      <c r="E312">
        <v>15514512</v>
      </c>
      <c r="F312">
        <v>1</v>
      </c>
      <c r="G312">
        <v>15514512</v>
      </c>
      <c r="H312">
        <v>1</v>
      </c>
      <c r="I312" t="s">
        <v>648</v>
      </c>
      <c r="J312" t="s">
        <v>3</v>
      </c>
      <c r="K312" t="s">
        <v>649</v>
      </c>
      <c r="L312">
        <v>1191</v>
      </c>
      <c r="N312">
        <v>1013</v>
      </c>
      <c r="O312" t="s">
        <v>650</v>
      </c>
      <c r="P312" t="s">
        <v>650</v>
      </c>
      <c r="Q312">
        <v>1</v>
      </c>
      <c r="X312">
        <v>2.38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1</v>
      </c>
      <c r="AE312">
        <v>1</v>
      </c>
      <c r="AF312" t="s">
        <v>164</v>
      </c>
      <c r="AG312">
        <v>4.76</v>
      </c>
      <c r="AH312">
        <v>3</v>
      </c>
      <c r="AI312">
        <v>-1</v>
      </c>
      <c r="AJ312" t="s">
        <v>3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</row>
    <row r="313" spans="1:44" x14ac:dyDescent="0.2">
      <c r="A313">
        <f>ROW(Source!A453)</f>
        <v>453</v>
      </c>
      <c r="B313">
        <v>1474096860</v>
      </c>
      <c r="C313">
        <v>1472040295</v>
      </c>
      <c r="D313">
        <v>1441836235</v>
      </c>
      <c r="E313">
        <v>1</v>
      </c>
      <c r="F313">
        <v>1</v>
      </c>
      <c r="G313">
        <v>15514512</v>
      </c>
      <c r="H313">
        <v>3</v>
      </c>
      <c r="I313" t="s">
        <v>683</v>
      </c>
      <c r="J313" t="s">
        <v>684</v>
      </c>
      <c r="K313" t="s">
        <v>685</v>
      </c>
      <c r="L313">
        <v>1346</v>
      </c>
      <c r="N313">
        <v>1009</v>
      </c>
      <c r="O313" t="s">
        <v>657</v>
      </c>
      <c r="P313" t="s">
        <v>657</v>
      </c>
      <c r="Q313">
        <v>1</v>
      </c>
      <c r="X313">
        <v>1E-3</v>
      </c>
      <c r="Y313">
        <v>31.49</v>
      </c>
      <c r="Z313">
        <v>0</v>
      </c>
      <c r="AA313">
        <v>0</v>
      </c>
      <c r="AB313">
        <v>0</v>
      </c>
      <c r="AC313">
        <v>0</v>
      </c>
      <c r="AD313">
        <v>1</v>
      </c>
      <c r="AE313">
        <v>0</v>
      </c>
      <c r="AF313" t="s">
        <v>164</v>
      </c>
      <c r="AG313">
        <v>2E-3</v>
      </c>
      <c r="AH313">
        <v>3</v>
      </c>
      <c r="AI313">
        <v>-1</v>
      </c>
      <c r="AJ313" t="s">
        <v>3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</row>
    <row r="314" spans="1:44" x14ac:dyDescent="0.2">
      <c r="A314">
        <f>ROW(Source!A454)</f>
        <v>454</v>
      </c>
      <c r="B314">
        <v>1474096861</v>
      </c>
      <c r="C314">
        <v>1472040302</v>
      </c>
      <c r="D314">
        <v>1441819193</v>
      </c>
      <c r="E314">
        <v>15514512</v>
      </c>
      <c r="F314">
        <v>1</v>
      </c>
      <c r="G314">
        <v>15514512</v>
      </c>
      <c r="H314">
        <v>1</v>
      </c>
      <c r="I314" t="s">
        <v>648</v>
      </c>
      <c r="J314" t="s">
        <v>3</v>
      </c>
      <c r="K314" t="s">
        <v>649</v>
      </c>
      <c r="L314">
        <v>1191</v>
      </c>
      <c r="N314">
        <v>1013</v>
      </c>
      <c r="O314" t="s">
        <v>650</v>
      </c>
      <c r="P314" t="s">
        <v>650</v>
      </c>
      <c r="Q314">
        <v>1</v>
      </c>
      <c r="X314">
        <v>1.1000000000000001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1</v>
      </c>
      <c r="AE314">
        <v>1</v>
      </c>
      <c r="AF314" t="s">
        <v>164</v>
      </c>
      <c r="AG314">
        <v>2.2000000000000002</v>
      </c>
      <c r="AH314">
        <v>3</v>
      </c>
      <c r="AI314">
        <v>-1</v>
      </c>
      <c r="AJ314" t="s">
        <v>3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</row>
    <row r="315" spans="1:44" x14ac:dyDescent="0.2">
      <c r="A315">
        <f>ROW(Source!A454)</f>
        <v>454</v>
      </c>
      <c r="B315">
        <v>1474096862</v>
      </c>
      <c r="C315">
        <v>1472040302</v>
      </c>
      <c r="D315">
        <v>1441836235</v>
      </c>
      <c r="E315">
        <v>1</v>
      </c>
      <c r="F315">
        <v>1</v>
      </c>
      <c r="G315">
        <v>15514512</v>
      </c>
      <c r="H315">
        <v>3</v>
      </c>
      <c r="I315" t="s">
        <v>683</v>
      </c>
      <c r="J315" t="s">
        <v>684</v>
      </c>
      <c r="K315" t="s">
        <v>685</v>
      </c>
      <c r="L315">
        <v>1346</v>
      </c>
      <c r="N315">
        <v>1009</v>
      </c>
      <c r="O315" t="s">
        <v>657</v>
      </c>
      <c r="P315" t="s">
        <v>657</v>
      </c>
      <c r="Q315">
        <v>1</v>
      </c>
      <c r="X315">
        <v>1.1999999999999999E-3</v>
      </c>
      <c r="Y315">
        <v>31.49</v>
      </c>
      <c r="Z315">
        <v>0</v>
      </c>
      <c r="AA315">
        <v>0</v>
      </c>
      <c r="AB315">
        <v>0</v>
      </c>
      <c r="AC315">
        <v>0</v>
      </c>
      <c r="AD315">
        <v>1</v>
      </c>
      <c r="AE315">
        <v>0</v>
      </c>
      <c r="AF315" t="s">
        <v>164</v>
      </c>
      <c r="AG315">
        <v>2.3999999999999998E-3</v>
      </c>
      <c r="AH315">
        <v>3</v>
      </c>
      <c r="AI315">
        <v>-1</v>
      </c>
      <c r="AJ315" t="s">
        <v>3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</row>
    <row r="316" spans="1:44" x14ac:dyDescent="0.2">
      <c r="A316">
        <f>ROW(Source!A455)</f>
        <v>455</v>
      </c>
      <c r="B316">
        <v>1474096863</v>
      </c>
      <c r="C316">
        <v>1472040309</v>
      </c>
      <c r="D316">
        <v>1441819193</v>
      </c>
      <c r="E316">
        <v>15514512</v>
      </c>
      <c r="F316">
        <v>1</v>
      </c>
      <c r="G316">
        <v>15514512</v>
      </c>
      <c r="H316">
        <v>1</v>
      </c>
      <c r="I316" t="s">
        <v>648</v>
      </c>
      <c r="J316" t="s">
        <v>3</v>
      </c>
      <c r="K316" t="s">
        <v>649</v>
      </c>
      <c r="L316">
        <v>1191</v>
      </c>
      <c r="N316">
        <v>1013</v>
      </c>
      <c r="O316" t="s">
        <v>650</v>
      </c>
      <c r="P316" t="s">
        <v>650</v>
      </c>
      <c r="Q316">
        <v>1</v>
      </c>
      <c r="X316">
        <v>9.6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1</v>
      </c>
      <c r="AE316">
        <v>1</v>
      </c>
      <c r="AF316" t="s">
        <v>3</v>
      </c>
      <c r="AG316">
        <v>9.6</v>
      </c>
      <c r="AH316">
        <v>3</v>
      </c>
      <c r="AI316">
        <v>-1</v>
      </c>
      <c r="AJ316" t="s">
        <v>3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</row>
    <row r="317" spans="1:44" x14ac:dyDescent="0.2">
      <c r="A317">
        <f>ROW(Source!A455)</f>
        <v>455</v>
      </c>
      <c r="B317">
        <v>1474096864</v>
      </c>
      <c r="C317">
        <v>1472040309</v>
      </c>
      <c r="D317">
        <v>1441834142</v>
      </c>
      <c r="E317">
        <v>1</v>
      </c>
      <c r="F317">
        <v>1</v>
      </c>
      <c r="G317">
        <v>15514512</v>
      </c>
      <c r="H317">
        <v>2</v>
      </c>
      <c r="I317" t="s">
        <v>763</v>
      </c>
      <c r="J317" t="s">
        <v>764</v>
      </c>
      <c r="K317" t="s">
        <v>765</v>
      </c>
      <c r="L317">
        <v>1368</v>
      </c>
      <c r="N317">
        <v>1011</v>
      </c>
      <c r="O317" t="s">
        <v>603</v>
      </c>
      <c r="P317" t="s">
        <v>603</v>
      </c>
      <c r="Q317">
        <v>1</v>
      </c>
      <c r="X317">
        <v>2.23</v>
      </c>
      <c r="Y317">
        <v>0</v>
      </c>
      <c r="Z317">
        <v>10.14</v>
      </c>
      <c r="AA317">
        <v>0.31</v>
      </c>
      <c r="AB317">
        <v>0</v>
      </c>
      <c r="AC317">
        <v>0</v>
      </c>
      <c r="AD317">
        <v>1</v>
      </c>
      <c r="AE317">
        <v>0</v>
      </c>
      <c r="AF317" t="s">
        <v>3</v>
      </c>
      <c r="AG317">
        <v>2.23</v>
      </c>
      <c r="AH317">
        <v>3</v>
      </c>
      <c r="AI317">
        <v>-1</v>
      </c>
      <c r="AJ317" t="s">
        <v>3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</row>
    <row r="318" spans="1:44" x14ac:dyDescent="0.2">
      <c r="A318">
        <f>ROW(Source!A455)</f>
        <v>455</v>
      </c>
      <c r="B318">
        <v>1474096865</v>
      </c>
      <c r="C318">
        <v>1472040309</v>
      </c>
      <c r="D318">
        <v>1441834258</v>
      </c>
      <c r="E318">
        <v>1</v>
      </c>
      <c r="F318">
        <v>1</v>
      </c>
      <c r="G318">
        <v>15514512</v>
      </c>
      <c r="H318">
        <v>2</v>
      </c>
      <c r="I318" t="s">
        <v>651</v>
      </c>
      <c r="J318" t="s">
        <v>652</v>
      </c>
      <c r="K318" t="s">
        <v>653</v>
      </c>
      <c r="L318">
        <v>1368</v>
      </c>
      <c r="N318">
        <v>1011</v>
      </c>
      <c r="O318" t="s">
        <v>603</v>
      </c>
      <c r="P318" t="s">
        <v>603</v>
      </c>
      <c r="Q318">
        <v>1</v>
      </c>
      <c r="X318">
        <v>2.4500000000000002</v>
      </c>
      <c r="Y318">
        <v>0</v>
      </c>
      <c r="Z318">
        <v>1303.01</v>
      </c>
      <c r="AA318">
        <v>826.2</v>
      </c>
      <c r="AB318">
        <v>0</v>
      </c>
      <c r="AC318">
        <v>0</v>
      </c>
      <c r="AD318">
        <v>1</v>
      </c>
      <c r="AE318">
        <v>0</v>
      </c>
      <c r="AF318" t="s">
        <v>3</v>
      </c>
      <c r="AG318">
        <v>2.4500000000000002</v>
      </c>
      <c r="AH318">
        <v>3</v>
      </c>
      <c r="AI318">
        <v>-1</v>
      </c>
      <c r="AJ318" t="s">
        <v>3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</row>
    <row r="319" spans="1:44" x14ac:dyDescent="0.2">
      <c r="A319">
        <f>ROW(Source!A455)</f>
        <v>455</v>
      </c>
      <c r="B319">
        <v>1474096866</v>
      </c>
      <c r="C319">
        <v>1472040309</v>
      </c>
      <c r="D319">
        <v>1441836395</v>
      </c>
      <c r="E319">
        <v>1</v>
      </c>
      <c r="F319">
        <v>1</v>
      </c>
      <c r="G319">
        <v>15514512</v>
      </c>
      <c r="H319">
        <v>3</v>
      </c>
      <c r="I319" t="s">
        <v>766</v>
      </c>
      <c r="J319" t="s">
        <v>767</v>
      </c>
      <c r="K319" t="s">
        <v>768</v>
      </c>
      <c r="L319">
        <v>1346</v>
      </c>
      <c r="N319">
        <v>1009</v>
      </c>
      <c r="O319" t="s">
        <v>657</v>
      </c>
      <c r="P319" t="s">
        <v>657</v>
      </c>
      <c r="Q319">
        <v>1</v>
      </c>
      <c r="X319">
        <v>0.32</v>
      </c>
      <c r="Y319">
        <v>1021.71</v>
      </c>
      <c r="Z319">
        <v>0</v>
      </c>
      <c r="AA319">
        <v>0</v>
      </c>
      <c r="AB319">
        <v>0</v>
      </c>
      <c r="AC319">
        <v>0</v>
      </c>
      <c r="AD319">
        <v>1</v>
      </c>
      <c r="AE319">
        <v>0</v>
      </c>
      <c r="AF319" t="s">
        <v>3</v>
      </c>
      <c r="AG319">
        <v>0.32</v>
      </c>
      <c r="AH319">
        <v>3</v>
      </c>
      <c r="AI319">
        <v>-1</v>
      </c>
      <c r="AJ319" t="s">
        <v>3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</row>
    <row r="320" spans="1:44" x14ac:dyDescent="0.2">
      <c r="A320">
        <f>ROW(Source!A456)</f>
        <v>456</v>
      </c>
      <c r="B320">
        <v>1474096867</v>
      </c>
      <c r="C320">
        <v>1472040322</v>
      </c>
      <c r="D320">
        <v>1441819193</v>
      </c>
      <c r="E320">
        <v>15514512</v>
      </c>
      <c r="F320">
        <v>1</v>
      </c>
      <c r="G320">
        <v>15514512</v>
      </c>
      <c r="H320">
        <v>1</v>
      </c>
      <c r="I320" t="s">
        <v>648</v>
      </c>
      <c r="J320" t="s">
        <v>3</v>
      </c>
      <c r="K320" t="s">
        <v>649</v>
      </c>
      <c r="L320">
        <v>1191</v>
      </c>
      <c r="N320">
        <v>1013</v>
      </c>
      <c r="O320" t="s">
        <v>650</v>
      </c>
      <c r="P320" t="s">
        <v>650</v>
      </c>
      <c r="Q320">
        <v>1</v>
      </c>
      <c r="X320">
        <v>4.4400000000000004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1</v>
      </c>
      <c r="AE320">
        <v>1</v>
      </c>
      <c r="AF320" t="s">
        <v>164</v>
      </c>
      <c r="AG320">
        <v>8.8800000000000008</v>
      </c>
      <c r="AH320">
        <v>3</v>
      </c>
      <c r="AI320">
        <v>-1</v>
      </c>
      <c r="AJ320" t="s">
        <v>3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</row>
    <row r="321" spans="1:44" x14ac:dyDescent="0.2">
      <c r="A321">
        <f>ROW(Source!A456)</f>
        <v>456</v>
      </c>
      <c r="B321">
        <v>1474096868</v>
      </c>
      <c r="C321">
        <v>1472040322</v>
      </c>
      <c r="D321">
        <v>1441836187</v>
      </c>
      <c r="E321">
        <v>1</v>
      </c>
      <c r="F321">
        <v>1</v>
      </c>
      <c r="G321">
        <v>15514512</v>
      </c>
      <c r="H321">
        <v>3</v>
      </c>
      <c r="I321" t="s">
        <v>692</v>
      </c>
      <c r="J321" t="s">
        <v>693</v>
      </c>
      <c r="K321" t="s">
        <v>694</v>
      </c>
      <c r="L321">
        <v>1346</v>
      </c>
      <c r="N321">
        <v>1009</v>
      </c>
      <c r="O321" t="s">
        <v>657</v>
      </c>
      <c r="P321" t="s">
        <v>657</v>
      </c>
      <c r="Q321">
        <v>1</v>
      </c>
      <c r="X321">
        <v>1.6E-2</v>
      </c>
      <c r="Y321">
        <v>424.66</v>
      </c>
      <c r="Z321">
        <v>0</v>
      </c>
      <c r="AA321">
        <v>0</v>
      </c>
      <c r="AB321">
        <v>0</v>
      </c>
      <c r="AC321">
        <v>0</v>
      </c>
      <c r="AD321">
        <v>1</v>
      </c>
      <c r="AE321">
        <v>0</v>
      </c>
      <c r="AF321" t="s">
        <v>164</v>
      </c>
      <c r="AG321">
        <v>3.2000000000000001E-2</v>
      </c>
      <c r="AH321">
        <v>3</v>
      </c>
      <c r="AI321">
        <v>-1</v>
      </c>
      <c r="AJ321" t="s">
        <v>3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</row>
    <row r="322" spans="1:44" x14ac:dyDescent="0.2">
      <c r="A322">
        <f>ROW(Source!A456)</f>
        <v>456</v>
      </c>
      <c r="B322">
        <v>1474096869</v>
      </c>
      <c r="C322">
        <v>1472040322</v>
      </c>
      <c r="D322">
        <v>1441836235</v>
      </c>
      <c r="E322">
        <v>1</v>
      </c>
      <c r="F322">
        <v>1</v>
      </c>
      <c r="G322">
        <v>15514512</v>
      </c>
      <c r="H322">
        <v>3</v>
      </c>
      <c r="I322" t="s">
        <v>683</v>
      </c>
      <c r="J322" t="s">
        <v>684</v>
      </c>
      <c r="K322" t="s">
        <v>685</v>
      </c>
      <c r="L322">
        <v>1346</v>
      </c>
      <c r="N322">
        <v>1009</v>
      </c>
      <c r="O322" t="s">
        <v>657</v>
      </c>
      <c r="P322" t="s">
        <v>657</v>
      </c>
      <c r="Q322">
        <v>1</v>
      </c>
      <c r="X322">
        <v>0.1</v>
      </c>
      <c r="Y322">
        <v>31.49</v>
      </c>
      <c r="Z322">
        <v>0</v>
      </c>
      <c r="AA322">
        <v>0</v>
      </c>
      <c r="AB322">
        <v>0</v>
      </c>
      <c r="AC322">
        <v>0</v>
      </c>
      <c r="AD322">
        <v>1</v>
      </c>
      <c r="AE322">
        <v>0</v>
      </c>
      <c r="AF322" t="s">
        <v>164</v>
      </c>
      <c r="AG322">
        <v>0.2</v>
      </c>
      <c r="AH322">
        <v>3</v>
      </c>
      <c r="AI322">
        <v>-1</v>
      </c>
      <c r="AJ322" t="s">
        <v>3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</row>
    <row r="323" spans="1:44" x14ac:dyDescent="0.2">
      <c r="A323">
        <f>ROW(Source!A457)</f>
        <v>457</v>
      </c>
      <c r="B323">
        <v>1474096870</v>
      </c>
      <c r="C323">
        <v>1472040332</v>
      </c>
      <c r="D323">
        <v>1441819193</v>
      </c>
      <c r="E323">
        <v>15514512</v>
      </c>
      <c r="F323">
        <v>1</v>
      </c>
      <c r="G323">
        <v>15514512</v>
      </c>
      <c r="H323">
        <v>1</v>
      </c>
      <c r="I323" t="s">
        <v>648</v>
      </c>
      <c r="J323" t="s">
        <v>3</v>
      </c>
      <c r="K323" t="s">
        <v>649</v>
      </c>
      <c r="L323">
        <v>1191</v>
      </c>
      <c r="N323">
        <v>1013</v>
      </c>
      <c r="O323" t="s">
        <v>650</v>
      </c>
      <c r="P323" t="s">
        <v>650</v>
      </c>
      <c r="Q323">
        <v>1</v>
      </c>
      <c r="X323">
        <v>0.38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1</v>
      </c>
      <c r="AE323">
        <v>1</v>
      </c>
      <c r="AF323" t="s">
        <v>164</v>
      </c>
      <c r="AG323">
        <v>0.76</v>
      </c>
      <c r="AH323">
        <v>3</v>
      </c>
      <c r="AI323">
        <v>-1</v>
      </c>
      <c r="AJ323" t="s">
        <v>3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</row>
    <row r="324" spans="1:44" x14ac:dyDescent="0.2">
      <c r="A324">
        <f>ROW(Source!A457)</f>
        <v>457</v>
      </c>
      <c r="B324">
        <v>1474096871</v>
      </c>
      <c r="C324">
        <v>1472040332</v>
      </c>
      <c r="D324">
        <v>1441836187</v>
      </c>
      <c r="E324">
        <v>1</v>
      </c>
      <c r="F324">
        <v>1</v>
      </c>
      <c r="G324">
        <v>15514512</v>
      </c>
      <c r="H324">
        <v>3</v>
      </c>
      <c r="I324" t="s">
        <v>692</v>
      </c>
      <c r="J324" t="s">
        <v>693</v>
      </c>
      <c r="K324" t="s">
        <v>694</v>
      </c>
      <c r="L324">
        <v>1346</v>
      </c>
      <c r="N324">
        <v>1009</v>
      </c>
      <c r="O324" t="s">
        <v>657</v>
      </c>
      <c r="P324" t="s">
        <v>657</v>
      </c>
      <c r="Q324">
        <v>1</v>
      </c>
      <c r="X324">
        <v>8.0000000000000002E-3</v>
      </c>
      <c r="Y324">
        <v>424.66</v>
      </c>
      <c r="Z324">
        <v>0</v>
      </c>
      <c r="AA324">
        <v>0</v>
      </c>
      <c r="AB324">
        <v>0</v>
      </c>
      <c r="AC324">
        <v>0</v>
      </c>
      <c r="AD324">
        <v>1</v>
      </c>
      <c r="AE324">
        <v>0</v>
      </c>
      <c r="AF324" t="s">
        <v>164</v>
      </c>
      <c r="AG324">
        <v>1.6E-2</v>
      </c>
      <c r="AH324">
        <v>3</v>
      </c>
      <c r="AI324">
        <v>-1</v>
      </c>
      <c r="AJ324" t="s">
        <v>3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</row>
    <row r="325" spans="1:44" x14ac:dyDescent="0.2">
      <c r="A325">
        <f>ROW(Source!A457)</f>
        <v>457</v>
      </c>
      <c r="B325">
        <v>1474096872</v>
      </c>
      <c r="C325">
        <v>1472040332</v>
      </c>
      <c r="D325">
        <v>1441836235</v>
      </c>
      <c r="E325">
        <v>1</v>
      </c>
      <c r="F325">
        <v>1</v>
      </c>
      <c r="G325">
        <v>15514512</v>
      </c>
      <c r="H325">
        <v>3</v>
      </c>
      <c r="I325" t="s">
        <v>683</v>
      </c>
      <c r="J325" t="s">
        <v>684</v>
      </c>
      <c r="K325" t="s">
        <v>685</v>
      </c>
      <c r="L325">
        <v>1346</v>
      </c>
      <c r="N325">
        <v>1009</v>
      </c>
      <c r="O325" t="s">
        <v>657</v>
      </c>
      <c r="P325" t="s">
        <v>657</v>
      </c>
      <c r="Q325">
        <v>1</v>
      </c>
      <c r="X325">
        <v>0.5</v>
      </c>
      <c r="Y325">
        <v>31.49</v>
      </c>
      <c r="Z325">
        <v>0</v>
      </c>
      <c r="AA325">
        <v>0</v>
      </c>
      <c r="AB325">
        <v>0</v>
      </c>
      <c r="AC325">
        <v>0</v>
      </c>
      <c r="AD325">
        <v>1</v>
      </c>
      <c r="AE325">
        <v>0</v>
      </c>
      <c r="AF325" t="s">
        <v>164</v>
      </c>
      <c r="AG325">
        <v>1</v>
      </c>
      <c r="AH325">
        <v>3</v>
      </c>
      <c r="AI325">
        <v>-1</v>
      </c>
      <c r="AJ325" t="s">
        <v>3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</row>
    <row r="326" spans="1:44" x14ac:dyDescent="0.2">
      <c r="A326">
        <f>ROW(Source!A458)</f>
        <v>458</v>
      </c>
      <c r="B326">
        <v>1474096873</v>
      </c>
      <c r="C326">
        <v>1472040342</v>
      </c>
      <c r="D326">
        <v>1441819193</v>
      </c>
      <c r="E326">
        <v>15514512</v>
      </c>
      <c r="F326">
        <v>1</v>
      </c>
      <c r="G326">
        <v>15514512</v>
      </c>
      <c r="H326">
        <v>1</v>
      </c>
      <c r="I326" t="s">
        <v>648</v>
      </c>
      <c r="J326" t="s">
        <v>3</v>
      </c>
      <c r="K326" t="s">
        <v>649</v>
      </c>
      <c r="L326">
        <v>1191</v>
      </c>
      <c r="N326">
        <v>1013</v>
      </c>
      <c r="O326" t="s">
        <v>650</v>
      </c>
      <c r="P326" t="s">
        <v>650</v>
      </c>
      <c r="Q326">
        <v>1</v>
      </c>
      <c r="X326">
        <v>0.48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1</v>
      </c>
      <c r="AE326">
        <v>1</v>
      </c>
      <c r="AF326" t="s">
        <v>164</v>
      </c>
      <c r="AG326">
        <v>0.96</v>
      </c>
      <c r="AH326">
        <v>3</v>
      </c>
      <c r="AI326">
        <v>-1</v>
      </c>
      <c r="AJ326" t="s">
        <v>3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</row>
    <row r="327" spans="1:44" x14ac:dyDescent="0.2">
      <c r="A327">
        <f>ROW(Source!A458)</f>
        <v>458</v>
      </c>
      <c r="B327">
        <v>1474096874</v>
      </c>
      <c r="C327">
        <v>1472040342</v>
      </c>
      <c r="D327">
        <v>1441836187</v>
      </c>
      <c r="E327">
        <v>1</v>
      </c>
      <c r="F327">
        <v>1</v>
      </c>
      <c r="G327">
        <v>15514512</v>
      </c>
      <c r="H327">
        <v>3</v>
      </c>
      <c r="I327" t="s">
        <v>692</v>
      </c>
      <c r="J327" t="s">
        <v>693</v>
      </c>
      <c r="K327" t="s">
        <v>694</v>
      </c>
      <c r="L327">
        <v>1346</v>
      </c>
      <c r="N327">
        <v>1009</v>
      </c>
      <c r="O327" t="s">
        <v>657</v>
      </c>
      <c r="P327" t="s">
        <v>657</v>
      </c>
      <c r="Q327">
        <v>1</v>
      </c>
      <c r="X327">
        <v>8.0000000000000002E-3</v>
      </c>
      <c r="Y327">
        <v>424.66</v>
      </c>
      <c r="Z327">
        <v>0</v>
      </c>
      <c r="AA327">
        <v>0</v>
      </c>
      <c r="AB327">
        <v>0</v>
      </c>
      <c r="AC327">
        <v>0</v>
      </c>
      <c r="AD327">
        <v>1</v>
      </c>
      <c r="AE327">
        <v>0</v>
      </c>
      <c r="AF327" t="s">
        <v>164</v>
      </c>
      <c r="AG327">
        <v>1.6E-2</v>
      </c>
      <c r="AH327">
        <v>3</v>
      </c>
      <c r="AI327">
        <v>-1</v>
      </c>
      <c r="AJ327" t="s">
        <v>3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</row>
    <row r="328" spans="1:44" x14ac:dyDescent="0.2">
      <c r="A328">
        <f>ROW(Source!A458)</f>
        <v>458</v>
      </c>
      <c r="B328">
        <v>1474096875</v>
      </c>
      <c r="C328">
        <v>1472040342</v>
      </c>
      <c r="D328">
        <v>1441836235</v>
      </c>
      <c r="E328">
        <v>1</v>
      </c>
      <c r="F328">
        <v>1</v>
      </c>
      <c r="G328">
        <v>15514512</v>
      </c>
      <c r="H328">
        <v>3</v>
      </c>
      <c r="I328" t="s">
        <v>683</v>
      </c>
      <c r="J328" t="s">
        <v>684</v>
      </c>
      <c r="K328" t="s">
        <v>685</v>
      </c>
      <c r="L328">
        <v>1346</v>
      </c>
      <c r="N328">
        <v>1009</v>
      </c>
      <c r="O328" t="s">
        <v>657</v>
      </c>
      <c r="P328" t="s">
        <v>657</v>
      </c>
      <c r="Q328">
        <v>1</v>
      </c>
      <c r="X328">
        <v>0.5</v>
      </c>
      <c r="Y328">
        <v>31.49</v>
      </c>
      <c r="Z328">
        <v>0</v>
      </c>
      <c r="AA328">
        <v>0</v>
      </c>
      <c r="AB328">
        <v>0</v>
      </c>
      <c r="AC328">
        <v>0</v>
      </c>
      <c r="AD328">
        <v>1</v>
      </c>
      <c r="AE328">
        <v>0</v>
      </c>
      <c r="AF328" t="s">
        <v>164</v>
      </c>
      <c r="AG328">
        <v>1</v>
      </c>
      <c r="AH328">
        <v>3</v>
      </c>
      <c r="AI328">
        <v>-1</v>
      </c>
      <c r="AJ328" t="s">
        <v>3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</row>
    <row r="329" spans="1:44" x14ac:dyDescent="0.2">
      <c r="A329">
        <f>ROW(Source!A459)</f>
        <v>459</v>
      </c>
      <c r="B329">
        <v>1474096876</v>
      </c>
      <c r="C329">
        <v>1472040352</v>
      </c>
      <c r="D329">
        <v>1441819193</v>
      </c>
      <c r="E329">
        <v>15514512</v>
      </c>
      <c r="F329">
        <v>1</v>
      </c>
      <c r="G329">
        <v>15514512</v>
      </c>
      <c r="H329">
        <v>1</v>
      </c>
      <c r="I329" t="s">
        <v>648</v>
      </c>
      <c r="J329" t="s">
        <v>3</v>
      </c>
      <c r="K329" t="s">
        <v>649</v>
      </c>
      <c r="L329">
        <v>1191</v>
      </c>
      <c r="N329">
        <v>1013</v>
      </c>
      <c r="O329" t="s">
        <v>650</v>
      </c>
      <c r="P329" t="s">
        <v>650</v>
      </c>
      <c r="Q329">
        <v>1</v>
      </c>
      <c r="X329">
        <v>1.0900000000000001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1</v>
      </c>
      <c r="AE329">
        <v>1</v>
      </c>
      <c r="AF329" t="s">
        <v>3</v>
      </c>
      <c r="AG329">
        <v>1.0900000000000001</v>
      </c>
      <c r="AH329">
        <v>3</v>
      </c>
      <c r="AI329">
        <v>-1</v>
      </c>
      <c r="AJ329" t="s">
        <v>3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</row>
    <row r="330" spans="1:44" x14ac:dyDescent="0.2">
      <c r="A330">
        <f>ROW(Source!A460)</f>
        <v>460</v>
      </c>
      <c r="B330">
        <v>1474096877</v>
      </c>
      <c r="C330">
        <v>1472040356</v>
      </c>
      <c r="D330">
        <v>1441819193</v>
      </c>
      <c r="E330">
        <v>15514512</v>
      </c>
      <c r="F330">
        <v>1</v>
      </c>
      <c r="G330">
        <v>15514512</v>
      </c>
      <c r="H330">
        <v>1</v>
      </c>
      <c r="I330" t="s">
        <v>648</v>
      </c>
      <c r="J330" t="s">
        <v>3</v>
      </c>
      <c r="K330" t="s">
        <v>649</v>
      </c>
      <c r="L330">
        <v>1191</v>
      </c>
      <c r="N330">
        <v>1013</v>
      </c>
      <c r="O330" t="s">
        <v>650</v>
      </c>
      <c r="P330" t="s">
        <v>650</v>
      </c>
      <c r="Q330">
        <v>1</v>
      </c>
      <c r="X330">
        <v>0.4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1</v>
      </c>
      <c r="AE330">
        <v>1</v>
      </c>
      <c r="AF330" t="s">
        <v>164</v>
      </c>
      <c r="AG330">
        <v>0.8</v>
      </c>
      <c r="AH330">
        <v>3</v>
      </c>
      <c r="AI330">
        <v>-1</v>
      </c>
      <c r="AJ330" t="s">
        <v>3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</row>
    <row r="331" spans="1:44" x14ac:dyDescent="0.2">
      <c r="A331">
        <f>ROW(Source!A461)</f>
        <v>461</v>
      </c>
      <c r="B331">
        <v>1474096878</v>
      </c>
      <c r="C331">
        <v>1472040360</v>
      </c>
      <c r="D331">
        <v>1441819193</v>
      </c>
      <c r="E331">
        <v>15514512</v>
      </c>
      <c r="F331">
        <v>1</v>
      </c>
      <c r="G331">
        <v>15514512</v>
      </c>
      <c r="H331">
        <v>1</v>
      </c>
      <c r="I331" t="s">
        <v>648</v>
      </c>
      <c r="J331" t="s">
        <v>3</v>
      </c>
      <c r="K331" t="s">
        <v>649</v>
      </c>
      <c r="L331">
        <v>1191</v>
      </c>
      <c r="N331">
        <v>1013</v>
      </c>
      <c r="O331" t="s">
        <v>650</v>
      </c>
      <c r="P331" t="s">
        <v>650</v>
      </c>
      <c r="Q331">
        <v>1</v>
      </c>
      <c r="X331">
        <v>13.13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1</v>
      </c>
      <c r="AE331">
        <v>1</v>
      </c>
      <c r="AF331" t="s">
        <v>3</v>
      </c>
      <c r="AG331">
        <v>13.13</v>
      </c>
      <c r="AH331">
        <v>3</v>
      </c>
      <c r="AI331">
        <v>-1</v>
      </c>
      <c r="AJ331" t="s">
        <v>3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</row>
    <row r="332" spans="1:44" x14ac:dyDescent="0.2">
      <c r="A332">
        <f>ROW(Source!A461)</f>
        <v>461</v>
      </c>
      <c r="B332">
        <v>1474096879</v>
      </c>
      <c r="C332">
        <v>1472040360</v>
      </c>
      <c r="D332">
        <v>1441834138</v>
      </c>
      <c r="E332">
        <v>1</v>
      </c>
      <c r="F332">
        <v>1</v>
      </c>
      <c r="G332">
        <v>15514512</v>
      </c>
      <c r="H332">
        <v>2</v>
      </c>
      <c r="I332" t="s">
        <v>769</v>
      </c>
      <c r="J332" t="s">
        <v>770</v>
      </c>
      <c r="K332" t="s">
        <v>771</v>
      </c>
      <c r="L332">
        <v>1368</v>
      </c>
      <c r="N332">
        <v>1011</v>
      </c>
      <c r="O332" t="s">
        <v>603</v>
      </c>
      <c r="P332" t="s">
        <v>603</v>
      </c>
      <c r="Q332">
        <v>1</v>
      </c>
      <c r="X332">
        <v>1.7</v>
      </c>
      <c r="Y332">
        <v>0</v>
      </c>
      <c r="Z332">
        <v>45.56</v>
      </c>
      <c r="AA332">
        <v>0.57999999999999996</v>
      </c>
      <c r="AB332">
        <v>0</v>
      </c>
      <c r="AC332">
        <v>0</v>
      </c>
      <c r="AD332">
        <v>1</v>
      </c>
      <c r="AE332">
        <v>0</v>
      </c>
      <c r="AF332" t="s">
        <v>3</v>
      </c>
      <c r="AG332">
        <v>1.7</v>
      </c>
      <c r="AH332">
        <v>3</v>
      </c>
      <c r="AI332">
        <v>-1</v>
      </c>
      <c r="AJ332" t="s">
        <v>3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</row>
    <row r="333" spans="1:44" x14ac:dyDescent="0.2">
      <c r="A333">
        <f>ROW(Source!A461)</f>
        <v>461</v>
      </c>
      <c r="B333">
        <v>1474096880</v>
      </c>
      <c r="C333">
        <v>1472040360</v>
      </c>
      <c r="D333">
        <v>1441834143</v>
      </c>
      <c r="E333">
        <v>1</v>
      </c>
      <c r="F333">
        <v>1</v>
      </c>
      <c r="G333">
        <v>15514512</v>
      </c>
      <c r="H333">
        <v>2</v>
      </c>
      <c r="I333" t="s">
        <v>772</v>
      </c>
      <c r="J333" t="s">
        <v>773</v>
      </c>
      <c r="K333" t="s">
        <v>774</v>
      </c>
      <c r="L333">
        <v>1368</v>
      </c>
      <c r="N333">
        <v>1011</v>
      </c>
      <c r="O333" t="s">
        <v>603</v>
      </c>
      <c r="P333" t="s">
        <v>603</v>
      </c>
      <c r="Q333">
        <v>1</v>
      </c>
      <c r="X333">
        <v>1.7</v>
      </c>
      <c r="Y333">
        <v>0</v>
      </c>
      <c r="Z333">
        <v>61.25</v>
      </c>
      <c r="AA333">
        <v>3.11</v>
      </c>
      <c r="AB333">
        <v>0</v>
      </c>
      <c r="AC333">
        <v>0</v>
      </c>
      <c r="AD333">
        <v>1</v>
      </c>
      <c r="AE333">
        <v>0</v>
      </c>
      <c r="AF333" t="s">
        <v>3</v>
      </c>
      <c r="AG333">
        <v>1.7</v>
      </c>
      <c r="AH333">
        <v>3</v>
      </c>
      <c r="AI333">
        <v>-1</v>
      </c>
      <c r="AJ333" t="s">
        <v>3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</row>
    <row r="334" spans="1:44" x14ac:dyDescent="0.2">
      <c r="A334">
        <f>ROW(Source!A461)</f>
        <v>461</v>
      </c>
      <c r="B334">
        <v>1474096881</v>
      </c>
      <c r="C334">
        <v>1472040360</v>
      </c>
      <c r="D334">
        <v>1441834258</v>
      </c>
      <c r="E334">
        <v>1</v>
      </c>
      <c r="F334">
        <v>1</v>
      </c>
      <c r="G334">
        <v>15514512</v>
      </c>
      <c r="H334">
        <v>2</v>
      </c>
      <c r="I334" t="s">
        <v>651</v>
      </c>
      <c r="J334" t="s">
        <v>652</v>
      </c>
      <c r="K334" t="s">
        <v>653</v>
      </c>
      <c r="L334">
        <v>1368</v>
      </c>
      <c r="N334">
        <v>1011</v>
      </c>
      <c r="O334" t="s">
        <v>603</v>
      </c>
      <c r="P334" t="s">
        <v>603</v>
      </c>
      <c r="Q334">
        <v>1</v>
      </c>
      <c r="X334">
        <v>3.31</v>
      </c>
      <c r="Y334">
        <v>0</v>
      </c>
      <c r="Z334">
        <v>1303.01</v>
      </c>
      <c r="AA334">
        <v>826.2</v>
      </c>
      <c r="AB334">
        <v>0</v>
      </c>
      <c r="AC334">
        <v>0</v>
      </c>
      <c r="AD334">
        <v>1</v>
      </c>
      <c r="AE334">
        <v>0</v>
      </c>
      <c r="AF334" t="s">
        <v>3</v>
      </c>
      <c r="AG334">
        <v>3.31</v>
      </c>
      <c r="AH334">
        <v>3</v>
      </c>
      <c r="AI334">
        <v>-1</v>
      </c>
      <c r="AJ334" t="s">
        <v>3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</row>
    <row r="335" spans="1:44" x14ac:dyDescent="0.2">
      <c r="A335">
        <f>ROW(Source!A461)</f>
        <v>461</v>
      </c>
      <c r="B335">
        <v>1474096882</v>
      </c>
      <c r="C335">
        <v>1472040360</v>
      </c>
      <c r="D335">
        <v>1441834334</v>
      </c>
      <c r="E335">
        <v>1</v>
      </c>
      <c r="F335">
        <v>1</v>
      </c>
      <c r="G335">
        <v>15514512</v>
      </c>
      <c r="H335">
        <v>2</v>
      </c>
      <c r="I335" t="s">
        <v>661</v>
      </c>
      <c r="J335" t="s">
        <v>662</v>
      </c>
      <c r="K335" t="s">
        <v>663</v>
      </c>
      <c r="L335">
        <v>1368</v>
      </c>
      <c r="N335">
        <v>1011</v>
      </c>
      <c r="O335" t="s">
        <v>603</v>
      </c>
      <c r="P335" t="s">
        <v>603</v>
      </c>
      <c r="Q335">
        <v>1</v>
      </c>
      <c r="X335">
        <v>0.4</v>
      </c>
      <c r="Y335">
        <v>0</v>
      </c>
      <c r="Z335">
        <v>10.66</v>
      </c>
      <c r="AA335">
        <v>0.12</v>
      </c>
      <c r="AB335">
        <v>0</v>
      </c>
      <c r="AC335">
        <v>0</v>
      </c>
      <c r="AD335">
        <v>1</v>
      </c>
      <c r="AE335">
        <v>0</v>
      </c>
      <c r="AF335" t="s">
        <v>3</v>
      </c>
      <c r="AG335">
        <v>0.4</v>
      </c>
      <c r="AH335">
        <v>3</v>
      </c>
      <c r="AI335">
        <v>-1</v>
      </c>
      <c r="AJ335" t="s">
        <v>3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</row>
    <row r="336" spans="1:44" x14ac:dyDescent="0.2">
      <c r="A336">
        <f>ROW(Source!A461)</f>
        <v>461</v>
      </c>
      <c r="B336">
        <v>1474096883</v>
      </c>
      <c r="C336">
        <v>1472040360</v>
      </c>
      <c r="D336">
        <v>1441836235</v>
      </c>
      <c r="E336">
        <v>1</v>
      </c>
      <c r="F336">
        <v>1</v>
      </c>
      <c r="G336">
        <v>15514512</v>
      </c>
      <c r="H336">
        <v>3</v>
      </c>
      <c r="I336" t="s">
        <v>683</v>
      </c>
      <c r="J336" t="s">
        <v>684</v>
      </c>
      <c r="K336" t="s">
        <v>685</v>
      </c>
      <c r="L336">
        <v>1346</v>
      </c>
      <c r="N336">
        <v>1009</v>
      </c>
      <c r="O336" t="s">
        <v>657</v>
      </c>
      <c r="P336" t="s">
        <v>657</v>
      </c>
      <c r="Q336">
        <v>1</v>
      </c>
      <c r="X336">
        <v>0.15</v>
      </c>
      <c r="Y336">
        <v>31.49</v>
      </c>
      <c r="Z336">
        <v>0</v>
      </c>
      <c r="AA336">
        <v>0</v>
      </c>
      <c r="AB336">
        <v>0</v>
      </c>
      <c r="AC336">
        <v>0</v>
      </c>
      <c r="AD336">
        <v>1</v>
      </c>
      <c r="AE336">
        <v>0</v>
      </c>
      <c r="AF336" t="s">
        <v>3</v>
      </c>
      <c r="AG336">
        <v>0.15</v>
      </c>
      <c r="AH336">
        <v>3</v>
      </c>
      <c r="AI336">
        <v>-1</v>
      </c>
      <c r="AJ336" t="s">
        <v>3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</row>
    <row r="337" spans="1:44" x14ac:dyDescent="0.2">
      <c r="A337">
        <f>ROW(Source!A462)</f>
        <v>462</v>
      </c>
      <c r="B337">
        <v>1474096884</v>
      </c>
      <c r="C337">
        <v>1472040379</v>
      </c>
      <c r="D337">
        <v>1441819193</v>
      </c>
      <c r="E337">
        <v>15514512</v>
      </c>
      <c r="F337">
        <v>1</v>
      </c>
      <c r="G337">
        <v>15514512</v>
      </c>
      <c r="H337">
        <v>1</v>
      </c>
      <c r="I337" t="s">
        <v>648</v>
      </c>
      <c r="J337" t="s">
        <v>3</v>
      </c>
      <c r="K337" t="s">
        <v>649</v>
      </c>
      <c r="L337">
        <v>1191</v>
      </c>
      <c r="N337">
        <v>1013</v>
      </c>
      <c r="O337" t="s">
        <v>650</v>
      </c>
      <c r="P337" t="s">
        <v>650</v>
      </c>
      <c r="Q337">
        <v>1</v>
      </c>
      <c r="X337">
        <v>2.1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1</v>
      </c>
      <c r="AE337">
        <v>1</v>
      </c>
      <c r="AF337" t="s">
        <v>3</v>
      </c>
      <c r="AG337">
        <v>2.1</v>
      </c>
      <c r="AH337">
        <v>3</v>
      </c>
      <c r="AI337">
        <v>-1</v>
      </c>
      <c r="AJ337" t="s">
        <v>3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</row>
    <row r="338" spans="1:44" x14ac:dyDescent="0.2">
      <c r="A338">
        <f>ROW(Source!A462)</f>
        <v>462</v>
      </c>
      <c r="B338">
        <v>1474096885</v>
      </c>
      <c r="C338">
        <v>1472040379</v>
      </c>
      <c r="D338">
        <v>1441834139</v>
      </c>
      <c r="E338">
        <v>1</v>
      </c>
      <c r="F338">
        <v>1</v>
      </c>
      <c r="G338">
        <v>15514512</v>
      </c>
      <c r="H338">
        <v>2</v>
      </c>
      <c r="I338" t="s">
        <v>775</v>
      </c>
      <c r="J338" t="s">
        <v>776</v>
      </c>
      <c r="K338" t="s">
        <v>777</v>
      </c>
      <c r="L338">
        <v>1368</v>
      </c>
      <c r="N338">
        <v>1011</v>
      </c>
      <c r="O338" t="s">
        <v>603</v>
      </c>
      <c r="P338" t="s">
        <v>603</v>
      </c>
      <c r="Q338">
        <v>1</v>
      </c>
      <c r="X338">
        <v>0.3</v>
      </c>
      <c r="Y338">
        <v>0</v>
      </c>
      <c r="Z338">
        <v>8.82</v>
      </c>
      <c r="AA338">
        <v>0.11</v>
      </c>
      <c r="AB338">
        <v>0</v>
      </c>
      <c r="AC338">
        <v>0</v>
      </c>
      <c r="AD338">
        <v>1</v>
      </c>
      <c r="AE338">
        <v>0</v>
      </c>
      <c r="AF338" t="s">
        <v>3</v>
      </c>
      <c r="AG338">
        <v>0.3</v>
      </c>
      <c r="AH338">
        <v>3</v>
      </c>
      <c r="AI338">
        <v>-1</v>
      </c>
      <c r="AJ338" t="s">
        <v>3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</row>
    <row r="339" spans="1:44" x14ac:dyDescent="0.2">
      <c r="A339">
        <f>ROW(Source!A462)</f>
        <v>462</v>
      </c>
      <c r="B339">
        <v>1474096886</v>
      </c>
      <c r="C339">
        <v>1472040379</v>
      </c>
      <c r="D339">
        <v>1441834258</v>
      </c>
      <c r="E339">
        <v>1</v>
      </c>
      <c r="F339">
        <v>1</v>
      </c>
      <c r="G339">
        <v>15514512</v>
      </c>
      <c r="H339">
        <v>2</v>
      </c>
      <c r="I339" t="s">
        <v>651</v>
      </c>
      <c r="J339" t="s">
        <v>652</v>
      </c>
      <c r="K339" t="s">
        <v>653</v>
      </c>
      <c r="L339">
        <v>1368</v>
      </c>
      <c r="N339">
        <v>1011</v>
      </c>
      <c r="O339" t="s">
        <v>603</v>
      </c>
      <c r="P339" t="s">
        <v>603</v>
      </c>
      <c r="Q339">
        <v>1</v>
      </c>
      <c r="X339">
        <v>0.52</v>
      </c>
      <c r="Y339">
        <v>0</v>
      </c>
      <c r="Z339">
        <v>1303.01</v>
      </c>
      <c r="AA339">
        <v>826.2</v>
      </c>
      <c r="AB339">
        <v>0</v>
      </c>
      <c r="AC339">
        <v>0</v>
      </c>
      <c r="AD339">
        <v>1</v>
      </c>
      <c r="AE339">
        <v>0</v>
      </c>
      <c r="AF339" t="s">
        <v>3</v>
      </c>
      <c r="AG339">
        <v>0.52</v>
      </c>
      <c r="AH339">
        <v>3</v>
      </c>
      <c r="AI339">
        <v>-1</v>
      </c>
      <c r="AJ339" t="s">
        <v>3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</row>
    <row r="340" spans="1:44" x14ac:dyDescent="0.2">
      <c r="A340">
        <f>ROW(Source!A462)</f>
        <v>462</v>
      </c>
      <c r="B340">
        <v>1474096887</v>
      </c>
      <c r="C340">
        <v>1472040379</v>
      </c>
      <c r="D340">
        <v>1441836393</v>
      </c>
      <c r="E340">
        <v>1</v>
      </c>
      <c r="F340">
        <v>1</v>
      </c>
      <c r="G340">
        <v>15514512</v>
      </c>
      <c r="H340">
        <v>3</v>
      </c>
      <c r="I340" t="s">
        <v>778</v>
      </c>
      <c r="J340" t="s">
        <v>779</v>
      </c>
      <c r="K340" t="s">
        <v>780</v>
      </c>
      <c r="L340">
        <v>1296</v>
      </c>
      <c r="N340">
        <v>1002</v>
      </c>
      <c r="O340" t="s">
        <v>667</v>
      </c>
      <c r="P340" t="s">
        <v>667</v>
      </c>
      <c r="Q340">
        <v>1</v>
      </c>
      <c r="X340">
        <v>3.8E-3</v>
      </c>
      <c r="Y340">
        <v>4241.6400000000003</v>
      </c>
      <c r="Z340">
        <v>0</v>
      </c>
      <c r="AA340">
        <v>0</v>
      </c>
      <c r="AB340">
        <v>0</v>
      </c>
      <c r="AC340">
        <v>0</v>
      </c>
      <c r="AD340">
        <v>1</v>
      </c>
      <c r="AE340">
        <v>0</v>
      </c>
      <c r="AF340" t="s">
        <v>3</v>
      </c>
      <c r="AG340">
        <v>3.8E-3</v>
      </c>
      <c r="AH340">
        <v>3</v>
      </c>
      <c r="AI340">
        <v>-1</v>
      </c>
      <c r="AJ340" t="s">
        <v>3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</row>
    <row r="341" spans="1:44" x14ac:dyDescent="0.2">
      <c r="A341">
        <f>ROW(Source!A462)</f>
        <v>462</v>
      </c>
      <c r="B341">
        <v>1474096888</v>
      </c>
      <c r="C341">
        <v>1472040379</v>
      </c>
      <c r="D341">
        <v>1441836514</v>
      </c>
      <c r="E341">
        <v>1</v>
      </c>
      <c r="F341">
        <v>1</v>
      </c>
      <c r="G341">
        <v>15514512</v>
      </c>
      <c r="H341">
        <v>3</v>
      </c>
      <c r="I341" t="s">
        <v>676</v>
      </c>
      <c r="J341" t="s">
        <v>677</v>
      </c>
      <c r="K341" t="s">
        <v>678</v>
      </c>
      <c r="L341">
        <v>1339</v>
      </c>
      <c r="N341">
        <v>1007</v>
      </c>
      <c r="O341" t="s">
        <v>679</v>
      </c>
      <c r="P341" t="s">
        <v>679</v>
      </c>
      <c r="Q341">
        <v>1</v>
      </c>
      <c r="X341">
        <v>3.8E-3</v>
      </c>
      <c r="Y341">
        <v>54.81</v>
      </c>
      <c r="Z341">
        <v>0</v>
      </c>
      <c r="AA341">
        <v>0</v>
      </c>
      <c r="AB341">
        <v>0</v>
      </c>
      <c r="AC341">
        <v>0</v>
      </c>
      <c r="AD341">
        <v>1</v>
      </c>
      <c r="AE341">
        <v>0</v>
      </c>
      <c r="AF341" t="s">
        <v>3</v>
      </c>
      <c r="AG341">
        <v>3.8E-3</v>
      </c>
      <c r="AH341">
        <v>3</v>
      </c>
      <c r="AI341">
        <v>-1</v>
      </c>
      <c r="AJ341" t="s">
        <v>3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</row>
    <row r="342" spans="1:44" x14ac:dyDescent="0.2">
      <c r="A342">
        <f>ROW(Source!A464)</f>
        <v>464</v>
      </c>
      <c r="B342">
        <v>1474096889</v>
      </c>
      <c r="C342">
        <v>1472040396</v>
      </c>
      <c r="D342">
        <v>1441819193</v>
      </c>
      <c r="E342">
        <v>15514512</v>
      </c>
      <c r="F342">
        <v>1</v>
      </c>
      <c r="G342">
        <v>15514512</v>
      </c>
      <c r="H342">
        <v>1</v>
      </c>
      <c r="I342" t="s">
        <v>648</v>
      </c>
      <c r="J342" t="s">
        <v>3</v>
      </c>
      <c r="K342" t="s">
        <v>649</v>
      </c>
      <c r="L342">
        <v>1191</v>
      </c>
      <c r="N342">
        <v>1013</v>
      </c>
      <c r="O342" t="s">
        <v>650</v>
      </c>
      <c r="P342" t="s">
        <v>650</v>
      </c>
      <c r="Q342">
        <v>1</v>
      </c>
      <c r="X342">
        <v>84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1</v>
      </c>
      <c r="AE342">
        <v>1</v>
      </c>
      <c r="AF342" t="s">
        <v>324</v>
      </c>
      <c r="AG342">
        <v>56</v>
      </c>
      <c r="AH342">
        <v>3</v>
      </c>
      <c r="AI342">
        <v>-1</v>
      </c>
      <c r="AJ342" t="s">
        <v>3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</row>
    <row r="343" spans="1:44" x14ac:dyDescent="0.2">
      <c r="A343">
        <f>ROW(Source!A464)</f>
        <v>464</v>
      </c>
      <c r="B343">
        <v>1474096890</v>
      </c>
      <c r="C343">
        <v>1472040396</v>
      </c>
      <c r="D343">
        <v>1441835475</v>
      </c>
      <c r="E343">
        <v>1</v>
      </c>
      <c r="F343">
        <v>1</v>
      </c>
      <c r="G343">
        <v>15514512</v>
      </c>
      <c r="H343">
        <v>3</v>
      </c>
      <c r="I343" t="s">
        <v>723</v>
      </c>
      <c r="J343" t="s">
        <v>724</v>
      </c>
      <c r="K343" t="s">
        <v>725</v>
      </c>
      <c r="L343">
        <v>1348</v>
      </c>
      <c r="N343">
        <v>1009</v>
      </c>
      <c r="O343" t="s">
        <v>675</v>
      </c>
      <c r="P343" t="s">
        <v>675</v>
      </c>
      <c r="Q343">
        <v>1000</v>
      </c>
      <c r="X343">
        <v>8.0000000000000004E-4</v>
      </c>
      <c r="Y343">
        <v>155908.07999999999</v>
      </c>
      <c r="Z343">
        <v>0</v>
      </c>
      <c r="AA343">
        <v>0</v>
      </c>
      <c r="AB343">
        <v>0</v>
      </c>
      <c r="AC343">
        <v>0</v>
      </c>
      <c r="AD343">
        <v>1</v>
      </c>
      <c r="AE343">
        <v>0</v>
      </c>
      <c r="AF343" t="s">
        <v>324</v>
      </c>
      <c r="AG343">
        <v>5.3333333333333336E-4</v>
      </c>
      <c r="AH343">
        <v>3</v>
      </c>
      <c r="AI343">
        <v>-1</v>
      </c>
      <c r="AJ343" t="s">
        <v>3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</row>
    <row r="344" spans="1:44" x14ac:dyDescent="0.2">
      <c r="A344">
        <f>ROW(Source!A464)</f>
        <v>464</v>
      </c>
      <c r="B344">
        <v>1474096891</v>
      </c>
      <c r="C344">
        <v>1472040396</v>
      </c>
      <c r="D344">
        <v>1441835549</v>
      </c>
      <c r="E344">
        <v>1</v>
      </c>
      <c r="F344">
        <v>1</v>
      </c>
      <c r="G344">
        <v>15514512</v>
      </c>
      <c r="H344">
        <v>3</v>
      </c>
      <c r="I344" t="s">
        <v>726</v>
      </c>
      <c r="J344" t="s">
        <v>727</v>
      </c>
      <c r="K344" t="s">
        <v>728</v>
      </c>
      <c r="L344">
        <v>1348</v>
      </c>
      <c r="N344">
        <v>1009</v>
      </c>
      <c r="O344" t="s">
        <v>675</v>
      </c>
      <c r="P344" t="s">
        <v>675</v>
      </c>
      <c r="Q344">
        <v>1000</v>
      </c>
      <c r="X344">
        <v>1E-4</v>
      </c>
      <c r="Y344">
        <v>194655.19</v>
      </c>
      <c r="Z344">
        <v>0</v>
      </c>
      <c r="AA344">
        <v>0</v>
      </c>
      <c r="AB344">
        <v>0</v>
      </c>
      <c r="AC344">
        <v>0</v>
      </c>
      <c r="AD344">
        <v>1</v>
      </c>
      <c r="AE344">
        <v>0</v>
      </c>
      <c r="AF344" t="s">
        <v>324</v>
      </c>
      <c r="AG344">
        <v>6.666666666666667E-5</v>
      </c>
      <c r="AH344">
        <v>3</v>
      </c>
      <c r="AI344">
        <v>-1</v>
      </c>
      <c r="AJ344" t="s">
        <v>3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</row>
    <row r="345" spans="1:44" x14ac:dyDescent="0.2">
      <c r="A345">
        <f>ROW(Source!A464)</f>
        <v>464</v>
      </c>
      <c r="B345">
        <v>1474096892</v>
      </c>
      <c r="C345">
        <v>1472040396</v>
      </c>
      <c r="D345">
        <v>1441836325</v>
      </c>
      <c r="E345">
        <v>1</v>
      </c>
      <c r="F345">
        <v>1</v>
      </c>
      <c r="G345">
        <v>15514512</v>
      </c>
      <c r="H345">
        <v>3</v>
      </c>
      <c r="I345" t="s">
        <v>729</v>
      </c>
      <c r="J345" t="s">
        <v>730</v>
      </c>
      <c r="K345" t="s">
        <v>731</v>
      </c>
      <c r="L345">
        <v>1348</v>
      </c>
      <c r="N345">
        <v>1009</v>
      </c>
      <c r="O345" t="s">
        <v>675</v>
      </c>
      <c r="P345" t="s">
        <v>675</v>
      </c>
      <c r="Q345">
        <v>1000</v>
      </c>
      <c r="X345">
        <v>8.0000000000000004E-4</v>
      </c>
      <c r="Y345">
        <v>108798.39999999999</v>
      </c>
      <c r="Z345">
        <v>0</v>
      </c>
      <c r="AA345">
        <v>0</v>
      </c>
      <c r="AB345">
        <v>0</v>
      </c>
      <c r="AC345">
        <v>0</v>
      </c>
      <c r="AD345">
        <v>1</v>
      </c>
      <c r="AE345">
        <v>0</v>
      </c>
      <c r="AF345" t="s">
        <v>324</v>
      </c>
      <c r="AG345">
        <v>5.3333333333333336E-4</v>
      </c>
      <c r="AH345">
        <v>3</v>
      </c>
      <c r="AI345">
        <v>-1</v>
      </c>
      <c r="AJ345" t="s">
        <v>3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</row>
    <row r="346" spans="1:44" x14ac:dyDescent="0.2">
      <c r="A346">
        <f>ROW(Source!A464)</f>
        <v>464</v>
      </c>
      <c r="B346">
        <v>1474096893</v>
      </c>
      <c r="C346">
        <v>1472040396</v>
      </c>
      <c r="D346">
        <v>1441838531</v>
      </c>
      <c r="E346">
        <v>1</v>
      </c>
      <c r="F346">
        <v>1</v>
      </c>
      <c r="G346">
        <v>15514512</v>
      </c>
      <c r="H346">
        <v>3</v>
      </c>
      <c r="I346" t="s">
        <v>732</v>
      </c>
      <c r="J346" t="s">
        <v>733</v>
      </c>
      <c r="K346" t="s">
        <v>734</v>
      </c>
      <c r="L346">
        <v>1348</v>
      </c>
      <c r="N346">
        <v>1009</v>
      </c>
      <c r="O346" t="s">
        <v>675</v>
      </c>
      <c r="P346" t="s">
        <v>675</v>
      </c>
      <c r="Q346">
        <v>1000</v>
      </c>
      <c r="X346">
        <v>6.9999999999999999E-4</v>
      </c>
      <c r="Y346">
        <v>370783.55</v>
      </c>
      <c r="Z346">
        <v>0</v>
      </c>
      <c r="AA346">
        <v>0</v>
      </c>
      <c r="AB346">
        <v>0</v>
      </c>
      <c r="AC346">
        <v>0</v>
      </c>
      <c r="AD346">
        <v>1</v>
      </c>
      <c r="AE346">
        <v>0</v>
      </c>
      <c r="AF346" t="s">
        <v>324</v>
      </c>
      <c r="AG346">
        <v>4.6666666666666666E-4</v>
      </c>
      <c r="AH346">
        <v>3</v>
      </c>
      <c r="AI346">
        <v>-1</v>
      </c>
      <c r="AJ346" t="s">
        <v>3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</row>
    <row r="347" spans="1:44" x14ac:dyDescent="0.2">
      <c r="A347">
        <f>ROW(Source!A464)</f>
        <v>464</v>
      </c>
      <c r="B347">
        <v>1474096894</v>
      </c>
      <c r="C347">
        <v>1472040396</v>
      </c>
      <c r="D347">
        <v>1441838759</v>
      </c>
      <c r="E347">
        <v>1</v>
      </c>
      <c r="F347">
        <v>1</v>
      </c>
      <c r="G347">
        <v>15514512</v>
      </c>
      <c r="H347">
        <v>3</v>
      </c>
      <c r="I347" t="s">
        <v>735</v>
      </c>
      <c r="J347" t="s">
        <v>736</v>
      </c>
      <c r="K347" t="s">
        <v>737</v>
      </c>
      <c r="L347">
        <v>1348</v>
      </c>
      <c r="N347">
        <v>1009</v>
      </c>
      <c r="O347" t="s">
        <v>675</v>
      </c>
      <c r="P347" t="s">
        <v>675</v>
      </c>
      <c r="Q347">
        <v>1000</v>
      </c>
      <c r="X347">
        <v>6.9999999999999999E-4</v>
      </c>
      <c r="Y347">
        <v>1590701.16</v>
      </c>
      <c r="Z347">
        <v>0</v>
      </c>
      <c r="AA347">
        <v>0</v>
      </c>
      <c r="AB347">
        <v>0</v>
      </c>
      <c r="AC347">
        <v>0</v>
      </c>
      <c r="AD347">
        <v>1</v>
      </c>
      <c r="AE347">
        <v>0</v>
      </c>
      <c r="AF347" t="s">
        <v>324</v>
      </c>
      <c r="AG347">
        <v>4.6666666666666666E-4</v>
      </c>
      <c r="AH347">
        <v>3</v>
      </c>
      <c r="AI347">
        <v>-1</v>
      </c>
      <c r="AJ347" t="s">
        <v>3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</row>
    <row r="348" spans="1:44" x14ac:dyDescent="0.2">
      <c r="A348">
        <f>ROW(Source!A464)</f>
        <v>464</v>
      </c>
      <c r="B348">
        <v>1474096895</v>
      </c>
      <c r="C348">
        <v>1472040396</v>
      </c>
      <c r="D348">
        <v>1441834635</v>
      </c>
      <c r="E348">
        <v>1</v>
      </c>
      <c r="F348">
        <v>1</v>
      </c>
      <c r="G348">
        <v>15514512</v>
      </c>
      <c r="H348">
        <v>3</v>
      </c>
      <c r="I348" t="s">
        <v>738</v>
      </c>
      <c r="J348" t="s">
        <v>739</v>
      </c>
      <c r="K348" t="s">
        <v>740</v>
      </c>
      <c r="L348">
        <v>1339</v>
      </c>
      <c r="N348">
        <v>1007</v>
      </c>
      <c r="O348" t="s">
        <v>679</v>
      </c>
      <c r="P348" t="s">
        <v>679</v>
      </c>
      <c r="Q348">
        <v>1</v>
      </c>
      <c r="X348">
        <v>1.8</v>
      </c>
      <c r="Y348">
        <v>103.4</v>
      </c>
      <c r="Z348">
        <v>0</v>
      </c>
      <c r="AA348">
        <v>0</v>
      </c>
      <c r="AB348">
        <v>0</v>
      </c>
      <c r="AC348">
        <v>0</v>
      </c>
      <c r="AD348">
        <v>1</v>
      </c>
      <c r="AE348">
        <v>0</v>
      </c>
      <c r="AF348" t="s">
        <v>324</v>
      </c>
      <c r="AG348">
        <v>1.2</v>
      </c>
      <c r="AH348">
        <v>3</v>
      </c>
      <c r="AI348">
        <v>-1</v>
      </c>
      <c r="AJ348" t="s">
        <v>3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</row>
    <row r="349" spans="1:44" x14ac:dyDescent="0.2">
      <c r="A349">
        <f>ROW(Source!A464)</f>
        <v>464</v>
      </c>
      <c r="B349">
        <v>1474096896</v>
      </c>
      <c r="C349">
        <v>1472040396</v>
      </c>
      <c r="D349">
        <v>1441834627</v>
      </c>
      <c r="E349">
        <v>1</v>
      </c>
      <c r="F349">
        <v>1</v>
      </c>
      <c r="G349">
        <v>15514512</v>
      </c>
      <c r="H349">
        <v>3</v>
      </c>
      <c r="I349" t="s">
        <v>741</v>
      </c>
      <c r="J349" t="s">
        <v>742</v>
      </c>
      <c r="K349" t="s">
        <v>743</v>
      </c>
      <c r="L349">
        <v>1339</v>
      </c>
      <c r="N349">
        <v>1007</v>
      </c>
      <c r="O349" t="s">
        <v>679</v>
      </c>
      <c r="P349" t="s">
        <v>679</v>
      </c>
      <c r="Q349">
        <v>1</v>
      </c>
      <c r="X349">
        <v>0.9</v>
      </c>
      <c r="Y349">
        <v>875.46</v>
      </c>
      <c r="Z349">
        <v>0</v>
      </c>
      <c r="AA349">
        <v>0</v>
      </c>
      <c r="AB349">
        <v>0</v>
      </c>
      <c r="AC349">
        <v>0</v>
      </c>
      <c r="AD349">
        <v>1</v>
      </c>
      <c r="AE349">
        <v>0</v>
      </c>
      <c r="AF349" t="s">
        <v>324</v>
      </c>
      <c r="AG349">
        <v>0.6</v>
      </c>
      <c r="AH349">
        <v>3</v>
      </c>
      <c r="AI349">
        <v>-1</v>
      </c>
      <c r="AJ349" t="s">
        <v>3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</row>
    <row r="350" spans="1:44" x14ac:dyDescent="0.2">
      <c r="A350">
        <f>ROW(Source!A464)</f>
        <v>464</v>
      </c>
      <c r="B350">
        <v>1474096897</v>
      </c>
      <c r="C350">
        <v>1472040396</v>
      </c>
      <c r="D350">
        <v>1441834671</v>
      </c>
      <c r="E350">
        <v>1</v>
      </c>
      <c r="F350">
        <v>1</v>
      </c>
      <c r="G350">
        <v>15514512</v>
      </c>
      <c r="H350">
        <v>3</v>
      </c>
      <c r="I350" t="s">
        <v>744</v>
      </c>
      <c r="J350" t="s">
        <v>745</v>
      </c>
      <c r="K350" t="s">
        <v>746</v>
      </c>
      <c r="L350">
        <v>1348</v>
      </c>
      <c r="N350">
        <v>1009</v>
      </c>
      <c r="O350" t="s">
        <v>675</v>
      </c>
      <c r="P350" t="s">
        <v>675</v>
      </c>
      <c r="Q350">
        <v>1000</v>
      </c>
      <c r="X350">
        <v>5.9999999999999995E-4</v>
      </c>
      <c r="Y350">
        <v>184462.17</v>
      </c>
      <c r="Z350">
        <v>0</v>
      </c>
      <c r="AA350">
        <v>0</v>
      </c>
      <c r="AB350">
        <v>0</v>
      </c>
      <c r="AC350">
        <v>0</v>
      </c>
      <c r="AD350">
        <v>1</v>
      </c>
      <c r="AE350">
        <v>0</v>
      </c>
      <c r="AF350" t="s">
        <v>324</v>
      </c>
      <c r="AG350">
        <v>3.9999999999999996E-4</v>
      </c>
      <c r="AH350">
        <v>3</v>
      </c>
      <c r="AI350">
        <v>-1</v>
      </c>
      <c r="AJ350" t="s">
        <v>3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</row>
    <row r="351" spans="1:44" x14ac:dyDescent="0.2">
      <c r="A351">
        <f>ROW(Source!A464)</f>
        <v>464</v>
      </c>
      <c r="B351">
        <v>1474096898</v>
      </c>
      <c r="C351">
        <v>1472040396</v>
      </c>
      <c r="D351">
        <v>1441834634</v>
      </c>
      <c r="E351">
        <v>1</v>
      </c>
      <c r="F351">
        <v>1</v>
      </c>
      <c r="G351">
        <v>15514512</v>
      </c>
      <c r="H351">
        <v>3</v>
      </c>
      <c r="I351" t="s">
        <v>747</v>
      </c>
      <c r="J351" t="s">
        <v>748</v>
      </c>
      <c r="K351" t="s">
        <v>749</v>
      </c>
      <c r="L351">
        <v>1348</v>
      </c>
      <c r="N351">
        <v>1009</v>
      </c>
      <c r="O351" t="s">
        <v>675</v>
      </c>
      <c r="P351" t="s">
        <v>675</v>
      </c>
      <c r="Q351">
        <v>1000</v>
      </c>
      <c r="X351">
        <v>1E-3</v>
      </c>
      <c r="Y351">
        <v>88053.759999999995</v>
      </c>
      <c r="Z351">
        <v>0</v>
      </c>
      <c r="AA351">
        <v>0</v>
      </c>
      <c r="AB351">
        <v>0</v>
      </c>
      <c r="AC351">
        <v>0</v>
      </c>
      <c r="AD351">
        <v>1</v>
      </c>
      <c r="AE351">
        <v>0</v>
      </c>
      <c r="AF351" t="s">
        <v>324</v>
      </c>
      <c r="AG351">
        <v>6.6666666666666664E-4</v>
      </c>
      <c r="AH351">
        <v>3</v>
      </c>
      <c r="AI351">
        <v>-1</v>
      </c>
      <c r="AJ351" t="s">
        <v>3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</row>
    <row r="352" spans="1:44" x14ac:dyDescent="0.2">
      <c r="A352">
        <f>ROW(Source!A464)</f>
        <v>464</v>
      </c>
      <c r="B352">
        <v>1474096899</v>
      </c>
      <c r="C352">
        <v>1472040396</v>
      </c>
      <c r="D352">
        <v>1441834836</v>
      </c>
      <c r="E352">
        <v>1</v>
      </c>
      <c r="F352">
        <v>1</v>
      </c>
      <c r="G352">
        <v>15514512</v>
      </c>
      <c r="H352">
        <v>3</v>
      </c>
      <c r="I352" t="s">
        <v>750</v>
      </c>
      <c r="J352" t="s">
        <v>751</v>
      </c>
      <c r="K352" t="s">
        <v>752</v>
      </c>
      <c r="L352">
        <v>1348</v>
      </c>
      <c r="N352">
        <v>1009</v>
      </c>
      <c r="O352" t="s">
        <v>675</v>
      </c>
      <c r="P352" t="s">
        <v>675</v>
      </c>
      <c r="Q352">
        <v>1000</v>
      </c>
      <c r="X352">
        <v>2.16E-3</v>
      </c>
      <c r="Y352">
        <v>93194.67</v>
      </c>
      <c r="Z352">
        <v>0</v>
      </c>
      <c r="AA352">
        <v>0</v>
      </c>
      <c r="AB352">
        <v>0</v>
      </c>
      <c r="AC352">
        <v>0</v>
      </c>
      <c r="AD352">
        <v>1</v>
      </c>
      <c r="AE352">
        <v>0</v>
      </c>
      <c r="AF352" t="s">
        <v>324</v>
      </c>
      <c r="AG352">
        <v>1.4400000000000001E-3</v>
      </c>
      <c r="AH352">
        <v>3</v>
      </c>
      <c r="AI352">
        <v>-1</v>
      </c>
      <c r="AJ352" t="s">
        <v>3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</row>
    <row r="353" spans="1:44" x14ac:dyDescent="0.2">
      <c r="A353">
        <f>ROW(Source!A464)</f>
        <v>464</v>
      </c>
      <c r="B353">
        <v>1474096900</v>
      </c>
      <c r="C353">
        <v>1472040396</v>
      </c>
      <c r="D353">
        <v>1441834853</v>
      </c>
      <c r="E353">
        <v>1</v>
      </c>
      <c r="F353">
        <v>1</v>
      </c>
      <c r="G353">
        <v>15514512</v>
      </c>
      <c r="H353">
        <v>3</v>
      </c>
      <c r="I353" t="s">
        <v>753</v>
      </c>
      <c r="J353" t="s">
        <v>754</v>
      </c>
      <c r="K353" t="s">
        <v>755</v>
      </c>
      <c r="L353">
        <v>1348</v>
      </c>
      <c r="N353">
        <v>1009</v>
      </c>
      <c r="O353" t="s">
        <v>675</v>
      </c>
      <c r="P353" t="s">
        <v>675</v>
      </c>
      <c r="Q353">
        <v>1000</v>
      </c>
      <c r="X353">
        <v>8.0000000000000004E-4</v>
      </c>
      <c r="Y353">
        <v>78065.73</v>
      </c>
      <c r="Z353">
        <v>0</v>
      </c>
      <c r="AA353">
        <v>0</v>
      </c>
      <c r="AB353">
        <v>0</v>
      </c>
      <c r="AC353">
        <v>0</v>
      </c>
      <c r="AD353">
        <v>1</v>
      </c>
      <c r="AE353">
        <v>0</v>
      </c>
      <c r="AF353" t="s">
        <v>324</v>
      </c>
      <c r="AG353">
        <v>5.3333333333333336E-4</v>
      </c>
      <c r="AH353">
        <v>3</v>
      </c>
      <c r="AI353">
        <v>-1</v>
      </c>
      <c r="AJ353" t="s">
        <v>3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</row>
    <row r="354" spans="1:44" x14ac:dyDescent="0.2">
      <c r="A354">
        <f>ROW(Source!A464)</f>
        <v>464</v>
      </c>
      <c r="B354">
        <v>1474096902</v>
      </c>
      <c r="C354">
        <v>1472040396</v>
      </c>
      <c r="D354">
        <v>1441822273</v>
      </c>
      <c r="E354">
        <v>15514512</v>
      </c>
      <c r="F354">
        <v>1</v>
      </c>
      <c r="G354">
        <v>15514512</v>
      </c>
      <c r="H354">
        <v>3</v>
      </c>
      <c r="I354" t="s">
        <v>705</v>
      </c>
      <c r="J354" t="s">
        <v>3</v>
      </c>
      <c r="K354" t="s">
        <v>707</v>
      </c>
      <c r="L354">
        <v>1348</v>
      </c>
      <c r="N354">
        <v>1009</v>
      </c>
      <c r="O354" t="s">
        <v>675</v>
      </c>
      <c r="P354" t="s">
        <v>675</v>
      </c>
      <c r="Q354">
        <v>1000</v>
      </c>
      <c r="X354">
        <v>2.4000000000000001E-4</v>
      </c>
      <c r="Y354">
        <v>94640</v>
      </c>
      <c r="Z354">
        <v>0</v>
      </c>
      <c r="AA354">
        <v>0</v>
      </c>
      <c r="AB354">
        <v>0</v>
      </c>
      <c r="AC354">
        <v>0</v>
      </c>
      <c r="AD354">
        <v>1</v>
      </c>
      <c r="AE354">
        <v>0</v>
      </c>
      <c r="AF354" t="s">
        <v>324</v>
      </c>
      <c r="AG354">
        <v>1.6000000000000001E-4</v>
      </c>
      <c r="AH354">
        <v>3</v>
      </c>
      <c r="AI354">
        <v>-1</v>
      </c>
      <c r="AJ354" t="s">
        <v>3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</row>
    <row r="355" spans="1:44" x14ac:dyDescent="0.2">
      <c r="A355">
        <f>ROW(Source!A464)</f>
        <v>464</v>
      </c>
      <c r="B355">
        <v>1474096901</v>
      </c>
      <c r="C355">
        <v>1472040396</v>
      </c>
      <c r="D355">
        <v>1441850453</v>
      </c>
      <c r="E355">
        <v>1</v>
      </c>
      <c r="F355">
        <v>1</v>
      </c>
      <c r="G355">
        <v>15514512</v>
      </c>
      <c r="H355">
        <v>3</v>
      </c>
      <c r="I355" t="s">
        <v>756</v>
      </c>
      <c r="J355" t="s">
        <v>757</v>
      </c>
      <c r="K355" t="s">
        <v>758</v>
      </c>
      <c r="L355">
        <v>1348</v>
      </c>
      <c r="N355">
        <v>1009</v>
      </c>
      <c r="O355" t="s">
        <v>675</v>
      </c>
      <c r="P355" t="s">
        <v>675</v>
      </c>
      <c r="Q355">
        <v>1000</v>
      </c>
      <c r="X355">
        <v>8.9999999999999998E-4</v>
      </c>
      <c r="Y355">
        <v>178433.97</v>
      </c>
      <c r="Z355">
        <v>0</v>
      </c>
      <c r="AA355">
        <v>0</v>
      </c>
      <c r="AB355">
        <v>0</v>
      </c>
      <c r="AC355">
        <v>0</v>
      </c>
      <c r="AD355">
        <v>1</v>
      </c>
      <c r="AE355">
        <v>0</v>
      </c>
      <c r="AF355" t="s">
        <v>324</v>
      </c>
      <c r="AG355">
        <v>5.9999999999999995E-4</v>
      </c>
      <c r="AH355">
        <v>3</v>
      </c>
      <c r="AI355">
        <v>-1</v>
      </c>
      <c r="AJ355" t="s">
        <v>3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</row>
    <row r="356" spans="1:44" x14ac:dyDescent="0.2">
      <c r="A356">
        <f>ROW(Source!A465)</f>
        <v>465</v>
      </c>
      <c r="B356">
        <v>1474096903</v>
      </c>
      <c r="C356">
        <v>1472040439</v>
      </c>
      <c r="D356">
        <v>1441819193</v>
      </c>
      <c r="E356">
        <v>15514512</v>
      </c>
      <c r="F356">
        <v>1</v>
      </c>
      <c r="G356">
        <v>15514512</v>
      </c>
      <c r="H356">
        <v>1</v>
      </c>
      <c r="I356" t="s">
        <v>648</v>
      </c>
      <c r="J356" t="s">
        <v>3</v>
      </c>
      <c r="K356" t="s">
        <v>649</v>
      </c>
      <c r="L356">
        <v>1191</v>
      </c>
      <c r="N356">
        <v>1013</v>
      </c>
      <c r="O356" t="s">
        <v>650</v>
      </c>
      <c r="P356" t="s">
        <v>650</v>
      </c>
      <c r="Q356">
        <v>1</v>
      </c>
      <c r="X356">
        <v>7.12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1</v>
      </c>
      <c r="AE356">
        <v>1</v>
      </c>
      <c r="AF356" t="s">
        <v>3</v>
      </c>
      <c r="AG356">
        <v>7.12</v>
      </c>
      <c r="AH356">
        <v>3</v>
      </c>
      <c r="AI356">
        <v>-1</v>
      </c>
      <c r="AJ356" t="s">
        <v>3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</row>
    <row r="357" spans="1:44" x14ac:dyDescent="0.2">
      <c r="A357">
        <f>ROW(Source!A465)</f>
        <v>465</v>
      </c>
      <c r="B357">
        <v>1474096904</v>
      </c>
      <c r="C357">
        <v>1472040439</v>
      </c>
      <c r="D357">
        <v>1441833954</v>
      </c>
      <c r="E357">
        <v>1</v>
      </c>
      <c r="F357">
        <v>1</v>
      </c>
      <c r="G357">
        <v>15514512</v>
      </c>
      <c r="H357">
        <v>2</v>
      </c>
      <c r="I357" t="s">
        <v>717</v>
      </c>
      <c r="J357" t="s">
        <v>718</v>
      </c>
      <c r="K357" t="s">
        <v>719</v>
      </c>
      <c r="L357">
        <v>1368</v>
      </c>
      <c r="N357">
        <v>1011</v>
      </c>
      <c r="O357" t="s">
        <v>603</v>
      </c>
      <c r="P357" t="s">
        <v>603</v>
      </c>
      <c r="Q357">
        <v>1</v>
      </c>
      <c r="X357">
        <v>0.15</v>
      </c>
      <c r="Y357">
        <v>0</v>
      </c>
      <c r="Z357">
        <v>59.51</v>
      </c>
      <c r="AA357">
        <v>0.82</v>
      </c>
      <c r="AB357">
        <v>0</v>
      </c>
      <c r="AC357">
        <v>0</v>
      </c>
      <c r="AD357">
        <v>1</v>
      </c>
      <c r="AE357">
        <v>0</v>
      </c>
      <c r="AF357" t="s">
        <v>3</v>
      </c>
      <c r="AG357">
        <v>0.15</v>
      </c>
      <c r="AH357">
        <v>3</v>
      </c>
      <c r="AI357">
        <v>-1</v>
      </c>
      <c r="AJ357" t="s">
        <v>3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</row>
    <row r="358" spans="1:44" x14ac:dyDescent="0.2">
      <c r="A358">
        <f>ROW(Source!A465)</f>
        <v>465</v>
      </c>
      <c r="B358">
        <v>1474096905</v>
      </c>
      <c r="C358">
        <v>1472040439</v>
      </c>
      <c r="D358">
        <v>1441836235</v>
      </c>
      <c r="E358">
        <v>1</v>
      </c>
      <c r="F358">
        <v>1</v>
      </c>
      <c r="G358">
        <v>15514512</v>
      </c>
      <c r="H358">
        <v>3</v>
      </c>
      <c r="I358" t="s">
        <v>683</v>
      </c>
      <c r="J358" t="s">
        <v>684</v>
      </c>
      <c r="K358" t="s">
        <v>685</v>
      </c>
      <c r="L358">
        <v>1346</v>
      </c>
      <c r="N358">
        <v>1009</v>
      </c>
      <c r="O358" t="s">
        <v>657</v>
      </c>
      <c r="P358" t="s">
        <v>657</v>
      </c>
      <c r="Q358">
        <v>1</v>
      </c>
      <c r="X358">
        <v>0.36</v>
      </c>
      <c r="Y358">
        <v>31.49</v>
      </c>
      <c r="Z358">
        <v>0</v>
      </c>
      <c r="AA358">
        <v>0</v>
      </c>
      <c r="AB358">
        <v>0</v>
      </c>
      <c r="AC358">
        <v>0</v>
      </c>
      <c r="AD358">
        <v>1</v>
      </c>
      <c r="AE358">
        <v>0</v>
      </c>
      <c r="AF358" t="s">
        <v>3</v>
      </c>
      <c r="AG358">
        <v>0.36</v>
      </c>
      <c r="AH358">
        <v>3</v>
      </c>
      <c r="AI358">
        <v>-1</v>
      </c>
      <c r="AJ358" t="s">
        <v>3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</row>
    <row r="359" spans="1:44" x14ac:dyDescent="0.2">
      <c r="A359">
        <f>ROW(Source!A465)</f>
        <v>465</v>
      </c>
      <c r="B359">
        <v>1474096906</v>
      </c>
      <c r="C359">
        <v>1472040439</v>
      </c>
      <c r="D359">
        <v>1441821379</v>
      </c>
      <c r="E359">
        <v>15514512</v>
      </c>
      <c r="F359">
        <v>1</v>
      </c>
      <c r="G359">
        <v>15514512</v>
      </c>
      <c r="H359">
        <v>3</v>
      </c>
      <c r="I359" t="s">
        <v>703</v>
      </c>
      <c r="J359" t="s">
        <v>3</v>
      </c>
      <c r="K359" t="s">
        <v>704</v>
      </c>
      <c r="L359">
        <v>1346</v>
      </c>
      <c r="N359">
        <v>1009</v>
      </c>
      <c r="O359" t="s">
        <v>657</v>
      </c>
      <c r="P359" t="s">
        <v>657</v>
      </c>
      <c r="Q359">
        <v>1</v>
      </c>
      <c r="X359">
        <v>2.4E-2</v>
      </c>
      <c r="Y359">
        <v>89.933959999999999</v>
      </c>
      <c r="Z359">
        <v>0</v>
      </c>
      <c r="AA359">
        <v>0</v>
      </c>
      <c r="AB359">
        <v>0</v>
      </c>
      <c r="AC359">
        <v>0</v>
      </c>
      <c r="AD359">
        <v>1</v>
      </c>
      <c r="AE359">
        <v>0</v>
      </c>
      <c r="AF359" t="s">
        <v>3</v>
      </c>
      <c r="AG359">
        <v>2.4E-2</v>
      </c>
      <c r="AH359">
        <v>3</v>
      </c>
      <c r="AI359">
        <v>-1</v>
      </c>
      <c r="AJ359" t="s">
        <v>3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</row>
    <row r="360" spans="1:44" x14ac:dyDescent="0.2">
      <c r="A360">
        <f>ROW(Source!A466)</f>
        <v>466</v>
      </c>
      <c r="B360">
        <v>1474096907</v>
      </c>
      <c r="C360">
        <v>1472040452</v>
      </c>
      <c r="D360">
        <v>1441819193</v>
      </c>
      <c r="E360">
        <v>15514512</v>
      </c>
      <c r="F360">
        <v>1</v>
      </c>
      <c r="G360">
        <v>15514512</v>
      </c>
      <c r="H360">
        <v>1</v>
      </c>
      <c r="I360" t="s">
        <v>648</v>
      </c>
      <c r="J360" t="s">
        <v>3</v>
      </c>
      <c r="K360" t="s">
        <v>649</v>
      </c>
      <c r="L360">
        <v>1191</v>
      </c>
      <c r="N360">
        <v>1013</v>
      </c>
      <c r="O360" t="s">
        <v>650</v>
      </c>
      <c r="P360" t="s">
        <v>650</v>
      </c>
      <c r="Q360">
        <v>1</v>
      </c>
      <c r="X360">
        <v>3.14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1</v>
      </c>
      <c r="AE360">
        <v>1</v>
      </c>
      <c r="AF360" t="s">
        <v>164</v>
      </c>
      <c r="AG360">
        <v>6.28</v>
      </c>
      <c r="AH360">
        <v>3</v>
      </c>
      <c r="AI360">
        <v>-1</v>
      </c>
      <c r="AJ360" t="s">
        <v>3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</row>
    <row r="361" spans="1:44" x14ac:dyDescent="0.2">
      <c r="A361">
        <f>ROW(Source!A466)</f>
        <v>466</v>
      </c>
      <c r="B361">
        <v>1474096908</v>
      </c>
      <c r="C361">
        <v>1472040452</v>
      </c>
      <c r="D361">
        <v>1441833954</v>
      </c>
      <c r="E361">
        <v>1</v>
      </c>
      <c r="F361">
        <v>1</v>
      </c>
      <c r="G361">
        <v>15514512</v>
      </c>
      <c r="H361">
        <v>2</v>
      </c>
      <c r="I361" t="s">
        <v>717</v>
      </c>
      <c r="J361" t="s">
        <v>718</v>
      </c>
      <c r="K361" t="s">
        <v>719</v>
      </c>
      <c r="L361">
        <v>1368</v>
      </c>
      <c r="N361">
        <v>1011</v>
      </c>
      <c r="O361" t="s">
        <v>603</v>
      </c>
      <c r="P361" t="s">
        <v>603</v>
      </c>
      <c r="Q361">
        <v>1</v>
      </c>
      <c r="X361">
        <v>0.03</v>
      </c>
      <c r="Y361">
        <v>0</v>
      </c>
      <c r="Z361">
        <v>59.51</v>
      </c>
      <c r="AA361">
        <v>0.82</v>
      </c>
      <c r="AB361">
        <v>0</v>
      </c>
      <c r="AC361">
        <v>0</v>
      </c>
      <c r="AD361">
        <v>1</v>
      </c>
      <c r="AE361">
        <v>0</v>
      </c>
      <c r="AF361" t="s">
        <v>164</v>
      </c>
      <c r="AG361">
        <v>0.06</v>
      </c>
      <c r="AH361">
        <v>3</v>
      </c>
      <c r="AI361">
        <v>-1</v>
      </c>
      <c r="AJ361" t="s">
        <v>3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</row>
    <row r="362" spans="1:44" x14ac:dyDescent="0.2">
      <c r="A362">
        <f>ROW(Source!A466)</f>
        <v>466</v>
      </c>
      <c r="B362">
        <v>1474096909</v>
      </c>
      <c r="C362">
        <v>1472040452</v>
      </c>
      <c r="D362">
        <v>1441836235</v>
      </c>
      <c r="E362">
        <v>1</v>
      </c>
      <c r="F362">
        <v>1</v>
      </c>
      <c r="G362">
        <v>15514512</v>
      </c>
      <c r="H362">
        <v>3</v>
      </c>
      <c r="I362" t="s">
        <v>683</v>
      </c>
      <c r="J362" t="s">
        <v>684</v>
      </c>
      <c r="K362" t="s">
        <v>685</v>
      </c>
      <c r="L362">
        <v>1346</v>
      </c>
      <c r="N362">
        <v>1009</v>
      </c>
      <c r="O362" t="s">
        <v>657</v>
      </c>
      <c r="P362" t="s">
        <v>657</v>
      </c>
      <c r="Q362">
        <v>1</v>
      </c>
      <c r="X362">
        <v>0.32</v>
      </c>
      <c r="Y362">
        <v>31.49</v>
      </c>
      <c r="Z362">
        <v>0</v>
      </c>
      <c r="AA362">
        <v>0</v>
      </c>
      <c r="AB362">
        <v>0</v>
      </c>
      <c r="AC362">
        <v>0</v>
      </c>
      <c r="AD362">
        <v>1</v>
      </c>
      <c r="AE362">
        <v>0</v>
      </c>
      <c r="AF362" t="s">
        <v>164</v>
      </c>
      <c r="AG362">
        <v>0.64</v>
      </c>
      <c r="AH362">
        <v>3</v>
      </c>
      <c r="AI362">
        <v>-1</v>
      </c>
      <c r="AJ362" t="s">
        <v>3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</row>
    <row r="363" spans="1:44" x14ac:dyDescent="0.2">
      <c r="A363">
        <f>ROW(Source!A467)</f>
        <v>467</v>
      </c>
      <c r="B363">
        <v>1474096910</v>
      </c>
      <c r="C363">
        <v>1472040462</v>
      </c>
      <c r="D363">
        <v>1441819193</v>
      </c>
      <c r="E363">
        <v>15514512</v>
      </c>
      <c r="F363">
        <v>1</v>
      </c>
      <c r="G363">
        <v>15514512</v>
      </c>
      <c r="H363">
        <v>1</v>
      </c>
      <c r="I363" t="s">
        <v>648</v>
      </c>
      <c r="J363" t="s">
        <v>3</v>
      </c>
      <c r="K363" t="s">
        <v>649</v>
      </c>
      <c r="L363">
        <v>1191</v>
      </c>
      <c r="N363">
        <v>1013</v>
      </c>
      <c r="O363" t="s">
        <v>650</v>
      </c>
      <c r="P363" t="s">
        <v>650</v>
      </c>
      <c r="Q363">
        <v>1</v>
      </c>
      <c r="X363">
        <v>1.56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1</v>
      </c>
      <c r="AE363">
        <v>1</v>
      </c>
      <c r="AF363" t="s">
        <v>164</v>
      </c>
      <c r="AG363">
        <v>3.12</v>
      </c>
      <c r="AH363">
        <v>3</v>
      </c>
      <c r="AI363">
        <v>-1</v>
      </c>
      <c r="AJ363" t="s">
        <v>3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</row>
    <row r="364" spans="1:44" x14ac:dyDescent="0.2">
      <c r="A364">
        <f>ROW(Source!A467)</f>
        <v>467</v>
      </c>
      <c r="B364">
        <v>1474096911</v>
      </c>
      <c r="C364">
        <v>1472040462</v>
      </c>
      <c r="D364">
        <v>1441833954</v>
      </c>
      <c r="E364">
        <v>1</v>
      </c>
      <c r="F364">
        <v>1</v>
      </c>
      <c r="G364">
        <v>15514512</v>
      </c>
      <c r="H364">
        <v>2</v>
      </c>
      <c r="I364" t="s">
        <v>717</v>
      </c>
      <c r="J364" t="s">
        <v>718</v>
      </c>
      <c r="K364" t="s">
        <v>719</v>
      </c>
      <c r="L364">
        <v>1368</v>
      </c>
      <c r="N364">
        <v>1011</v>
      </c>
      <c r="O364" t="s">
        <v>603</v>
      </c>
      <c r="P364" t="s">
        <v>603</v>
      </c>
      <c r="Q364">
        <v>1</v>
      </c>
      <c r="X364">
        <v>0.03</v>
      </c>
      <c r="Y364">
        <v>0</v>
      </c>
      <c r="Z364">
        <v>59.51</v>
      </c>
      <c r="AA364">
        <v>0.82</v>
      </c>
      <c r="AB364">
        <v>0</v>
      </c>
      <c r="AC364">
        <v>0</v>
      </c>
      <c r="AD364">
        <v>1</v>
      </c>
      <c r="AE364">
        <v>0</v>
      </c>
      <c r="AF364" t="s">
        <v>164</v>
      </c>
      <c r="AG364">
        <v>0.06</v>
      </c>
      <c r="AH364">
        <v>3</v>
      </c>
      <c r="AI364">
        <v>-1</v>
      </c>
      <c r="AJ364" t="s">
        <v>3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</row>
    <row r="365" spans="1:44" x14ac:dyDescent="0.2">
      <c r="A365">
        <f>ROW(Source!A467)</f>
        <v>467</v>
      </c>
      <c r="B365">
        <v>1474096912</v>
      </c>
      <c r="C365">
        <v>1472040462</v>
      </c>
      <c r="D365">
        <v>1441836235</v>
      </c>
      <c r="E365">
        <v>1</v>
      </c>
      <c r="F365">
        <v>1</v>
      </c>
      <c r="G365">
        <v>15514512</v>
      </c>
      <c r="H365">
        <v>3</v>
      </c>
      <c r="I365" t="s">
        <v>683</v>
      </c>
      <c r="J365" t="s">
        <v>684</v>
      </c>
      <c r="K365" t="s">
        <v>685</v>
      </c>
      <c r="L365">
        <v>1346</v>
      </c>
      <c r="N365">
        <v>1009</v>
      </c>
      <c r="O365" t="s">
        <v>657</v>
      </c>
      <c r="P365" t="s">
        <v>657</v>
      </c>
      <c r="Q365">
        <v>1</v>
      </c>
      <c r="X365">
        <v>0.02</v>
      </c>
      <c r="Y365">
        <v>31.49</v>
      </c>
      <c r="Z365">
        <v>0</v>
      </c>
      <c r="AA365">
        <v>0</v>
      </c>
      <c r="AB365">
        <v>0</v>
      </c>
      <c r="AC365">
        <v>0</v>
      </c>
      <c r="AD365">
        <v>1</v>
      </c>
      <c r="AE365">
        <v>0</v>
      </c>
      <c r="AF365" t="s">
        <v>164</v>
      </c>
      <c r="AG365">
        <v>0.04</v>
      </c>
      <c r="AH365">
        <v>3</v>
      </c>
      <c r="AI365">
        <v>-1</v>
      </c>
      <c r="AJ365" t="s">
        <v>3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</row>
    <row r="366" spans="1:44" x14ac:dyDescent="0.2">
      <c r="A366">
        <f>ROW(Source!A468)</f>
        <v>468</v>
      </c>
      <c r="B366">
        <v>1474096913</v>
      </c>
      <c r="C366">
        <v>1472040472</v>
      </c>
      <c r="D366">
        <v>1441819193</v>
      </c>
      <c r="E366">
        <v>15514512</v>
      </c>
      <c r="F366">
        <v>1</v>
      </c>
      <c r="G366">
        <v>15514512</v>
      </c>
      <c r="H366">
        <v>1</v>
      </c>
      <c r="I366" t="s">
        <v>648</v>
      </c>
      <c r="J366" t="s">
        <v>3</v>
      </c>
      <c r="K366" t="s">
        <v>649</v>
      </c>
      <c r="L366">
        <v>1191</v>
      </c>
      <c r="N366">
        <v>1013</v>
      </c>
      <c r="O366" t="s">
        <v>650</v>
      </c>
      <c r="P366" t="s">
        <v>650</v>
      </c>
      <c r="Q366">
        <v>1</v>
      </c>
      <c r="X366">
        <v>9.6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1</v>
      </c>
      <c r="AE366">
        <v>1</v>
      </c>
      <c r="AF366" t="s">
        <v>3</v>
      </c>
      <c r="AG366">
        <v>9.6</v>
      </c>
      <c r="AH366">
        <v>3</v>
      </c>
      <c r="AI366">
        <v>-1</v>
      </c>
      <c r="AJ366" t="s">
        <v>3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</row>
    <row r="367" spans="1:44" x14ac:dyDescent="0.2">
      <c r="A367">
        <f>ROW(Source!A468)</f>
        <v>468</v>
      </c>
      <c r="B367">
        <v>1474096914</v>
      </c>
      <c r="C367">
        <v>1472040472</v>
      </c>
      <c r="D367">
        <v>1441834142</v>
      </c>
      <c r="E367">
        <v>1</v>
      </c>
      <c r="F367">
        <v>1</v>
      </c>
      <c r="G367">
        <v>15514512</v>
      </c>
      <c r="H367">
        <v>2</v>
      </c>
      <c r="I367" t="s">
        <v>763</v>
      </c>
      <c r="J367" t="s">
        <v>764</v>
      </c>
      <c r="K367" t="s">
        <v>765</v>
      </c>
      <c r="L367">
        <v>1368</v>
      </c>
      <c r="N367">
        <v>1011</v>
      </c>
      <c r="O367" t="s">
        <v>603</v>
      </c>
      <c r="P367" t="s">
        <v>603</v>
      </c>
      <c r="Q367">
        <v>1</v>
      </c>
      <c r="X367">
        <v>2.23</v>
      </c>
      <c r="Y367">
        <v>0</v>
      </c>
      <c r="Z367">
        <v>10.14</v>
      </c>
      <c r="AA367">
        <v>0.31</v>
      </c>
      <c r="AB367">
        <v>0</v>
      </c>
      <c r="AC367">
        <v>0</v>
      </c>
      <c r="AD367">
        <v>1</v>
      </c>
      <c r="AE367">
        <v>0</v>
      </c>
      <c r="AF367" t="s">
        <v>3</v>
      </c>
      <c r="AG367">
        <v>2.23</v>
      </c>
      <c r="AH367">
        <v>3</v>
      </c>
      <c r="AI367">
        <v>-1</v>
      </c>
      <c r="AJ367" t="s">
        <v>3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</row>
    <row r="368" spans="1:44" x14ac:dyDescent="0.2">
      <c r="A368">
        <f>ROW(Source!A468)</f>
        <v>468</v>
      </c>
      <c r="B368">
        <v>1474096915</v>
      </c>
      <c r="C368">
        <v>1472040472</v>
      </c>
      <c r="D368">
        <v>1441834258</v>
      </c>
      <c r="E368">
        <v>1</v>
      </c>
      <c r="F368">
        <v>1</v>
      </c>
      <c r="G368">
        <v>15514512</v>
      </c>
      <c r="H368">
        <v>2</v>
      </c>
      <c r="I368" t="s">
        <v>651</v>
      </c>
      <c r="J368" t="s">
        <v>652</v>
      </c>
      <c r="K368" t="s">
        <v>653</v>
      </c>
      <c r="L368">
        <v>1368</v>
      </c>
      <c r="N368">
        <v>1011</v>
      </c>
      <c r="O368" t="s">
        <v>603</v>
      </c>
      <c r="P368" t="s">
        <v>603</v>
      </c>
      <c r="Q368">
        <v>1</v>
      </c>
      <c r="X368">
        <v>2.4500000000000002</v>
      </c>
      <c r="Y368">
        <v>0</v>
      </c>
      <c r="Z368">
        <v>1303.01</v>
      </c>
      <c r="AA368">
        <v>826.2</v>
      </c>
      <c r="AB368">
        <v>0</v>
      </c>
      <c r="AC368">
        <v>0</v>
      </c>
      <c r="AD368">
        <v>1</v>
      </c>
      <c r="AE368">
        <v>0</v>
      </c>
      <c r="AF368" t="s">
        <v>3</v>
      </c>
      <c r="AG368">
        <v>2.4500000000000002</v>
      </c>
      <c r="AH368">
        <v>3</v>
      </c>
      <c r="AI368">
        <v>-1</v>
      </c>
      <c r="AJ368" t="s">
        <v>3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</row>
    <row r="369" spans="1:44" x14ac:dyDescent="0.2">
      <c r="A369">
        <f>ROW(Source!A468)</f>
        <v>468</v>
      </c>
      <c r="B369">
        <v>1474096916</v>
      </c>
      <c r="C369">
        <v>1472040472</v>
      </c>
      <c r="D369">
        <v>1441836395</v>
      </c>
      <c r="E369">
        <v>1</v>
      </c>
      <c r="F369">
        <v>1</v>
      </c>
      <c r="G369">
        <v>15514512</v>
      </c>
      <c r="H369">
        <v>3</v>
      </c>
      <c r="I369" t="s">
        <v>766</v>
      </c>
      <c r="J369" t="s">
        <v>767</v>
      </c>
      <c r="K369" t="s">
        <v>768</v>
      </c>
      <c r="L369">
        <v>1346</v>
      </c>
      <c r="N369">
        <v>1009</v>
      </c>
      <c r="O369" t="s">
        <v>657</v>
      </c>
      <c r="P369" t="s">
        <v>657</v>
      </c>
      <c r="Q369">
        <v>1</v>
      </c>
      <c r="X369">
        <v>0.32</v>
      </c>
      <c r="Y369">
        <v>1021.71</v>
      </c>
      <c r="Z369">
        <v>0</v>
      </c>
      <c r="AA369">
        <v>0</v>
      </c>
      <c r="AB369">
        <v>0</v>
      </c>
      <c r="AC369">
        <v>0</v>
      </c>
      <c r="AD369">
        <v>1</v>
      </c>
      <c r="AE369">
        <v>0</v>
      </c>
      <c r="AF369" t="s">
        <v>3</v>
      </c>
      <c r="AG369">
        <v>0.32</v>
      </c>
      <c r="AH369">
        <v>3</v>
      </c>
      <c r="AI369">
        <v>-1</v>
      </c>
      <c r="AJ369" t="s">
        <v>3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</row>
    <row r="370" spans="1:44" x14ac:dyDescent="0.2">
      <c r="A370">
        <f>ROW(Source!A469)</f>
        <v>469</v>
      </c>
      <c r="B370">
        <v>1474096917</v>
      </c>
      <c r="C370">
        <v>1472040485</v>
      </c>
      <c r="D370">
        <v>1441819193</v>
      </c>
      <c r="E370">
        <v>15514512</v>
      </c>
      <c r="F370">
        <v>1</v>
      </c>
      <c r="G370">
        <v>15514512</v>
      </c>
      <c r="H370">
        <v>1</v>
      </c>
      <c r="I370" t="s">
        <v>648</v>
      </c>
      <c r="J370" t="s">
        <v>3</v>
      </c>
      <c r="K370" t="s">
        <v>649</v>
      </c>
      <c r="L370">
        <v>1191</v>
      </c>
      <c r="N370">
        <v>1013</v>
      </c>
      <c r="O370" t="s">
        <v>650</v>
      </c>
      <c r="P370" t="s">
        <v>650</v>
      </c>
      <c r="Q370">
        <v>1</v>
      </c>
      <c r="X370">
        <v>4.4400000000000004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1</v>
      </c>
      <c r="AE370">
        <v>1</v>
      </c>
      <c r="AF370" t="s">
        <v>164</v>
      </c>
      <c r="AG370">
        <v>8.8800000000000008</v>
      </c>
      <c r="AH370">
        <v>3</v>
      </c>
      <c r="AI370">
        <v>-1</v>
      </c>
      <c r="AJ370" t="s">
        <v>3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</row>
    <row r="371" spans="1:44" x14ac:dyDescent="0.2">
      <c r="A371">
        <f>ROW(Source!A469)</f>
        <v>469</v>
      </c>
      <c r="B371">
        <v>1474096918</v>
      </c>
      <c r="C371">
        <v>1472040485</v>
      </c>
      <c r="D371">
        <v>1441836187</v>
      </c>
      <c r="E371">
        <v>1</v>
      </c>
      <c r="F371">
        <v>1</v>
      </c>
      <c r="G371">
        <v>15514512</v>
      </c>
      <c r="H371">
        <v>3</v>
      </c>
      <c r="I371" t="s">
        <v>692</v>
      </c>
      <c r="J371" t="s">
        <v>693</v>
      </c>
      <c r="K371" t="s">
        <v>694</v>
      </c>
      <c r="L371">
        <v>1346</v>
      </c>
      <c r="N371">
        <v>1009</v>
      </c>
      <c r="O371" t="s">
        <v>657</v>
      </c>
      <c r="P371" t="s">
        <v>657</v>
      </c>
      <c r="Q371">
        <v>1</v>
      </c>
      <c r="X371">
        <v>1.6E-2</v>
      </c>
      <c r="Y371">
        <v>424.66</v>
      </c>
      <c r="Z371">
        <v>0</v>
      </c>
      <c r="AA371">
        <v>0</v>
      </c>
      <c r="AB371">
        <v>0</v>
      </c>
      <c r="AC371">
        <v>0</v>
      </c>
      <c r="AD371">
        <v>1</v>
      </c>
      <c r="AE371">
        <v>0</v>
      </c>
      <c r="AF371" t="s">
        <v>164</v>
      </c>
      <c r="AG371">
        <v>3.2000000000000001E-2</v>
      </c>
      <c r="AH371">
        <v>3</v>
      </c>
      <c r="AI371">
        <v>-1</v>
      </c>
      <c r="AJ371" t="s">
        <v>3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</row>
    <row r="372" spans="1:44" x14ac:dyDescent="0.2">
      <c r="A372">
        <f>ROW(Source!A469)</f>
        <v>469</v>
      </c>
      <c r="B372">
        <v>1474096919</v>
      </c>
      <c r="C372">
        <v>1472040485</v>
      </c>
      <c r="D372">
        <v>1441836235</v>
      </c>
      <c r="E372">
        <v>1</v>
      </c>
      <c r="F372">
        <v>1</v>
      </c>
      <c r="G372">
        <v>15514512</v>
      </c>
      <c r="H372">
        <v>3</v>
      </c>
      <c r="I372" t="s">
        <v>683</v>
      </c>
      <c r="J372" t="s">
        <v>684</v>
      </c>
      <c r="K372" t="s">
        <v>685</v>
      </c>
      <c r="L372">
        <v>1346</v>
      </c>
      <c r="N372">
        <v>1009</v>
      </c>
      <c r="O372" t="s">
        <v>657</v>
      </c>
      <c r="P372" t="s">
        <v>657</v>
      </c>
      <c r="Q372">
        <v>1</v>
      </c>
      <c r="X372">
        <v>0.1</v>
      </c>
      <c r="Y372">
        <v>31.49</v>
      </c>
      <c r="Z372">
        <v>0</v>
      </c>
      <c r="AA372">
        <v>0</v>
      </c>
      <c r="AB372">
        <v>0</v>
      </c>
      <c r="AC372">
        <v>0</v>
      </c>
      <c r="AD372">
        <v>1</v>
      </c>
      <c r="AE372">
        <v>0</v>
      </c>
      <c r="AF372" t="s">
        <v>164</v>
      </c>
      <c r="AG372">
        <v>0.2</v>
      </c>
      <c r="AH372">
        <v>3</v>
      </c>
      <c r="AI372">
        <v>-1</v>
      </c>
      <c r="AJ372" t="s">
        <v>3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</row>
    <row r="373" spans="1:44" x14ac:dyDescent="0.2">
      <c r="A373">
        <f>ROW(Source!A470)</f>
        <v>470</v>
      </c>
      <c r="B373">
        <v>1474096920</v>
      </c>
      <c r="C373">
        <v>1472040495</v>
      </c>
      <c r="D373">
        <v>1441819193</v>
      </c>
      <c r="E373">
        <v>15514512</v>
      </c>
      <c r="F373">
        <v>1</v>
      </c>
      <c r="G373">
        <v>15514512</v>
      </c>
      <c r="H373">
        <v>1</v>
      </c>
      <c r="I373" t="s">
        <v>648</v>
      </c>
      <c r="J373" t="s">
        <v>3</v>
      </c>
      <c r="K373" t="s">
        <v>649</v>
      </c>
      <c r="L373">
        <v>1191</v>
      </c>
      <c r="N373">
        <v>1013</v>
      </c>
      <c r="O373" t="s">
        <v>650</v>
      </c>
      <c r="P373" t="s">
        <v>650</v>
      </c>
      <c r="Q373">
        <v>1</v>
      </c>
      <c r="X373">
        <v>4.9800000000000004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1</v>
      </c>
      <c r="AE373">
        <v>1</v>
      </c>
      <c r="AF373" t="s">
        <v>324</v>
      </c>
      <c r="AG373">
        <v>3.3200000000000003</v>
      </c>
      <c r="AH373">
        <v>3</v>
      </c>
      <c r="AI373">
        <v>-1</v>
      </c>
      <c r="AJ373" t="s">
        <v>3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</row>
    <row r="374" spans="1:44" x14ac:dyDescent="0.2">
      <c r="A374">
        <f>ROW(Source!A470)</f>
        <v>470</v>
      </c>
      <c r="B374">
        <v>1474096921</v>
      </c>
      <c r="C374">
        <v>1472040495</v>
      </c>
      <c r="D374">
        <v>1441834258</v>
      </c>
      <c r="E374">
        <v>1</v>
      </c>
      <c r="F374">
        <v>1</v>
      </c>
      <c r="G374">
        <v>15514512</v>
      </c>
      <c r="H374">
        <v>2</v>
      </c>
      <c r="I374" t="s">
        <v>651</v>
      </c>
      <c r="J374" t="s">
        <v>652</v>
      </c>
      <c r="K374" t="s">
        <v>653</v>
      </c>
      <c r="L374">
        <v>1368</v>
      </c>
      <c r="N374">
        <v>1011</v>
      </c>
      <c r="O374" t="s">
        <v>603</v>
      </c>
      <c r="P374" t="s">
        <v>603</v>
      </c>
      <c r="Q374">
        <v>1</v>
      </c>
      <c r="X374">
        <v>1.84</v>
      </c>
      <c r="Y374">
        <v>0</v>
      </c>
      <c r="Z374">
        <v>1303.01</v>
      </c>
      <c r="AA374">
        <v>826.2</v>
      </c>
      <c r="AB374">
        <v>0</v>
      </c>
      <c r="AC374">
        <v>0</v>
      </c>
      <c r="AD374">
        <v>1</v>
      </c>
      <c r="AE374">
        <v>0</v>
      </c>
      <c r="AF374" t="s">
        <v>324</v>
      </c>
      <c r="AG374">
        <v>1.2266666666666668</v>
      </c>
      <c r="AH374">
        <v>3</v>
      </c>
      <c r="AI374">
        <v>-1</v>
      </c>
      <c r="AJ374" t="s">
        <v>3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</row>
    <row r="375" spans="1:44" x14ac:dyDescent="0.2">
      <c r="A375">
        <f>ROW(Source!A470)</f>
        <v>470</v>
      </c>
      <c r="B375">
        <v>1474096922</v>
      </c>
      <c r="C375">
        <v>1472040495</v>
      </c>
      <c r="D375">
        <v>1441836235</v>
      </c>
      <c r="E375">
        <v>1</v>
      </c>
      <c r="F375">
        <v>1</v>
      </c>
      <c r="G375">
        <v>15514512</v>
      </c>
      <c r="H375">
        <v>3</v>
      </c>
      <c r="I375" t="s">
        <v>683</v>
      </c>
      <c r="J375" t="s">
        <v>684</v>
      </c>
      <c r="K375" t="s">
        <v>685</v>
      </c>
      <c r="L375">
        <v>1346</v>
      </c>
      <c r="N375">
        <v>1009</v>
      </c>
      <c r="O375" t="s">
        <v>657</v>
      </c>
      <c r="P375" t="s">
        <v>657</v>
      </c>
      <c r="Q375">
        <v>1</v>
      </c>
      <c r="X375">
        <v>0.24</v>
      </c>
      <c r="Y375">
        <v>31.49</v>
      </c>
      <c r="Z375">
        <v>0</v>
      </c>
      <c r="AA375">
        <v>0</v>
      </c>
      <c r="AB375">
        <v>0</v>
      </c>
      <c r="AC375">
        <v>0</v>
      </c>
      <c r="AD375">
        <v>1</v>
      </c>
      <c r="AE375">
        <v>0</v>
      </c>
      <c r="AF375" t="s">
        <v>324</v>
      </c>
      <c r="AG375">
        <v>0.16</v>
      </c>
      <c r="AH375">
        <v>3</v>
      </c>
      <c r="AI375">
        <v>-1</v>
      </c>
      <c r="AJ375" t="s">
        <v>3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</row>
    <row r="376" spans="1:44" x14ac:dyDescent="0.2">
      <c r="A376">
        <f>ROW(Source!A471)</f>
        <v>471</v>
      </c>
      <c r="B376">
        <v>1474096923</v>
      </c>
      <c r="C376">
        <v>1472040505</v>
      </c>
      <c r="D376">
        <v>1441819193</v>
      </c>
      <c r="E376">
        <v>15514512</v>
      </c>
      <c r="F376">
        <v>1</v>
      </c>
      <c r="G376">
        <v>15514512</v>
      </c>
      <c r="H376">
        <v>1</v>
      </c>
      <c r="I376" t="s">
        <v>648</v>
      </c>
      <c r="J376" t="s">
        <v>3</v>
      </c>
      <c r="K376" t="s">
        <v>649</v>
      </c>
      <c r="L376">
        <v>1191</v>
      </c>
      <c r="N376">
        <v>1013</v>
      </c>
      <c r="O376" t="s">
        <v>650</v>
      </c>
      <c r="P376" t="s">
        <v>650</v>
      </c>
      <c r="Q376">
        <v>1</v>
      </c>
      <c r="X376">
        <v>0.42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1</v>
      </c>
      <c r="AE376">
        <v>1</v>
      </c>
      <c r="AF376" t="s">
        <v>22</v>
      </c>
      <c r="AG376">
        <v>1.68</v>
      </c>
      <c r="AH376">
        <v>3</v>
      </c>
      <c r="AI376">
        <v>-1</v>
      </c>
      <c r="AJ376" t="s">
        <v>3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</row>
    <row r="377" spans="1:44" x14ac:dyDescent="0.2">
      <c r="A377">
        <f>ROW(Source!A471)</f>
        <v>471</v>
      </c>
      <c r="B377">
        <v>1474096924</v>
      </c>
      <c r="C377">
        <v>1472040505</v>
      </c>
      <c r="D377">
        <v>1441834258</v>
      </c>
      <c r="E377">
        <v>1</v>
      </c>
      <c r="F377">
        <v>1</v>
      </c>
      <c r="G377">
        <v>15514512</v>
      </c>
      <c r="H377">
        <v>2</v>
      </c>
      <c r="I377" t="s">
        <v>651</v>
      </c>
      <c r="J377" t="s">
        <v>652</v>
      </c>
      <c r="K377" t="s">
        <v>653</v>
      </c>
      <c r="L377">
        <v>1368</v>
      </c>
      <c r="N377">
        <v>1011</v>
      </c>
      <c r="O377" t="s">
        <v>603</v>
      </c>
      <c r="P377" t="s">
        <v>603</v>
      </c>
      <c r="Q377">
        <v>1</v>
      </c>
      <c r="X377">
        <v>0.15</v>
      </c>
      <c r="Y377">
        <v>0</v>
      </c>
      <c r="Z377">
        <v>1303.01</v>
      </c>
      <c r="AA377">
        <v>826.2</v>
      </c>
      <c r="AB377">
        <v>0</v>
      </c>
      <c r="AC377">
        <v>0</v>
      </c>
      <c r="AD377">
        <v>1</v>
      </c>
      <c r="AE377">
        <v>0</v>
      </c>
      <c r="AF377" t="s">
        <v>22</v>
      </c>
      <c r="AG377">
        <v>0.6</v>
      </c>
      <c r="AH377">
        <v>3</v>
      </c>
      <c r="AI377">
        <v>-1</v>
      </c>
      <c r="AJ377" t="s">
        <v>3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</row>
    <row r="378" spans="1:44" x14ac:dyDescent="0.2">
      <c r="A378">
        <f>ROW(Source!A471)</f>
        <v>471</v>
      </c>
      <c r="B378">
        <v>1474096925</v>
      </c>
      <c r="C378">
        <v>1472040505</v>
      </c>
      <c r="D378">
        <v>1441836235</v>
      </c>
      <c r="E378">
        <v>1</v>
      </c>
      <c r="F378">
        <v>1</v>
      </c>
      <c r="G378">
        <v>15514512</v>
      </c>
      <c r="H378">
        <v>3</v>
      </c>
      <c r="I378" t="s">
        <v>683</v>
      </c>
      <c r="J378" t="s">
        <v>684</v>
      </c>
      <c r="K378" t="s">
        <v>685</v>
      </c>
      <c r="L378">
        <v>1346</v>
      </c>
      <c r="N378">
        <v>1009</v>
      </c>
      <c r="O378" t="s">
        <v>657</v>
      </c>
      <c r="P378" t="s">
        <v>657</v>
      </c>
      <c r="Q378">
        <v>1</v>
      </c>
      <c r="X378">
        <v>0.02</v>
      </c>
      <c r="Y378">
        <v>31.49</v>
      </c>
      <c r="Z378">
        <v>0</v>
      </c>
      <c r="AA378">
        <v>0</v>
      </c>
      <c r="AB378">
        <v>0</v>
      </c>
      <c r="AC378">
        <v>0</v>
      </c>
      <c r="AD378">
        <v>1</v>
      </c>
      <c r="AE378">
        <v>0</v>
      </c>
      <c r="AF378" t="s">
        <v>22</v>
      </c>
      <c r="AG378">
        <v>0.08</v>
      </c>
      <c r="AH378">
        <v>3</v>
      </c>
      <c r="AI378">
        <v>-1</v>
      </c>
      <c r="AJ378" t="s">
        <v>3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</row>
    <row r="379" spans="1:44" x14ac:dyDescent="0.2">
      <c r="A379">
        <f>ROW(Source!A472)</f>
        <v>472</v>
      </c>
      <c r="B379">
        <v>1474096926</v>
      </c>
      <c r="C379">
        <v>1472040515</v>
      </c>
      <c r="D379">
        <v>1441819193</v>
      </c>
      <c r="E379">
        <v>15514512</v>
      </c>
      <c r="F379">
        <v>1</v>
      </c>
      <c r="G379">
        <v>15514512</v>
      </c>
      <c r="H379">
        <v>1</v>
      </c>
      <c r="I379" t="s">
        <v>648</v>
      </c>
      <c r="J379" t="s">
        <v>3</v>
      </c>
      <c r="K379" t="s">
        <v>649</v>
      </c>
      <c r="L379">
        <v>1191</v>
      </c>
      <c r="N379">
        <v>1013</v>
      </c>
      <c r="O379" t="s">
        <v>650</v>
      </c>
      <c r="P379" t="s">
        <v>650</v>
      </c>
      <c r="Q379">
        <v>1</v>
      </c>
      <c r="X379">
        <v>36.1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1</v>
      </c>
      <c r="AE379">
        <v>1</v>
      </c>
      <c r="AF379" t="s">
        <v>324</v>
      </c>
      <c r="AG379">
        <v>24.066666666666666</v>
      </c>
      <c r="AH379">
        <v>3</v>
      </c>
      <c r="AI379">
        <v>-1</v>
      </c>
      <c r="AJ379" t="s">
        <v>3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</row>
    <row r="380" spans="1:44" x14ac:dyDescent="0.2">
      <c r="A380">
        <f>ROW(Source!A472)</f>
        <v>472</v>
      </c>
      <c r="B380">
        <v>1474096927</v>
      </c>
      <c r="C380">
        <v>1472040515</v>
      </c>
      <c r="D380">
        <v>1441835475</v>
      </c>
      <c r="E380">
        <v>1</v>
      </c>
      <c r="F380">
        <v>1</v>
      </c>
      <c r="G380">
        <v>15514512</v>
      </c>
      <c r="H380">
        <v>3</v>
      </c>
      <c r="I380" t="s">
        <v>723</v>
      </c>
      <c r="J380" t="s">
        <v>724</v>
      </c>
      <c r="K380" t="s">
        <v>725</v>
      </c>
      <c r="L380">
        <v>1348</v>
      </c>
      <c r="N380">
        <v>1009</v>
      </c>
      <c r="O380" t="s">
        <v>675</v>
      </c>
      <c r="P380" t="s">
        <v>675</v>
      </c>
      <c r="Q380">
        <v>1000</v>
      </c>
      <c r="X380">
        <v>2.9999999999999997E-4</v>
      </c>
      <c r="Y380">
        <v>155908.07999999999</v>
      </c>
      <c r="Z380">
        <v>0</v>
      </c>
      <c r="AA380">
        <v>0</v>
      </c>
      <c r="AB380">
        <v>0</v>
      </c>
      <c r="AC380">
        <v>0</v>
      </c>
      <c r="AD380">
        <v>1</v>
      </c>
      <c r="AE380">
        <v>0</v>
      </c>
      <c r="AF380" t="s">
        <v>324</v>
      </c>
      <c r="AG380">
        <v>1.9999999999999998E-4</v>
      </c>
      <c r="AH380">
        <v>3</v>
      </c>
      <c r="AI380">
        <v>-1</v>
      </c>
      <c r="AJ380" t="s">
        <v>3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</row>
    <row r="381" spans="1:44" x14ac:dyDescent="0.2">
      <c r="A381">
        <f>ROW(Source!A472)</f>
        <v>472</v>
      </c>
      <c r="B381">
        <v>1474096928</v>
      </c>
      <c r="C381">
        <v>1472040515</v>
      </c>
      <c r="D381">
        <v>1441835549</v>
      </c>
      <c r="E381">
        <v>1</v>
      </c>
      <c r="F381">
        <v>1</v>
      </c>
      <c r="G381">
        <v>15514512</v>
      </c>
      <c r="H381">
        <v>3</v>
      </c>
      <c r="I381" t="s">
        <v>726</v>
      </c>
      <c r="J381" t="s">
        <v>727</v>
      </c>
      <c r="K381" t="s">
        <v>728</v>
      </c>
      <c r="L381">
        <v>1348</v>
      </c>
      <c r="N381">
        <v>1009</v>
      </c>
      <c r="O381" t="s">
        <v>675</v>
      </c>
      <c r="P381" t="s">
        <v>675</v>
      </c>
      <c r="Q381">
        <v>1000</v>
      </c>
      <c r="X381">
        <v>1E-4</v>
      </c>
      <c r="Y381">
        <v>194655.19</v>
      </c>
      <c r="Z381">
        <v>0</v>
      </c>
      <c r="AA381">
        <v>0</v>
      </c>
      <c r="AB381">
        <v>0</v>
      </c>
      <c r="AC381">
        <v>0</v>
      </c>
      <c r="AD381">
        <v>1</v>
      </c>
      <c r="AE381">
        <v>0</v>
      </c>
      <c r="AF381" t="s">
        <v>324</v>
      </c>
      <c r="AG381">
        <v>6.666666666666667E-5</v>
      </c>
      <c r="AH381">
        <v>3</v>
      </c>
      <c r="AI381">
        <v>-1</v>
      </c>
      <c r="AJ381" t="s">
        <v>3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</row>
    <row r="382" spans="1:44" x14ac:dyDescent="0.2">
      <c r="A382">
        <f>ROW(Source!A472)</f>
        <v>472</v>
      </c>
      <c r="B382">
        <v>1474096929</v>
      </c>
      <c r="C382">
        <v>1472040515</v>
      </c>
      <c r="D382">
        <v>1441836250</v>
      </c>
      <c r="E382">
        <v>1</v>
      </c>
      <c r="F382">
        <v>1</v>
      </c>
      <c r="G382">
        <v>15514512</v>
      </c>
      <c r="H382">
        <v>3</v>
      </c>
      <c r="I382" t="s">
        <v>759</v>
      </c>
      <c r="J382" t="s">
        <v>760</v>
      </c>
      <c r="K382" t="s">
        <v>761</v>
      </c>
      <c r="L382">
        <v>1327</v>
      </c>
      <c r="N382">
        <v>1005</v>
      </c>
      <c r="O382" t="s">
        <v>762</v>
      </c>
      <c r="P382" t="s">
        <v>762</v>
      </c>
      <c r="Q382">
        <v>1</v>
      </c>
      <c r="X382">
        <v>1.1000000000000001</v>
      </c>
      <c r="Y382">
        <v>149.25</v>
      </c>
      <c r="Z382">
        <v>0</v>
      </c>
      <c r="AA382">
        <v>0</v>
      </c>
      <c r="AB382">
        <v>0</v>
      </c>
      <c r="AC382">
        <v>0</v>
      </c>
      <c r="AD382">
        <v>1</v>
      </c>
      <c r="AE382">
        <v>0</v>
      </c>
      <c r="AF382" t="s">
        <v>324</v>
      </c>
      <c r="AG382">
        <v>0.73333333333333339</v>
      </c>
      <c r="AH382">
        <v>3</v>
      </c>
      <c r="AI382">
        <v>-1</v>
      </c>
      <c r="AJ382" t="s">
        <v>3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</row>
    <row r="383" spans="1:44" x14ac:dyDescent="0.2">
      <c r="A383">
        <f>ROW(Source!A472)</f>
        <v>472</v>
      </c>
      <c r="B383">
        <v>1474096930</v>
      </c>
      <c r="C383">
        <v>1472040515</v>
      </c>
      <c r="D383">
        <v>1441834635</v>
      </c>
      <c r="E383">
        <v>1</v>
      </c>
      <c r="F383">
        <v>1</v>
      </c>
      <c r="G383">
        <v>15514512</v>
      </c>
      <c r="H383">
        <v>3</v>
      </c>
      <c r="I383" t="s">
        <v>738</v>
      </c>
      <c r="J383" t="s">
        <v>739</v>
      </c>
      <c r="K383" t="s">
        <v>740</v>
      </c>
      <c r="L383">
        <v>1339</v>
      </c>
      <c r="N383">
        <v>1007</v>
      </c>
      <c r="O383" t="s">
        <v>679</v>
      </c>
      <c r="P383" t="s">
        <v>679</v>
      </c>
      <c r="Q383">
        <v>1</v>
      </c>
      <c r="X383">
        <v>0.5</v>
      </c>
      <c r="Y383">
        <v>103.4</v>
      </c>
      <c r="Z383">
        <v>0</v>
      </c>
      <c r="AA383">
        <v>0</v>
      </c>
      <c r="AB383">
        <v>0</v>
      </c>
      <c r="AC383">
        <v>0</v>
      </c>
      <c r="AD383">
        <v>1</v>
      </c>
      <c r="AE383">
        <v>0</v>
      </c>
      <c r="AF383" t="s">
        <v>324</v>
      </c>
      <c r="AG383">
        <v>0.33333333333333331</v>
      </c>
      <c r="AH383">
        <v>3</v>
      </c>
      <c r="AI383">
        <v>-1</v>
      </c>
      <c r="AJ383" t="s">
        <v>3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</row>
    <row r="384" spans="1:44" x14ac:dyDescent="0.2">
      <c r="A384">
        <f>ROW(Source!A472)</f>
        <v>472</v>
      </c>
      <c r="B384">
        <v>1474096931</v>
      </c>
      <c r="C384">
        <v>1472040515</v>
      </c>
      <c r="D384">
        <v>1441834627</v>
      </c>
      <c r="E384">
        <v>1</v>
      </c>
      <c r="F384">
        <v>1</v>
      </c>
      <c r="G384">
        <v>15514512</v>
      </c>
      <c r="H384">
        <v>3</v>
      </c>
      <c r="I384" t="s">
        <v>741</v>
      </c>
      <c r="J384" t="s">
        <v>742</v>
      </c>
      <c r="K384" t="s">
        <v>743</v>
      </c>
      <c r="L384">
        <v>1339</v>
      </c>
      <c r="N384">
        <v>1007</v>
      </c>
      <c r="O384" t="s">
        <v>679</v>
      </c>
      <c r="P384" t="s">
        <v>679</v>
      </c>
      <c r="Q384">
        <v>1</v>
      </c>
      <c r="X384">
        <v>0.3</v>
      </c>
      <c r="Y384">
        <v>875.46</v>
      </c>
      <c r="Z384">
        <v>0</v>
      </c>
      <c r="AA384">
        <v>0</v>
      </c>
      <c r="AB384">
        <v>0</v>
      </c>
      <c r="AC384">
        <v>0</v>
      </c>
      <c r="AD384">
        <v>1</v>
      </c>
      <c r="AE384">
        <v>0</v>
      </c>
      <c r="AF384" t="s">
        <v>324</v>
      </c>
      <c r="AG384">
        <v>0.19999999999999998</v>
      </c>
      <c r="AH384">
        <v>3</v>
      </c>
      <c r="AI384">
        <v>-1</v>
      </c>
      <c r="AJ384" t="s">
        <v>3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</row>
    <row r="385" spans="1:44" x14ac:dyDescent="0.2">
      <c r="A385">
        <f>ROW(Source!A472)</f>
        <v>472</v>
      </c>
      <c r="B385">
        <v>1474096932</v>
      </c>
      <c r="C385">
        <v>1472040515</v>
      </c>
      <c r="D385">
        <v>1441834671</v>
      </c>
      <c r="E385">
        <v>1</v>
      </c>
      <c r="F385">
        <v>1</v>
      </c>
      <c r="G385">
        <v>15514512</v>
      </c>
      <c r="H385">
        <v>3</v>
      </c>
      <c r="I385" t="s">
        <v>744</v>
      </c>
      <c r="J385" t="s">
        <v>745</v>
      </c>
      <c r="K385" t="s">
        <v>746</v>
      </c>
      <c r="L385">
        <v>1348</v>
      </c>
      <c r="N385">
        <v>1009</v>
      </c>
      <c r="O385" t="s">
        <v>675</v>
      </c>
      <c r="P385" t="s">
        <v>675</v>
      </c>
      <c r="Q385">
        <v>1000</v>
      </c>
      <c r="X385">
        <v>1E-4</v>
      </c>
      <c r="Y385">
        <v>184462.17</v>
      </c>
      <c r="Z385">
        <v>0</v>
      </c>
      <c r="AA385">
        <v>0</v>
      </c>
      <c r="AB385">
        <v>0</v>
      </c>
      <c r="AC385">
        <v>0</v>
      </c>
      <c r="AD385">
        <v>1</v>
      </c>
      <c r="AE385">
        <v>0</v>
      </c>
      <c r="AF385" t="s">
        <v>324</v>
      </c>
      <c r="AG385">
        <v>6.666666666666667E-5</v>
      </c>
      <c r="AH385">
        <v>3</v>
      </c>
      <c r="AI385">
        <v>-1</v>
      </c>
      <c r="AJ385" t="s">
        <v>3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</row>
    <row r="386" spans="1:44" x14ac:dyDescent="0.2">
      <c r="A386">
        <f>ROW(Source!A472)</f>
        <v>472</v>
      </c>
      <c r="B386">
        <v>1474096933</v>
      </c>
      <c r="C386">
        <v>1472040515</v>
      </c>
      <c r="D386">
        <v>1441834634</v>
      </c>
      <c r="E386">
        <v>1</v>
      </c>
      <c r="F386">
        <v>1</v>
      </c>
      <c r="G386">
        <v>15514512</v>
      </c>
      <c r="H386">
        <v>3</v>
      </c>
      <c r="I386" t="s">
        <v>747</v>
      </c>
      <c r="J386" t="s">
        <v>748</v>
      </c>
      <c r="K386" t="s">
        <v>749</v>
      </c>
      <c r="L386">
        <v>1348</v>
      </c>
      <c r="N386">
        <v>1009</v>
      </c>
      <c r="O386" t="s">
        <v>675</v>
      </c>
      <c r="P386" t="s">
        <v>675</v>
      </c>
      <c r="Q386">
        <v>1000</v>
      </c>
      <c r="X386">
        <v>2.9999999999999997E-4</v>
      </c>
      <c r="Y386">
        <v>88053.759999999995</v>
      </c>
      <c r="Z386">
        <v>0</v>
      </c>
      <c r="AA386">
        <v>0</v>
      </c>
      <c r="AB386">
        <v>0</v>
      </c>
      <c r="AC386">
        <v>0</v>
      </c>
      <c r="AD386">
        <v>1</v>
      </c>
      <c r="AE386">
        <v>0</v>
      </c>
      <c r="AF386" t="s">
        <v>324</v>
      </c>
      <c r="AG386">
        <v>1.9999999999999998E-4</v>
      </c>
      <c r="AH386">
        <v>3</v>
      </c>
      <c r="AI386">
        <v>-1</v>
      </c>
      <c r="AJ386" t="s">
        <v>3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</row>
    <row r="387" spans="1:44" x14ac:dyDescent="0.2">
      <c r="A387">
        <f>ROW(Source!A472)</f>
        <v>472</v>
      </c>
      <c r="B387">
        <v>1474096934</v>
      </c>
      <c r="C387">
        <v>1472040515</v>
      </c>
      <c r="D387">
        <v>1441834836</v>
      </c>
      <c r="E387">
        <v>1</v>
      </c>
      <c r="F387">
        <v>1</v>
      </c>
      <c r="G387">
        <v>15514512</v>
      </c>
      <c r="H387">
        <v>3</v>
      </c>
      <c r="I387" t="s">
        <v>750</v>
      </c>
      <c r="J387" t="s">
        <v>751</v>
      </c>
      <c r="K387" t="s">
        <v>752</v>
      </c>
      <c r="L387">
        <v>1348</v>
      </c>
      <c r="N387">
        <v>1009</v>
      </c>
      <c r="O387" t="s">
        <v>675</v>
      </c>
      <c r="P387" t="s">
        <v>675</v>
      </c>
      <c r="Q387">
        <v>1000</v>
      </c>
      <c r="X387">
        <v>6.3000000000000003E-4</v>
      </c>
      <c r="Y387">
        <v>93194.67</v>
      </c>
      <c r="Z387">
        <v>0</v>
      </c>
      <c r="AA387">
        <v>0</v>
      </c>
      <c r="AB387">
        <v>0</v>
      </c>
      <c r="AC387">
        <v>0</v>
      </c>
      <c r="AD387">
        <v>1</v>
      </c>
      <c r="AE387">
        <v>0</v>
      </c>
      <c r="AF387" t="s">
        <v>324</v>
      </c>
      <c r="AG387">
        <v>4.2000000000000002E-4</v>
      </c>
      <c r="AH387">
        <v>3</v>
      </c>
      <c r="AI387">
        <v>-1</v>
      </c>
      <c r="AJ387" t="s">
        <v>3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</row>
    <row r="388" spans="1:44" x14ac:dyDescent="0.2">
      <c r="A388">
        <f>ROW(Source!A472)</f>
        <v>472</v>
      </c>
      <c r="B388">
        <v>1474096935</v>
      </c>
      <c r="C388">
        <v>1472040515</v>
      </c>
      <c r="D388">
        <v>1441822273</v>
      </c>
      <c r="E388">
        <v>15514512</v>
      </c>
      <c r="F388">
        <v>1</v>
      </c>
      <c r="G388">
        <v>15514512</v>
      </c>
      <c r="H388">
        <v>3</v>
      </c>
      <c r="I388" t="s">
        <v>705</v>
      </c>
      <c r="J388" t="s">
        <v>3</v>
      </c>
      <c r="K388" t="s">
        <v>707</v>
      </c>
      <c r="L388">
        <v>1348</v>
      </c>
      <c r="N388">
        <v>1009</v>
      </c>
      <c r="O388" t="s">
        <v>675</v>
      </c>
      <c r="P388" t="s">
        <v>675</v>
      </c>
      <c r="Q388">
        <v>1000</v>
      </c>
      <c r="X388">
        <v>6.9999999999999994E-5</v>
      </c>
      <c r="Y388">
        <v>94640</v>
      </c>
      <c r="Z388">
        <v>0</v>
      </c>
      <c r="AA388">
        <v>0</v>
      </c>
      <c r="AB388">
        <v>0</v>
      </c>
      <c r="AC388">
        <v>0</v>
      </c>
      <c r="AD388">
        <v>1</v>
      </c>
      <c r="AE388">
        <v>0</v>
      </c>
      <c r="AF388" t="s">
        <v>324</v>
      </c>
      <c r="AG388">
        <v>4.6666666666666665E-5</v>
      </c>
      <c r="AH388">
        <v>3</v>
      </c>
      <c r="AI388">
        <v>-1</v>
      </c>
      <c r="AJ388" t="s">
        <v>3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</row>
    <row r="389" spans="1:44" x14ac:dyDescent="0.2">
      <c r="A389">
        <f>ROW(Source!A473)</f>
        <v>473</v>
      </c>
      <c r="B389">
        <v>1474096936</v>
      </c>
      <c r="C389">
        <v>1472040546</v>
      </c>
      <c r="D389">
        <v>1441819193</v>
      </c>
      <c r="E389">
        <v>15514512</v>
      </c>
      <c r="F389">
        <v>1</v>
      </c>
      <c r="G389">
        <v>15514512</v>
      </c>
      <c r="H389">
        <v>1</v>
      </c>
      <c r="I389" t="s">
        <v>648</v>
      </c>
      <c r="J389" t="s">
        <v>3</v>
      </c>
      <c r="K389" t="s">
        <v>649</v>
      </c>
      <c r="L389">
        <v>1191</v>
      </c>
      <c r="N389">
        <v>1013</v>
      </c>
      <c r="O389" t="s">
        <v>650</v>
      </c>
      <c r="P389" t="s">
        <v>650</v>
      </c>
      <c r="Q389">
        <v>1</v>
      </c>
      <c r="X389">
        <v>5.5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1</v>
      </c>
      <c r="AE389">
        <v>1</v>
      </c>
      <c r="AF389" t="s">
        <v>3</v>
      </c>
      <c r="AG389">
        <v>5.5</v>
      </c>
      <c r="AH389">
        <v>3</v>
      </c>
      <c r="AI389">
        <v>-1</v>
      </c>
      <c r="AJ389" t="s">
        <v>3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</row>
    <row r="390" spans="1:44" x14ac:dyDescent="0.2">
      <c r="A390">
        <f>ROW(Source!A473)</f>
        <v>473</v>
      </c>
      <c r="B390">
        <v>1474096937</v>
      </c>
      <c r="C390">
        <v>1472040546</v>
      </c>
      <c r="D390">
        <v>1441836235</v>
      </c>
      <c r="E390">
        <v>1</v>
      </c>
      <c r="F390">
        <v>1</v>
      </c>
      <c r="G390">
        <v>15514512</v>
      </c>
      <c r="H390">
        <v>3</v>
      </c>
      <c r="I390" t="s">
        <v>683</v>
      </c>
      <c r="J390" t="s">
        <v>684</v>
      </c>
      <c r="K390" t="s">
        <v>685</v>
      </c>
      <c r="L390">
        <v>1346</v>
      </c>
      <c r="N390">
        <v>1009</v>
      </c>
      <c r="O390" t="s">
        <v>657</v>
      </c>
      <c r="P390" t="s">
        <v>657</v>
      </c>
      <c r="Q390">
        <v>1</v>
      </c>
      <c r="X390">
        <v>0.02</v>
      </c>
      <c r="Y390">
        <v>31.49</v>
      </c>
      <c r="Z390">
        <v>0</v>
      </c>
      <c r="AA390">
        <v>0</v>
      </c>
      <c r="AB390">
        <v>0</v>
      </c>
      <c r="AC390">
        <v>0</v>
      </c>
      <c r="AD390">
        <v>1</v>
      </c>
      <c r="AE390">
        <v>0</v>
      </c>
      <c r="AF390" t="s">
        <v>3</v>
      </c>
      <c r="AG390">
        <v>0.02</v>
      </c>
      <c r="AH390">
        <v>3</v>
      </c>
      <c r="AI390">
        <v>-1</v>
      </c>
      <c r="AJ390" t="s">
        <v>3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</row>
    <row r="391" spans="1:44" x14ac:dyDescent="0.2">
      <c r="A391">
        <f>ROW(Source!A473)</f>
        <v>473</v>
      </c>
      <c r="B391">
        <v>1474096938</v>
      </c>
      <c r="C391">
        <v>1472040546</v>
      </c>
      <c r="D391">
        <v>1441821379</v>
      </c>
      <c r="E391">
        <v>15514512</v>
      </c>
      <c r="F391">
        <v>1</v>
      </c>
      <c r="G391">
        <v>15514512</v>
      </c>
      <c r="H391">
        <v>3</v>
      </c>
      <c r="I391" t="s">
        <v>703</v>
      </c>
      <c r="J391" t="s">
        <v>3</v>
      </c>
      <c r="K391" t="s">
        <v>704</v>
      </c>
      <c r="L391">
        <v>1346</v>
      </c>
      <c r="N391">
        <v>1009</v>
      </c>
      <c r="O391" t="s">
        <v>657</v>
      </c>
      <c r="P391" t="s">
        <v>657</v>
      </c>
      <c r="Q391">
        <v>1</v>
      </c>
      <c r="X391">
        <v>2.4E-2</v>
      </c>
      <c r="Y391">
        <v>89.933959999999999</v>
      </c>
      <c r="Z391">
        <v>0</v>
      </c>
      <c r="AA391">
        <v>0</v>
      </c>
      <c r="AB391">
        <v>0</v>
      </c>
      <c r="AC391">
        <v>0</v>
      </c>
      <c r="AD391">
        <v>1</v>
      </c>
      <c r="AE391">
        <v>0</v>
      </c>
      <c r="AF391" t="s">
        <v>3</v>
      </c>
      <c r="AG391">
        <v>2.4E-2</v>
      </c>
      <c r="AH391">
        <v>3</v>
      </c>
      <c r="AI391">
        <v>-1</v>
      </c>
      <c r="AJ391" t="s">
        <v>3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</row>
    <row r="392" spans="1:44" x14ac:dyDescent="0.2">
      <c r="A392">
        <f>ROW(Source!A474)</f>
        <v>474</v>
      </c>
      <c r="B392">
        <v>1474096939</v>
      </c>
      <c r="C392">
        <v>1472040556</v>
      </c>
      <c r="D392">
        <v>1441819193</v>
      </c>
      <c r="E392">
        <v>15514512</v>
      </c>
      <c r="F392">
        <v>1</v>
      </c>
      <c r="G392">
        <v>15514512</v>
      </c>
      <c r="H392">
        <v>1</v>
      </c>
      <c r="I392" t="s">
        <v>648</v>
      </c>
      <c r="J392" t="s">
        <v>3</v>
      </c>
      <c r="K392" t="s">
        <v>649</v>
      </c>
      <c r="L392">
        <v>1191</v>
      </c>
      <c r="N392">
        <v>1013</v>
      </c>
      <c r="O392" t="s">
        <v>650</v>
      </c>
      <c r="P392" t="s">
        <v>650</v>
      </c>
      <c r="Q392">
        <v>1</v>
      </c>
      <c r="X392">
        <v>2.38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1</v>
      </c>
      <c r="AE392">
        <v>1</v>
      </c>
      <c r="AF392" t="s">
        <v>164</v>
      </c>
      <c r="AG392">
        <v>4.76</v>
      </c>
      <c r="AH392">
        <v>3</v>
      </c>
      <c r="AI392">
        <v>-1</v>
      </c>
      <c r="AJ392" t="s">
        <v>3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</row>
    <row r="393" spans="1:44" x14ac:dyDescent="0.2">
      <c r="A393">
        <f>ROW(Source!A474)</f>
        <v>474</v>
      </c>
      <c r="B393">
        <v>1474096940</v>
      </c>
      <c r="C393">
        <v>1472040556</v>
      </c>
      <c r="D393">
        <v>1441836235</v>
      </c>
      <c r="E393">
        <v>1</v>
      </c>
      <c r="F393">
        <v>1</v>
      </c>
      <c r="G393">
        <v>15514512</v>
      </c>
      <c r="H393">
        <v>3</v>
      </c>
      <c r="I393" t="s">
        <v>683</v>
      </c>
      <c r="J393" t="s">
        <v>684</v>
      </c>
      <c r="K393" t="s">
        <v>685</v>
      </c>
      <c r="L393">
        <v>1346</v>
      </c>
      <c r="N393">
        <v>1009</v>
      </c>
      <c r="O393" t="s">
        <v>657</v>
      </c>
      <c r="P393" t="s">
        <v>657</v>
      </c>
      <c r="Q393">
        <v>1</v>
      </c>
      <c r="X393">
        <v>1E-3</v>
      </c>
      <c r="Y393">
        <v>31.49</v>
      </c>
      <c r="Z393">
        <v>0</v>
      </c>
      <c r="AA393">
        <v>0</v>
      </c>
      <c r="AB393">
        <v>0</v>
      </c>
      <c r="AC393">
        <v>0</v>
      </c>
      <c r="AD393">
        <v>1</v>
      </c>
      <c r="AE393">
        <v>0</v>
      </c>
      <c r="AF393" t="s">
        <v>164</v>
      </c>
      <c r="AG393">
        <v>2E-3</v>
      </c>
      <c r="AH393">
        <v>3</v>
      </c>
      <c r="AI393">
        <v>-1</v>
      </c>
      <c r="AJ393" t="s">
        <v>3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</row>
    <row r="394" spans="1:44" x14ac:dyDescent="0.2">
      <c r="A394">
        <f>ROW(Source!A475)</f>
        <v>475</v>
      </c>
      <c r="B394">
        <v>1474096941</v>
      </c>
      <c r="C394">
        <v>1472040563</v>
      </c>
      <c r="D394">
        <v>1441819193</v>
      </c>
      <c r="E394">
        <v>15514512</v>
      </c>
      <c r="F394">
        <v>1</v>
      </c>
      <c r="G394">
        <v>15514512</v>
      </c>
      <c r="H394">
        <v>1</v>
      </c>
      <c r="I394" t="s">
        <v>648</v>
      </c>
      <c r="J394" t="s">
        <v>3</v>
      </c>
      <c r="K394" t="s">
        <v>649</v>
      </c>
      <c r="L394">
        <v>1191</v>
      </c>
      <c r="N394">
        <v>1013</v>
      </c>
      <c r="O394" t="s">
        <v>650</v>
      </c>
      <c r="P394" t="s">
        <v>650</v>
      </c>
      <c r="Q394">
        <v>1</v>
      </c>
      <c r="X394">
        <v>1.1000000000000001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1</v>
      </c>
      <c r="AE394">
        <v>1</v>
      </c>
      <c r="AF394" t="s">
        <v>164</v>
      </c>
      <c r="AG394">
        <v>2.2000000000000002</v>
      </c>
      <c r="AH394">
        <v>3</v>
      </c>
      <c r="AI394">
        <v>-1</v>
      </c>
      <c r="AJ394" t="s">
        <v>3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</row>
    <row r="395" spans="1:44" x14ac:dyDescent="0.2">
      <c r="A395">
        <f>ROW(Source!A475)</f>
        <v>475</v>
      </c>
      <c r="B395">
        <v>1474096942</v>
      </c>
      <c r="C395">
        <v>1472040563</v>
      </c>
      <c r="D395">
        <v>1441836235</v>
      </c>
      <c r="E395">
        <v>1</v>
      </c>
      <c r="F395">
        <v>1</v>
      </c>
      <c r="G395">
        <v>15514512</v>
      </c>
      <c r="H395">
        <v>3</v>
      </c>
      <c r="I395" t="s">
        <v>683</v>
      </c>
      <c r="J395" t="s">
        <v>684</v>
      </c>
      <c r="K395" t="s">
        <v>685</v>
      </c>
      <c r="L395">
        <v>1346</v>
      </c>
      <c r="N395">
        <v>1009</v>
      </c>
      <c r="O395" t="s">
        <v>657</v>
      </c>
      <c r="P395" t="s">
        <v>657</v>
      </c>
      <c r="Q395">
        <v>1</v>
      </c>
      <c r="X395">
        <v>1.1999999999999999E-3</v>
      </c>
      <c r="Y395">
        <v>31.49</v>
      </c>
      <c r="Z395">
        <v>0</v>
      </c>
      <c r="AA395">
        <v>0</v>
      </c>
      <c r="AB395">
        <v>0</v>
      </c>
      <c r="AC395">
        <v>0</v>
      </c>
      <c r="AD395">
        <v>1</v>
      </c>
      <c r="AE395">
        <v>0</v>
      </c>
      <c r="AF395" t="s">
        <v>164</v>
      </c>
      <c r="AG395">
        <v>2.3999999999999998E-3</v>
      </c>
      <c r="AH395">
        <v>3</v>
      </c>
      <c r="AI395">
        <v>-1</v>
      </c>
      <c r="AJ395" t="s">
        <v>3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</row>
    <row r="396" spans="1:44" x14ac:dyDescent="0.2">
      <c r="A396">
        <f>ROW(Source!A476)</f>
        <v>476</v>
      </c>
      <c r="B396">
        <v>1474096943</v>
      </c>
      <c r="C396">
        <v>1472040570</v>
      </c>
      <c r="D396">
        <v>1441819193</v>
      </c>
      <c r="E396">
        <v>15514512</v>
      </c>
      <c r="F396">
        <v>1</v>
      </c>
      <c r="G396">
        <v>15514512</v>
      </c>
      <c r="H396">
        <v>1</v>
      </c>
      <c r="I396" t="s">
        <v>648</v>
      </c>
      <c r="J396" t="s">
        <v>3</v>
      </c>
      <c r="K396" t="s">
        <v>649</v>
      </c>
      <c r="L396">
        <v>1191</v>
      </c>
      <c r="N396">
        <v>1013</v>
      </c>
      <c r="O396" t="s">
        <v>650</v>
      </c>
      <c r="P396" t="s">
        <v>650</v>
      </c>
      <c r="Q396">
        <v>1</v>
      </c>
      <c r="X396">
        <v>42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1</v>
      </c>
      <c r="AE396">
        <v>1</v>
      </c>
      <c r="AF396" t="s">
        <v>324</v>
      </c>
      <c r="AG396">
        <v>28</v>
      </c>
      <c r="AH396">
        <v>3</v>
      </c>
      <c r="AI396">
        <v>-1</v>
      </c>
      <c r="AJ396" t="s">
        <v>3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</row>
    <row r="397" spans="1:44" x14ac:dyDescent="0.2">
      <c r="A397">
        <f>ROW(Source!A476)</f>
        <v>476</v>
      </c>
      <c r="B397">
        <v>1474096944</v>
      </c>
      <c r="C397">
        <v>1472040570</v>
      </c>
      <c r="D397">
        <v>1441835475</v>
      </c>
      <c r="E397">
        <v>1</v>
      </c>
      <c r="F397">
        <v>1</v>
      </c>
      <c r="G397">
        <v>15514512</v>
      </c>
      <c r="H397">
        <v>3</v>
      </c>
      <c r="I397" t="s">
        <v>723</v>
      </c>
      <c r="J397" t="s">
        <v>724</v>
      </c>
      <c r="K397" t="s">
        <v>725</v>
      </c>
      <c r="L397">
        <v>1348</v>
      </c>
      <c r="N397">
        <v>1009</v>
      </c>
      <c r="O397" t="s">
        <v>675</v>
      </c>
      <c r="P397" t="s">
        <v>675</v>
      </c>
      <c r="Q397">
        <v>1000</v>
      </c>
      <c r="X397">
        <v>2.9999999999999997E-4</v>
      </c>
      <c r="Y397">
        <v>155908.07999999999</v>
      </c>
      <c r="Z397">
        <v>0</v>
      </c>
      <c r="AA397">
        <v>0</v>
      </c>
      <c r="AB397">
        <v>0</v>
      </c>
      <c r="AC397">
        <v>0</v>
      </c>
      <c r="AD397">
        <v>1</v>
      </c>
      <c r="AE397">
        <v>0</v>
      </c>
      <c r="AF397" t="s">
        <v>324</v>
      </c>
      <c r="AG397">
        <v>1.9999999999999998E-4</v>
      </c>
      <c r="AH397">
        <v>3</v>
      </c>
      <c r="AI397">
        <v>-1</v>
      </c>
      <c r="AJ397" t="s">
        <v>3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</row>
    <row r="398" spans="1:44" x14ac:dyDescent="0.2">
      <c r="A398">
        <f>ROW(Source!A476)</f>
        <v>476</v>
      </c>
      <c r="B398">
        <v>1474096945</v>
      </c>
      <c r="C398">
        <v>1472040570</v>
      </c>
      <c r="D398">
        <v>1441835549</v>
      </c>
      <c r="E398">
        <v>1</v>
      </c>
      <c r="F398">
        <v>1</v>
      </c>
      <c r="G398">
        <v>15514512</v>
      </c>
      <c r="H398">
        <v>3</v>
      </c>
      <c r="I398" t="s">
        <v>726</v>
      </c>
      <c r="J398" t="s">
        <v>727</v>
      </c>
      <c r="K398" t="s">
        <v>728</v>
      </c>
      <c r="L398">
        <v>1348</v>
      </c>
      <c r="N398">
        <v>1009</v>
      </c>
      <c r="O398" t="s">
        <v>675</v>
      </c>
      <c r="P398" t="s">
        <v>675</v>
      </c>
      <c r="Q398">
        <v>1000</v>
      </c>
      <c r="X398">
        <v>1E-4</v>
      </c>
      <c r="Y398">
        <v>194655.19</v>
      </c>
      <c r="Z398">
        <v>0</v>
      </c>
      <c r="AA398">
        <v>0</v>
      </c>
      <c r="AB398">
        <v>0</v>
      </c>
      <c r="AC398">
        <v>0</v>
      </c>
      <c r="AD398">
        <v>1</v>
      </c>
      <c r="AE398">
        <v>0</v>
      </c>
      <c r="AF398" t="s">
        <v>324</v>
      </c>
      <c r="AG398">
        <v>6.666666666666667E-5</v>
      </c>
      <c r="AH398">
        <v>3</v>
      </c>
      <c r="AI398">
        <v>-1</v>
      </c>
      <c r="AJ398" t="s">
        <v>3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</row>
    <row r="399" spans="1:44" x14ac:dyDescent="0.2">
      <c r="A399">
        <f>ROW(Source!A476)</f>
        <v>476</v>
      </c>
      <c r="B399">
        <v>1474096946</v>
      </c>
      <c r="C399">
        <v>1472040570</v>
      </c>
      <c r="D399">
        <v>1441836250</v>
      </c>
      <c r="E399">
        <v>1</v>
      </c>
      <c r="F399">
        <v>1</v>
      </c>
      <c r="G399">
        <v>15514512</v>
      </c>
      <c r="H399">
        <v>3</v>
      </c>
      <c r="I399" t="s">
        <v>759</v>
      </c>
      <c r="J399" t="s">
        <v>760</v>
      </c>
      <c r="K399" t="s">
        <v>761</v>
      </c>
      <c r="L399">
        <v>1327</v>
      </c>
      <c r="N399">
        <v>1005</v>
      </c>
      <c r="O399" t="s">
        <v>762</v>
      </c>
      <c r="P399" t="s">
        <v>762</v>
      </c>
      <c r="Q399">
        <v>1</v>
      </c>
      <c r="X399">
        <v>1.4</v>
      </c>
      <c r="Y399">
        <v>149.25</v>
      </c>
      <c r="Z399">
        <v>0</v>
      </c>
      <c r="AA399">
        <v>0</v>
      </c>
      <c r="AB399">
        <v>0</v>
      </c>
      <c r="AC399">
        <v>0</v>
      </c>
      <c r="AD399">
        <v>1</v>
      </c>
      <c r="AE399">
        <v>0</v>
      </c>
      <c r="AF399" t="s">
        <v>324</v>
      </c>
      <c r="AG399">
        <v>0.93333333333333324</v>
      </c>
      <c r="AH399">
        <v>3</v>
      </c>
      <c r="AI399">
        <v>-1</v>
      </c>
      <c r="AJ399" t="s">
        <v>3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</row>
    <row r="400" spans="1:44" x14ac:dyDescent="0.2">
      <c r="A400">
        <f>ROW(Source!A476)</f>
        <v>476</v>
      </c>
      <c r="B400">
        <v>1474096947</v>
      </c>
      <c r="C400">
        <v>1472040570</v>
      </c>
      <c r="D400">
        <v>1441834635</v>
      </c>
      <c r="E400">
        <v>1</v>
      </c>
      <c r="F400">
        <v>1</v>
      </c>
      <c r="G400">
        <v>15514512</v>
      </c>
      <c r="H400">
        <v>3</v>
      </c>
      <c r="I400" t="s">
        <v>738</v>
      </c>
      <c r="J400" t="s">
        <v>739</v>
      </c>
      <c r="K400" t="s">
        <v>740</v>
      </c>
      <c r="L400">
        <v>1339</v>
      </c>
      <c r="N400">
        <v>1007</v>
      </c>
      <c r="O400" t="s">
        <v>679</v>
      </c>
      <c r="P400" t="s">
        <v>679</v>
      </c>
      <c r="Q400">
        <v>1</v>
      </c>
      <c r="X400">
        <v>0.5</v>
      </c>
      <c r="Y400">
        <v>103.4</v>
      </c>
      <c r="Z400">
        <v>0</v>
      </c>
      <c r="AA400">
        <v>0</v>
      </c>
      <c r="AB400">
        <v>0</v>
      </c>
      <c r="AC400">
        <v>0</v>
      </c>
      <c r="AD400">
        <v>1</v>
      </c>
      <c r="AE400">
        <v>0</v>
      </c>
      <c r="AF400" t="s">
        <v>324</v>
      </c>
      <c r="AG400">
        <v>0.33333333333333331</v>
      </c>
      <c r="AH400">
        <v>3</v>
      </c>
      <c r="AI400">
        <v>-1</v>
      </c>
      <c r="AJ400" t="s">
        <v>3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</row>
    <row r="401" spans="1:44" x14ac:dyDescent="0.2">
      <c r="A401">
        <f>ROW(Source!A476)</f>
        <v>476</v>
      </c>
      <c r="B401">
        <v>1474096948</v>
      </c>
      <c r="C401">
        <v>1472040570</v>
      </c>
      <c r="D401">
        <v>1441834627</v>
      </c>
      <c r="E401">
        <v>1</v>
      </c>
      <c r="F401">
        <v>1</v>
      </c>
      <c r="G401">
        <v>15514512</v>
      </c>
      <c r="H401">
        <v>3</v>
      </c>
      <c r="I401" t="s">
        <v>741</v>
      </c>
      <c r="J401" t="s">
        <v>742</v>
      </c>
      <c r="K401" t="s">
        <v>743</v>
      </c>
      <c r="L401">
        <v>1339</v>
      </c>
      <c r="N401">
        <v>1007</v>
      </c>
      <c r="O401" t="s">
        <v>679</v>
      </c>
      <c r="P401" t="s">
        <v>679</v>
      </c>
      <c r="Q401">
        <v>1</v>
      </c>
      <c r="X401">
        <v>0.3</v>
      </c>
      <c r="Y401">
        <v>875.46</v>
      </c>
      <c r="Z401">
        <v>0</v>
      </c>
      <c r="AA401">
        <v>0</v>
      </c>
      <c r="AB401">
        <v>0</v>
      </c>
      <c r="AC401">
        <v>0</v>
      </c>
      <c r="AD401">
        <v>1</v>
      </c>
      <c r="AE401">
        <v>0</v>
      </c>
      <c r="AF401" t="s">
        <v>324</v>
      </c>
      <c r="AG401">
        <v>0.19999999999999998</v>
      </c>
      <c r="AH401">
        <v>3</v>
      </c>
      <c r="AI401">
        <v>-1</v>
      </c>
      <c r="AJ401" t="s">
        <v>3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</row>
    <row r="402" spans="1:44" x14ac:dyDescent="0.2">
      <c r="A402">
        <f>ROW(Source!A476)</f>
        <v>476</v>
      </c>
      <c r="B402">
        <v>1474096949</v>
      </c>
      <c r="C402">
        <v>1472040570</v>
      </c>
      <c r="D402">
        <v>1441834671</v>
      </c>
      <c r="E402">
        <v>1</v>
      </c>
      <c r="F402">
        <v>1</v>
      </c>
      <c r="G402">
        <v>15514512</v>
      </c>
      <c r="H402">
        <v>3</v>
      </c>
      <c r="I402" t="s">
        <v>744</v>
      </c>
      <c r="J402" t="s">
        <v>745</v>
      </c>
      <c r="K402" t="s">
        <v>746</v>
      </c>
      <c r="L402">
        <v>1348</v>
      </c>
      <c r="N402">
        <v>1009</v>
      </c>
      <c r="O402" t="s">
        <v>675</v>
      </c>
      <c r="P402" t="s">
        <v>675</v>
      </c>
      <c r="Q402">
        <v>1000</v>
      </c>
      <c r="X402">
        <v>1E-4</v>
      </c>
      <c r="Y402">
        <v>184462.17</v>
      </c>
      <c r="Z402">
        <v>0</v>
      </c>
      <c r="AA402">
        <v>0</v>
      </c>
      <c r="AB402">
        <v>0</v>
      </c>
      <c r="AC402">
        <v>0</v>
      </c>
      <c r="AD402">
        <v>1</v>
      </c>
      <c r="AE402">
        <v>0</v>
      </c>
      <c r="AF402" t="s">
        <v>324</v>
      </c>
      <c r="AG402">
        <v>6.666666666666667E-5</v>
      </c>
      <c r="AH402">
        <v>3</v>
      </c>
      <c r="AI402">
        <v>-1</v>
      </c>
      <c r="AJ402" t="s">
        <v>3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</row>
    <row r="403" spans="1:44" x14ac:dyDescent="0.2">
      <c r="A403">
        <f>ROW(Source!A476)</f>
        <v>476</v>
      </c>
      <c r="B403">
        <v>1474096950</v>
      </c>
      <c r="C403">
        <v>1472040570</v>
      </c>
      <c r="D403">
        <v>1441834634</v>
      </c>
      <c r="E403">
        <v>1</v>
      </c>
      <c r="F403">
        <v>1</v>
      </c>
      <c r="G403">
        <v>15514512</v>
      </c>
      <c r="H403">
        <v>3</v>
      </c>
      <c r="I403" t="s">
        <v>747</v>
      </c>
      <c r="J403" t="s">
        <v>748</v>
      </c>
      <c r="K403" t="s">
        <v>749</v>
      </c>
      <c r="L403">
        <v>1348</v>
      </c>
      <c r="N403">
        <v>1009</v>
      </c>
      <c r="O403" t="s">
        <v>675</v>
      </c>
      <c r="P403" t="s">
        <v>675</v>
      </c>
      <c r="Q403">
        <v>1000</v>
      </c>
      <c r="X403">
        <v>2.9999999999999997E-4</v>
      </c>
      <c r="Y403">
        <v>88053.759999999995</v>
      </c>
      <c r="Z403">
        <v>0</v>
      </c>
      <c r="AA403">
        <v>0</v>
      </c>
      <c r="AB403">
        <v>0</v>
      </c>
      <c r="AC403">
        <v>0</v>
      </c>
      <c r="AD403">
        <v>1</v>
      </c>
      <c r="AE403">
        <v>0</v>
      </c>
      <c r="AF403" t="s">
        <v>324</v>
      </c>
      <c r="AG403">
        <v>1.9999999999999998E-4</v>
      </c>
      <c r="AH403">
        <v>3</v>
      </c>
      <c r="AI403">
        <v>-1</v>
      </c>
      <c r="AJ403" t="s">
        <v>3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</row>
    <row r="404" spans="1:44" x14ac:dyDescent="0.2">
      <c r="A404">
        <f>ROW(Source!A476)</f>
        <v>476</v>
      </c>
      <c r="B404">
        <v>1474096951</v>
      </c>
      <c r="C404">
        <v>1472040570</v>
      </c>
      <c r="D404">
        <v>1441834836</v>
      </c>
      <c r="E404">
        <v>1</v>
      </c>
      <c r="F404">
        <v>1</v>
      </c>
      <c r="G404">
        <v>15514512</v>
      </c>
      <c r="H404">
        <v>3</v>
      </c>
      <c r="I404" t="s">
        <v>750</v>
      </c>
      <c r="J404" t="s">
        <v>751</v>
      </c>
      <c r="K404" t="s">
        <v>752</v>
      </c>
      <c r="L404">
        <v>1348</v>
      </c>
      <c r="N404">
        <v>1009</v>
      </c>
      <c r="O404" t="s">
        <v>675</v>
      </c>
      <c r="P404" t="s">
        <v>675</v>
      </c>
      <c r="Q404">
        <v>1000</v>
      </c>
      <c r="X404">
        <v>6.3000000000000003E-4</v>
      </c>
      <c r="Y404">
        <v>93194.67</v>
      </c>
      <c r="Z404">
        <v>0</v>
      </c>
      <c r="AA404">
        <v>0</v>
      </c>
      <c r="AB404">
        <v>0</v>
      </c>
      <c r="AC404">
        <v>0</v>
      </c>
      <c r="AD404">
        <v>1</v>
      </c>
      <c r="AE404">
        <v>0</v>
      </c>
      <c r="AF404" t="s">
        <v>324</v>
      </c>
      <c r="AG404">
        <v>4.2000000000000002E-4</v>
      </c>
      <c r="AH404">
        <v>3</v>
      </c>
      <c r="AI404">
        <v>-1</v>
      </c>
      <c r="AJ404" t="s">
        <v>3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</row>
    <row r="405" spans="1:44" x14ac:dyDescent="0.2">
      <c r="A405">
        <f>ROW(Source!A476)</f>
        <v>476</v>
      </c>
      <c r="B405">
        <v>1474096952</v>
      </c>
      <c r="C405">
        <v>1472040570</v>
      </c>
      <c r="D405">
        <v>1441822273</v>
      </c>
      <c r="E405">
        <v>15514512</v>
      </c>
      <c r="F405">
        <v>1</v>
      </c>
      <c r="G405">
        <v>15514512</v>
      </c>
      <c r="H405">
        <v>3</v>
      </c>
      <c r="I405" t="s">
        <v>705</v>
      </c>
      <c r="J405" t="s">
        <v>3</v>
      </c>
      <c r="K405" t="s">
        <v>707</v>
      </c>
      <c r="L405">
        <v>1348</v>
      </c>
      <c r="N405">
        <v>1009</v>
      </c>
      <c r="O405" t="s">
        <v>675</v>
      </c>
      <c r="P405" t="s">
        <v>675</v>
      </c>
      <c r="Q405">
        <v>1000</v>
      </c>
      <c r="X405">
        <v>6.9999999999999994E-5</v>
      </c>
      <c r="Y405">
        <v>94640</v>
      </c>
      <c r="Z405">
        <v>0</v>
      </c>
      <c r="AA405">
        <v>0</v>
      </c>
      <c r="AB405">
        <v>0</v>
      </c>
      <c r="AC405">
        <v>0</v>
      </c>
      <c r="AD405">
        <v>1</v>
      </c>
      <c r="AE405">
        <v>0</v>
      </c>
      <c r="AF405" t="s">
        <v>324</v>
      </c>
      <c r="AG405">
        <v>4.6666666666666665E-5</v>
      </c>
      <c r="AH405">
        <v>3</v>
      </c>
      <c r="AI405">
        <v>-1</v>
      </c>
      <c r="AJ405" t="s">
        <v>3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</row>
    <row r="406" spans="1:44" x14ac:dyDescent="0.2">
      <c r="A406">
        <f>ROW(Source!A477)</f>
        <v>477</v>
      </c>
      <c r="B406">
        <v>1474096953</v>
      </c>
      <c r="C406">
        <v>1472040601</v>
      </c>
      <c r="D406">
        <v>1441819193</v>
      </c>
      <c r="E406">
        <v>15514512</v>
      </c>
      <c r="F406">
        <v>1</v>
      </c>
      <c r="G406">
        <v>15514512</v>
      </c>
      <c r="H406">
        <v>1</v>
      </c>
      <c r="I406" t="s">
        <v>648</v>
      </c>
      <c r="J406" t="s">
        <v>3</v>
      </c>
      <c r="K406" t="s">
        <v>649</v>
      </c>
      <c r="L406">
        <v>1191</v>
      </c>
      <c r="N406">
        <v>1013</v>
      </c>
      <c r="O406" t="s">
        <v>650</v>
      </c>
      <c r="P406" t="s">
        <v>650</v>
      </c>
      <c r="Q406">
        <v>1</v>
      </c>
      <c r="X406">
        <v>7.12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1</v>
      </c>
      <c r="AE406">
        <v>1</v>
      </c>
      <c r="AF406" t="s">
        <v>3</v>
      </c>
      <c r="AG406">
        <v>7.12</v>
      </c>
      <c r="AH406">
        <v>3</v>
      </c>
      <c r="AI406">
        <v>-1</v>
      </c>
      <c r="AJ406" t="s">
        <v>3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</row>
    <row r="407" spans="1:44" x14ac:dyDescent="0.2">
      <c r="A407">
        <f>ROW(Source!A477)</f>
        <v>477</v>
      </c>
      <c r="B407">
        <v>1474096954</v>
      </c>
      <c r="C407">
        <v>1472040601</v>
      </c>
      <c r="D407">
        <v>1441833954</v>
      </c>
      <c r="E407">
        <v>1</v>
      </c>
      <c r="F407">
        <v>1</v>
      </c>
      <c r="G407">
        <v>15514512</v>
      </c>
      <c r="H407">
        <v>2</v>
      </c>
      <c r="I407" t="s">
        <v>717</v>
      </c>
      <c r="J407" t="s">
        <v>718</v>
      </c>
      <c r="K407" t="s">
        <v>719</v>
      </c>
      <c r="L407">
        <v>1368</v>
      </c>
      <c r="N407">
        <v>1011</v>
      </c>
      <c r="O407" t="s">
        <v>603</v>
      </c>
      <c r="P407" t="s">
        <v>603</v>
      </c>
      <c r="Q407">
        <v>1</v>
      </c>
      <c r="X407">
        <v>0.15</v>
      </c>
      <c r="Y407">
        <v>0</v>
      </c>
      <c r="Z407">
        <v>59.51</v>
      </c>
      <c r="AA407">
        <v>0.82</v>
      </c>
      <c r="AB407">
        <v>0</v>
      </c>
      <c r="AC407">
        <v>0</v>
      </c>
      <c r="AD407">
        <v>1</v>
      </c>
      <c r="AE407">
        <v>0</v>
      </c>
      <c r="AF407" t="s">
        <v>3</v>
      </c>
      <c r="AG407">
        <v>0.15</v>
      </c>
      <c r="AH407">
        <v>3</v>
      </c>
      <c r="AI407">
        <v>-1</v>
      </c>
      <c r="AJ407" t="s">
        <v>3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</row>
    <row r="408" spans="1:44" x14ac:dyDescent="0.2">
      <c r="A408">
        <f>ROW(Source!A477)</f>
        <v>477</v>
      </c>
      <c r="B408">
        <v>1474096955</v>
      </c>
      <c r="C408">
        <v>1472040601</v>
      </c>
      <c r="D408">
        <v>1441836235</v>
      </c>
      <c r="E408">
        <v>1</v>
      </c>
      <c r="F408">
        <v>1</v>
      </c>
      <c r="G408">
        <v>15514512</v>
      </c>
      <c r="H408">
        <v>3</v>
      </c>
      <c r="I408" t="s">
        <v>683</v>
      </c>
      <c r="J408" t="s">
        <v>684</v>
      </c>
      <c r="K408" t="s">
        <v>685</v>
      </c>
      <c r="L408">
        <v>1346</v>
      </c>
      <c r="N408">
        <v>1009</v>
      </c>
      <c r="O408" t="s">
        <v>657</v>
      </c>
      <c r="P408" t="s">
        <v>657</v>
      </c>
      <c r="Q408">
        <v>1</v>
      </c>
      <c r="X408">
        <v>0.36</v>
      </c>
      <c r="Y408">
        <v>31.49</v>
      </c>
      <c r="Z408">
        <v>0</v>
      </c>
      <c r="AA408">
        <v>0</v>
      </c>
      <c r="AB408">
        <v>0</v>
      </c>
      <c r="AC408">
        <v>0</v>
      </c>
      <c r="AD408">
        <v>1</v>
      </c>
      <c r="AE408">
        <v>0</v>
      </c>
      <c r="AF408" t="s">
        <v>3</v>
      </c>
      <c r="AG408">
        <v>0.36</v>
      </c>
      <c r="AH408">
        <v>3</v>
      </c>
      <c r="AI408">
        <v>-1</v>
      </c>
      <c r="AJ408" t="s">
        <v>3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</row>
    <row r="409" spans="1:44" x14ac:dyDescent="0.2">
      <c r="A409">
        <f>ROW(Source!A477)</f>
        <v>477</v>
      </c>
      <c r="B409">
        <v>1474096956</v>
      </c>
      <c r="C409">
        <v>1472040601</v>
      </c>
      <c r="D409">
        <v>1441821379</v>
      </c>
      <c r="E409">
        <v>15514512</v>
      </c>
      <c r="F409">
        <v>1</v>
      </c>
      <c r="G409">
        <v>15514512</v>
      </c>
      <c r="H409">
        <v>3</v>
      </c>
      <c r="I409" t="s">
        <v>703</v>
      </c>
      <c r="J409" t="s">
        <v>3</v>
      </c>
      <c r="K409" t="s">
        <v>704</v>
      </c>
      <c r="L409">
        <v>1346</v>
      </c>
      <c r="N409">
        <v>1009</v>
      </c>
      <c r="O409" t="s">
        <v>657</v>
      </c>
      <c r="P409" t="s">
        <v>657</v>
      </c>
      <c r="Q409">
        <v>1</v>
      </c>
      <c r="X409">
        <v>2.4E-2</v>
      </c>
      <c r="Y409">
        <v>89.933959999999999</v>
      </c>
      <c r="Z409">
        <v>0</v>
      </c>
      <c r="AA409">
        <v>0</v>
      </c>
      <c r="AB409">
        <v>0</v>
      </c>
      <c r="AC409">
        <v>0</v>
      </c>
      <c r="AD409">
        <v>1</v>
      </c>
      <c r="AE409">
        <v>0</v>
      </c>
      <c r="AF409" t="s">
        <v>3</v>
      </c>
      <c r="AG409">
        <v>2.4E-2</v>
      </c>
      <c r="AH409">
        <v>3</v>
      </c>
      <c r="AI409">
        <v>-1</v>
      </c>
      <c r="AJ409" t="s">
        <v>3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</row>
    <row r="410" spans="1:44" x14ac:dyDescent="0.2">
      <c r="A410">
        <f>ROW(Source!A478)</f>
        <v>478</v>
      </c>
      <c r="B410">
        <v>1474096957</v>
      </c>
      <c r="C410">
        <v>1472040614</v>
      </c>
      <c r="D410">
        <v>1441819193</v>
      </c>
      <c r="E410">
        <v>15514512</v>
      </c>
      <c r="F410">
        <v>1</v>
      </c>
      <c r="G410">
        <v>15514512</v>
      </c>
      <c r="H410">
        <v>1</v>
      </c>
      <c r="I410" t="s">
        <v>648</v>
      </c>
      <c r="J410" t="s">
        <v>3</v>
      </c>
      <c r="K410" t="s">
        <v>649</v>
      </c>
      <c r="L410">
        <v>1191</v>
      </c>
      <c r="N410">
        <v>1013</v>
      </c>
      <c r="O410" t="s">
        <v>650</v>
      </c>
      <c r="P410" t="s">
        <v>650</v>
      </c>
      <c r="Q410">
        <v>1</v>
      </c>
      <c r="X410">
        <v>3.14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1</v>
      </c>
      <c r="AE410">
        <v>1</v>
      </c>
      <c r="AF410" t="s">
        <v>164</v>
      </c>
      <c r="AG410">
        <v>6.28</v>
      </c>
      <c r="AH410">
        <v>3</v>
      </c>
      <c r="AI410">
        <v>-1</v>
      </c>
      <c r="AJ410" t="s">
        <v>3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</row>
    <row r="411" spans="1:44" x14ac:dyDescent="0.2">
      <c r="A411">
        <f>ROW(Source!A478)</f>
        <v>478</v>
      </c>
      <c r="B411">
        <v>1474096958</v>
      </c>
      <c r="C411">
        <v>1472040614</v>
      </c>
      <c r="D411">
        <v>1441833954</v>
      </c>
      <c r="E411">
        <v>1</v>
      </c>
      <c r="F411">
        <v>1</v>
      </c>
      <c r="G411">
        <v>15514512</v>
      </c>
      <c r="H411">
        <v>2</v>
      </c>
      <c r="I411" t="s">
        <v>717</v>
      </c>
      <c r="J411" t="s">
        <v>718</v>
      </c>
      <c r="K411" t="s">
        <v>719</v>
      </c>
      <c r="L411">
        <v>1368</v>
      </c>
      <c r="N411">
        <v>1011</v>
      </c>
      <c r="O411" t="s">
        <v>603</v>
      </c>
      <c r="P411" t="s">
        <v>603</v>
      </c>
      <c r="Q411">
        <v>1</v>
      </c>
      <c r="X411">
        <v>0.03</v>
      </c>
      <c r="Y411">
        <v>0</v>
      </c>
      <c r="Z411">
        <v>59.51</v>
      </c>
      <c r="AA411">
        <v>0.82</v>
      </c>
      <c r="AB411">
        <v>0</v>
      </c>
      <c r="AC411">
        <v>0</v>
      </c>
      <c r="AD411">
        <v>1</v>
      </c>
      <c r="AE411">
        <v>0</v>
      </c>
      <c r="AF411" t="s">
        <v>164</v>
      </c>
      <c r="AG411">
        <v>0.06</v>
      </c>
      <c r="AH411">
        <v>3</v>
      </c>
      <c r="AI411">
        <v>-1</v>
      </c>
      <c r="AJ411" t="s">
        <v>3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</row>
    <row r="412" spans="1:44" x14ac:dyDescent="0.2">
      <c r="A412">
        <f>ROW(Source!A478)</f>
        <v>478</v>
      </c>
      <c r="B412">
        <v>1474096959</v>
      </c>
      <c r="C412">
        <v>1472040614</v>
      </c>
      <c r="D412">
        <v>1441836235</v>
      </c>
      <c r="E412">
        <v>1</v>
      </c>
      <c r="F412">
        <v>1</v>
      </c>
      <c r="G412">
        <v>15514512</v>
      </c>
      <c r="H412">
        <v>3</v>
      </c>
      <c r="I412" t="s">
        <v>683</v>
      </c>
      <c r="J412" t="s">
        <v>684</v>
      </c>
      <c r="K412" t="s">
        <v>685</v>
      </c>
      <c r="L412">
        <v>1346</v>
      </c>
      <c r="N412">
        <v>1009</v>
      </c>
      <c r="O412" t="s">
        <v>657</v>
      </c>
      <c r="P412" t="s">
        <v>657</v>
      </c>
      <c r="Q412">
        <v>1</v>
      </c>
      <c r="X412">
        <v>0.32</v>
      </c>
      <c r="Y412">
        <v>31.49</v>
      </c>
      <c r="Z412">
        <v>0</v>
      </c>
      <c r="AA412">
        <v>0</v>
      </c>
      <c r="AB412">
        <v>0</v>
      </c>
      <c r="AC412">
        <v>0</v>
      </c>
      <c r="AD412">
        <v>1</v>
      </c>
      <c r="AE412">
        <v>0</v>
      </c>
      <c r="AF412" t="s">
        <v>164</v>
      </c>
      <c r="AG412">
        <v>0.64</v>
      </c>
      <c r="AH412">
        <v>3</v>
      </c>
      <c r="AI412">
        <v>-1</v>
      </c>
      <c r="AJ412" t="s">
        <v>3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</row>
    <row r="413" spans="1:44" x14ac:dyDescent="0.2">
      <c r="A413">
        <f>ROW(Source!A479)</f>
        <v>479</v>
      </c>
      <c r="B413">
        <v>1474096960</v>
      </c>
      <c r="C413">
        <v>1472040624</v>
      </c>
      <c r="D413">
        <v>1441819193</v>
      </c>
      <c r="E413">
        <v>15514512</v>
      </c>
      <c r="F413">
        <v>1</v>
      </c>
      <c r="G413">
        <v>15514512</v>
      </c>
      <c r="H413">
        <v>1</v>
      </c>
      <c r="I413" t="s">
        <v>648</v>
      </c>
      <c r="J413" t="s">
        <v>3</v>
      </c>
      <c r="K413" t="s">
        <v>649</v>
      </c>
      <c r="L413">
        <v>1191</v>
      </c>
      <c r="N413">
        <v>1013</v>
      </c>
      <c r="O413" t="s">
        <v>650</v>
      </c>
      <c r="P413" t="s">
        <v>650</v>
      </c>
      <c r="Q413">
        <v>1</v>
      </c>
      <c r="X413">
        <v>1.56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1</v>
      </c>
      <c r="AE413">
        <v>1</v>
      </c>
      <c r="AF413" t="s">
        <v>164</v>
      </c>
      <c r="AG413">
        <v>3.12</v>
      </c>
      <c r="AH413">
        <v>3</v>
      </c>
      <c r="AI413">
        <v>-1</v>
      </c>
      <c r="AJ413" t="s">
        <v>3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</row>
    <row r="414" spans="1:44" x14ac:dyDescent="0.2">
      <c r="A414">
        <f>ROW(Source!A479)</f>
        <v>479</v>
      </c>
      <c r="B414">
        <v>1474096961</v>
      </c>
      <c r="C414">
        <v>1472040624</v>
      </c>
      <c r="D414">
        <v>1441833954</v>
      </c>
      <c r="E414">
        <v>1</v>
      </c>
      <c r="F414">
        <v>1</v>
      </c>
      <c r="G414">
        <v>15514512</v>
      </c>
      <c r="H414">
        <v>2</v>
      </c>
      <c r="I414" t="s">
        <v>717</v>
      </c>
      <c r="J414" t="s">
        <v>718</v>
      </c>
      <c r="K414" t="s">
        <v>719</v>
      </c>
      <c r="L414">
        <v>1368</v>
      </c>
      <c r="N414">
        <v>1011</v>
      </c>
      <c r="O414" t="s">
        <v>603</v>
      </c>
      <c r="P414" t="s">
        <v>603</v>
      </c>
      <c r="Q414">
        <v>1</v>
      </c>
      <c r="X414">
        <v>0.03</v>
      </c>
      <c r="Y414">
        <v>0</v>
      </c>
      <c r="Z414">
        <v>59.51</v>
      </c>
      <c r="AA414">
        <v>0.82</v>
      </c>
      <c r="AB414">
        <v>0</v>
      </c>
      <c r="AC414">
        <v>0</v>
      </c>
      <c r="AD414">
        <v>1</v>
      </c>
      <c r="AE414">
        <v>0</v>
      </c>
      <c r="AF414" t="s">
        <v>164</v>
      </c>
      <c r="AG414">
        <v>0.06</v>
      </c>
      <c r="AH414">
        <v>3</v>
      </c>
      <c r="AI414">
        <v>-1</v>
      </c>
      <c r="AJ414" t="s">
        <v>3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</row>
    <row r="415" spans="1:44" x14ac:dyDescent="0.2">
      <c r="A415">
        <f>ROW(Source!A479)</f>
        <v>479</v>
      </c>
      <c r="B415">
        <v>1474096962</v>
      </c>
      <c r="C415">
        <v>1472040624</v>
      </c>
      <c r="D415">
        <v>1441836235</v>
      </c>
      <c r="E415">
        <v>1</v>
      </c>
      <c r="F415">
        <v>1</v>
      </c>
      <c r="G415">
        <v>15514512</v>
      </c>
      <c r="H415">
        <v>3</v>
      </c>
      <c r="I415" t="s">
        <v>683</v>
      </c>
      <c r="J415" t="s">
        <v>684</v>
      </c>
      <c r="K415" t="s">
        <v>685</v>
      </c>
      <c r="L415">
        <v>1346</v>
      </c>
      <c r="N415">
        <v>1009</v>
      </c>
      <c r="O415" t="s">
        <v>657</v>
      </c>
      <c r="P415" t="s">
        <v>657</v>
      </c>
      <c r="Q415">
        <v>1</v>
      </c>
      <c r="X415">
        <v>0.02</v>
      </c>
      <c r="Y415">
        <v>31.49</v>
      </c>
      <c r="Z415">
        <v>0</v>
      </c>
      <c r="AA415">
        <v>0</v>
      </c>
      <c r="AB415">
        <v>0</v>
      </c>
      <c r="AC415">
        <v>0</v>
      </c>
      <c r="AD415">
        <v>1</v>
      </c>
      <c r="AE415">
        <v>0</v>
      </c>
      <c r="AF415" t="s">
        <v>164</v>
      </c>
      <c r="AG415">
        <v>0.04</v>
      </c>
      <c r="AH415">
        <v>3</v>
      </c>
      <c r="AI415">
        <v>-1</v>
      </c>
      <c r="AJ415" t="s">
        <v>3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</row>
    <row r="416" spans="1:44" x14ac:dyDescent="0.2">
      <c r="A416">
        <f>ROW(Source!A480)</f>
        <v>480</v>
      </c>
      <c r="B416">
        <v>1474096963</v>
      </c>
      <c r="C416">
        <v>1472040634</v>
      </c>
      <c r="D416">
        <v>1441819193</v>
      </c>
      <c r="E416">
        <v>15514512</v>
      </c>
      <c r="F416">
        <v>1</v>
      </c>
      <c r="G416">
        <v>15514512</v>
      </c>
      <c r="H416">
        <v>1</v>
      </c>
      <c r="I416" t="s">
        <v>648</v>
      </c>
      <c r="J416" t="s">
        <v>3</v>
      </c>
      <c r="K416" t="s">
        <v>649</v>
      </c>
      <c r="L416">
        <v>1191</v>
      </c>
      <c r="N416">
        <v>1013</v>
      </c>
      <c r="O416" t="s">
        <v>650</v>
      </c>
      <c r="P416" t="s">
        <v>650</v>
      </c>
      <c r="Q416">
        <v>1</v>
      </c>
      <c r="X416">
        <v>0.4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1</v>
      </c>
      <c r="AE416">
        <v>1</v>
      </c>
      <c r="AF416" t="s">
        <v>164</v>
      </c>
      <c r="AG416">
        <v>0.8</v>
      </c>
      <c r="AH416">
        <v>3</v>
      </c>
      <c r="AI416">
        <v>-1</v>
      </c>
      <c r="AJ416" t="s">
        <v>3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</row>
    <row r="417" spans="1:44" x14ac:dyDescent="0.2">
      <c r="A417">
        <f>ROW(Source!A481)</f>
        <v>481</v>
      </c>
      <c r="B417">
        <v>1474096964</v>
      </c>
      <c r="C417">
        <v>1472040638</v>
      </c>
      <c r="D417">
        <v>1441819193</v>
      </c>
      <c r="E417">
        <v>15514512</v>
      </c>
      <c r="F417">
        <v>1</v>
      </c>
      <c r="G417">
        <v>15514512</v>
      </c>
      <c r="H417">
        <v>1</v>
      </c>
      <c r="I417" t="s">
        <v>648</v>
      </c>
      <c r="J417" t="s">
        <v>3</v>
      </c>
      <c r="K417" t="s">
        <v>649</v>
      </c>
      <c r="L417">
        <v>1191</v>
      </c>
      <c r="N417">
        <v>1013</v>
      </c>
      <c r="O417" t="s">
        <v>650</v>
      </c>
      <c r="P417" t="s">
        <v>650</v>
      </c>
      <c r="Q417">
        <v>1</v>
      </c>
      <c r="X417">
        <v>13.13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1</v>
      </c>
      <c r="AE417">
        <v>1</v>
      </c>
      <c r="AF417" t="s">
        <v>3</v>
      </c>
      <c r="AG417">
        <v>13.13</v>
      </c>
      <c r="AH417">
        <v>3</v>
      </c>
      <c r="AI417">
        <v>-1</v>
      </c>
      <c r="AJ417" t="s">
        <v>3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</row>
    <row r="418" spans="1:44" x14ac:dyDescent="0.2">
      <c r="A418">
        <f>ROW(Source!A481)</f>
        <v>481</v>
      </c>
      <c r="B418">
        <v>1474096965</v>
      </c>
      <c r="C418">
        <v>1472040638</v>
      </c>
      <c r="D418">
        <v>1441834138</v>
      </c>
      <c r="E418">
        <v>1</v>
      </c>
      <c r="F418">
        <v>1</v>
      </c>
      <c r="G418">
        <v>15514512</v>
      </c>
      <c r="H418">
        <v>2</v>
      </c>
      <c r="I418" t="s">
        <v>769</v>
      </c>
      <c r="J418" t="s">
        <v>770</v>
      </c>
      <c r="K418" t="s">
        <v>771</v>
      </c>
      <c r="L418">
        <v>1368</v>
      </c>
      <c r="N418">
        <v>1011</v>
      </c>
      <c r="O418" t="s">
        <v>603</v>
      </c>
      <c r="P418" t="s">
        <v>603</v>
      </c>
      <c r="Q418">
        <v>1</v>
      </c>
      <c r="X418">
        <v>1.7</v>
      </c>
      <c r="Y418">
        <v>0</v>
      </c>
      <c r="Z418">
        <v>45.56</v>
      </c>
      <c r="AA418">
        <v>0.57999999999999996</v>
      </c>
      <c r="AB418">
        <v>0</v>
      </c>
      <c r="AC418">
        <v>0</v>
      </c>
      <c r="AD418">
        <v>1</v>
      </c>
      <c r="AE418">
        <v>0</v>
      </c>
      <c r="AF418" t="s">
        <v>3</v>
      </c>
      <c r="AG418">
        <v>1.7</v>
      </c>
      <c r="AH418">
        <v>3</v>
      </c>
      <c r="AI418">
        <v>-1</v>
      </c>
      <c r="AJ418" t="s">
        <v>3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</row>
    <row r="419" spans="1:44" x14ac:dyDescent="0.2">
      <c r="A419">
        <f>ROW(Source!A481)</f>
        <v>481</v>
      </c>
      <c r="B419">
        <v>1474096966</v>
      </c>
      <c r="C419">
        <v>1472040638</v>
      </c>
      <c r="D419">
        <v>1441834143</v>
      </c>
      <c r="E419">
        <v>1</v>
      </c>
      <c r="F419">
        <v>1</v>
      </c>
      <c r="G419">
        <v>15514512</v>
      </c>
      <c r="H419">
        <v>2</v>
      </c>
      <c r="I419" t="s">
        <v>772</v>
      </c>
      <c r="J419" t="s">
        <v>773</v>
      </c>
      <c r="K419" t="s">
        <v>774</v>
      </c>
      <c r="L419">
        <v>1368</v>
      </c>
      <c r="N419">
        <v>1011</v>
      </c>
      <c r="O419" t="s">
        <v>603</v>
      </c>
      <c r="P419" t="s">
        <v>603</v>
      </c>
      <c r="Q419">
        <v>1</v>
      </c>
      <c r="X419">
        <v>1.7</v>
      </c>
      <c r="Y419">
        <v>0</v>
      </c>
      <c r="Z419">
        <v>61.25</v>
      </c>
      <c r="AA419">
        <v>3.11</v>
      </c>
      <c r="AB419">
        <v>0</v>
      </c>
      <c r="AC419">
        <v>0</v>
      </c>
      <c r="AD419">
        <v>1</v>
      </c>
      <c r="AE419">
        <v>0</v>
      </c>
      <c r="AF419" t="s">
        <v>3</v>
      </c>
      <c r="AG419">
        <v>1.7</v>
      </c>
      <c r="AH419">
        <v>3</v>
      </c>
      <c r="AI419">
        <v>-1</v>
      </c>
      <c r="AJ419" t="s">
        <v>3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</row>
    <row r="420" spans="1:44" x14ac:dyDescent="0.2">
      <c r="A420">
        <f>ROW(Source!A481)</f>
        <v>481</v>
      </c>
      <c r="B420">
        <v>1474096967</v>
      </c>
      <c r="C420">
        <v>1472040638</v>
      </c>
      <c r="D420">
        <v>1441834258</v>
      </c>
      <c r="E420">
        <v>1</v>
      </c>
      <c r="F420">
        <v>1</v>
      </c>
      <c r="G420">
        <v>15514512</v>
      </c>
      <c r="H420">
        <v>2</v>
      </c>
      <c r="I420" t="s">
        <v>651</v>
      </c>
      <c r="J420" t="s">
        <v>652</v>
      </c>
      <c r="K420" t="s">
        <v>653</v>
      </c>
      <c r="L420">
        <v>1368</v>
      </c>
      <c r="N420">
        <v>1011</v>
      </c>
      <c r="O420" t="s">
        <v>603</v>
      </c>
      <c r="P420" t="s">
        <v>603</v>
      </c>
      <c r="Q420">
        <v>1</v>
      </c>
      <c r="X420">
        <v>3.31</v>
      </c>
      <c r="Y420">
        <v>0</v>
      </c>
      <c r="Z420">
        <v>1303.01</v>
      </c>
      <c r="AA420">
        <v>826.2</v>
      </c>
      <c r="AB420">
        <v>0</v>
      </c>
      <c r="AC420">
        <v>0</v>
      </c>
      <c r="AD420">
        <v>1</v>
      </c>
      <c r="AE420">
        <v>0</v>
      </c>
      <c r="AF420" t="s">
        <v>3</v>
      </c>
      <c r="AG420">
        <v>3.31</v>
      </c>
      <c r="AH420">
        <v>3</v>
      </c>
      <c r="AI420">
        <v>-1</v>
      </c>
      <c r="AJ420" t="s">
        <v>3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</row>
    <row r="421" spans="1:44" x14ac:dyDescent="0.2">
      <c r="A421">
        <f>ROW(Source!A481)</f>
        <v>481</v>
      </c>
      <c r="B421">
        <v>1474096968</v>
      </c>
      <c r="C421">
        <v>1472040638</v>
      </c>
      <c r="D421">
        <v>1441834334</v>
      </c>
      <c r="E421">
        <v>1</v>
      </c>
      <c r="F421">
        <v>1</v>
      </c>
      <c r="G421">
        <v>15514512</v>
      </c>
      <c r="H421">
        <v>2</v>
      </c>
      <c r="I421" t="s">
        <v>661</v>
      </c>
      <c r="J421" t="s">
        <v>662</v>
      </c>
      <c r="K421" t="s">
        <v>663</v>
      </c>
      <c r="L421">
        <v>1368</v>
      </c>
      <c r="N421">
        <v>1011</v>
      </c>
      <c r="O421" t="s">
        <v>603</v>
      </c>
      <c r="P421" t="s">
        <v>603</v>
      </c>
      <c r="Q421">
        <v>1</v>
      </c>
      <c r="X421">
        <v>0.4</v>
      </c>
      <c r="Y421">
        <v>0</v>
      </c>
      <c r="Z421">
        <v>10.66</v>
      </c>
      <c r="AA421">
        <v>0.12</v>
      </c>
      <c r="AB421">
        <v>0</v>
      </c>
      <c r="AC421">
        <v>0</v>
      </c>
      <c r="AD421">
        <v>1</v>
      </c>
      <c r="AE421">
        <v>0</v>
      </c>
      <c r="AF421" t="s">
        <v>3</v>
      </c>
      <c r="AG421">
        <v>0.4</v>
      </c>
      <c r="AH421">
        <v>3</v>
      </c>
      <c r="AI421">
        <v>-1</v>
      </c>
      <c r="AJ421" t="s">
        <v>3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</row>
    <row r="422" spans="1:44" x14ac:dyDescent="0.2">
      <c r="A422">
        <f>ROW(Source!A481)</f>
        <v>481</v>
      </c>
      <c r="B422">
        <v>1474096969</v>
      </c>
      <c r="C422">
        <v>1472040638</v>
      </c>
      <c r="D422">
        <v>1441836235</v>
      </c>
      <c r="E422">
        <v>1</v>
      </c>
      <c r="F422">
        <v>1</v>
      </c>
      <c r="G422">
        <v>15514512</v>
      </c>
      <c r="H422">
        <v>3</v>
      </c>
      <c r="I422" t="s">
        <v>683</v>
      </c>
      <c r="J422" t="s">
        <v>684</v>
      </c>
      <c r="K422" t="s">
        <v>685</v>
      </c>
      <c r="L422">
        <v>1346</v>
      </c>
      <c r="N422">
        <v>1009</v>
      </c>
      <c r="O422" t="s">
        <v>657</v>
      </c>
      <c r="P422" t="s">
        <v>657</v>
      </c>
      <c r="Q422">
        <v>1</v>
      </c>
      <c r="X422">
        <v>0.15</v>
      </c>
      <c r="Y422">
        <v>31.49</v>
      </c>
      <c r="Z422">
        <v>0</v>
      </c>
      <c r="AA422">
        <v>0</v>
      </c>
      <c r="AB422">
        <v>0</v>
      </c>
      <c r="AC422">
        <v>0</v>
      </c>
      <c r="AD422">
        <v>1</v>
      </c>
      <c r="AE422">
        <v>0</v>
      </c>
      <c r="AF422" t="s">
        <v>3</v>
      </c>
      <c r="AG422">
        <v>0.15</v>
      </c>
      <c r="AH422">
        <v>3</v>
      </c>
      <c r="AI422">
        <v>-1</v>
      </c>
      <c r="AJ422" t="s">
        <v>3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</row>
    <row r="423" spans="1:44" x14ac:dyDescent="0.2">
      <c r="A423">
        <f>ROW(Source!A482)</f>
        <v>482</v>
      </c>
      <c r="B423">
        <v>1474096970</v>
      </c>
      <c r="C423">
        <v>1472040657</v>
      </c>
      <c r="D423">
        <v>1441819193</v>
      </c>
      <c r="E423">
        <v>15514512</v>
      </c>
      <c r="F423">
        <v>1</v>
      </c>
      <c r="G423">
        <v>15514512</v>
      </c>
      <c r="H423">
        <v>1</v>
      </c>
      <c r="I423" t="s">
        <v>648</v>
      </c>
      <c r="J423" t="s">
        <v>3</v>
      </c>
      <c r="K423" t="s">
        <v>649</v>
      </c>
      <c r="L423">
        <v>1191</v>
      </c>
      <c r="N423">
        <v>1013</v>
      </c>
      <c r="O423" t="s">
        <v>650</v>
      </c>
      <c r="P423" t="s">
        <v>650</v>
      </c>
      <c r="Q423">
        <v>1</v>
      </c>
      <c r="X423">
        <v>2.1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1</v>
      </c>
      <c r="AE423">
        <v>1</v>
      </c>
      <c r="AF423" t="s">
        <v>3</v>
      </c>
      <c r="AG423">
        <v>2.1</v>
      </c>
      <c r="AH423">
        <v>3</v>
      </c>
      <c r="AI423">
        <v>-1</v>
      </c>
      <c r="AJ423" t="s">
        <v>3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</row>
    <row r="424" spans="1:44" x14ac:dyDescent="0.2">
      <c r="A424">
        <f>ROW(Source!A482)</f>
        <v>482</v>
      </c>
      <c r="B424">
        <v>1474096971</v>
      </c>
      <c r="C424">
        <v>1472040657</v>
      </c>
      <c r="D424">
        <v>1441834139</v>
      </c>
      <c r="E424">
        <v>1</v>
      </c>
      <c r="F424">
        <v>1</v>
      </c>
      <c r="G424">
        <v>15514512</v>
      </c>
      <c r="H424">
        <v>2</v>
      </c>
      <c r="I424" t="s">
        <v>775</v>
      </c>
      <c r="J424" t="s">
        <v>776</v>
      </c>
      <c r="K424" t="s">
        <v>777</v>
      </c>
      <c r="L424">
        <v>1368</v>
      </c>
      <c r="N424">
        <v>1011</v>
      </c>
      <c r="O424" t="s">
        <v>603</v>
      </c>
      <c r="P424" t="s">
        <v>603</v>
      </c>
      <c r="Q424">
        <v>1</v>
      </c>
      <c r="X424">
        <v>0.3</v>
      </c>
      <c r="Y424">
        <v>0</v>
      </c>
      <c r="Z424">
        <v>8.82</v>
      </c>
      <c r="AA424">
        <v>0.11</v>
      </c>
      <c r="AB424">
        <v>0</v>
      </c>
      <c r="AC424">
        <v>0</v>
      </c>
      <c r="AD424">
        <v>1</v>
      </c>
      <c r="AE424">
        <v>0</v>
      </c>
      <c r="AF424" t="s">
        <v>3</v>
      </c>
      <c r="AG424">
        <v>0.3</v>
      </c>
      <c r="AH424">
        <v>3</v>
      </c>
      <c r="AI424">
        <v>-1</v>
      </c>
      <c r="AJ424" t="s">
        <v>3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</row>
    <row r="425" spans="1:44" x14ac:dyDescent="0.2">
      <c r="A425">
        <f>ROW(Source!A482)</f>
        <v>482</v>
      </c>
      <c r="B425">
        <v>1474096972</v>
      </c>
      <c r="C425">
        <v>1472040657</v>
      </c>
      <c r="D425">
        <v>1441834258</v>
      </c>
      <c r="E425">
        <v>1</v>
      </c>
      <c r="F425">
        <v>1</v>
      </c>
      <c r="G425">
        <v>15514512</v>
      </c>
      <c r="H425">
        <v>2</v>
      </c>
      <c r="I425" t="s">
        <v>651</v>
      </c>
      <c r="J425" t="s">
        <v>652</v>
      </c>
      <c r="K425" t="s">
        <v>653</v>
      </c>
      <c r="L425">
        <v>1368</v>
      </c>
      <c r="N425">
        <v>1011</v>
      </c>
      <c r="O425" t="s">
        <v>603</v>
      </c>
      <c r="P425" t="s">
        <v>603</v>
      </c>
      <c r="Q425">
        <v>1</v>
      </c>
      <c r="X425">
        <v>0.52</v>
      </c>
      <c r="Y425">
        <v>0</v>
      </c>
      <c r="Z425">
        <v>1303.01</v>
      </c>
      <c r="AA425">
        <v>826.2</v>
      </c>
      <c r="AB425">
        <v>0</v>
      </c>
      <c r="AC425">
        <v>0</v>
      </c>
      <c r="AD425">
        <v>1</v>
      </c>
      <c r="AE425">
        <v>0</v>
      </c>
      <c r="AF425" t="s">
        <v>3</v>
      </c>
      <c r="AG425">
        <v>0.52</v>
      </c>
      <c r="AH425">
        <v>3</v>
      </c>
      <c r="AI425">
        <v>-1</v>
      </c>
      <c r="AJ425" t="s">
        <v>3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</row>
    <row r="426" spans="1:44" x14ac:dyDescent="0.2">
      <c r="A426">
        <f>ROW(Source!A482)</f>
        <v>482</v>
      </c>
      <c r="B426">
        <v>1474096973</v>
      </c>
      <c r="C426">
        <v>1472040657</v>
      </c>
      <c r="D426">
        <v>1441836393</v>
      </c>
      <c r="E426">
        <v>1</v>
      </c>
      <c r="F426">
        <v>1</v>
      </c>
      <c r="G426">
        <v>15514512</v>
      </c>
      <c r="H426">
        <v>3</v>
      </c>
      <c r="I426" t="s">
        <v>778</v>
      </c>
      <c r="J426" t="s">
        <v>779</v>
      </c>
      <c r="K426" t="s">
        <v>780</v>
      </c>
      <c r="L426">
        <v>1296</v>
      </c>
      <c r="N426">
        <v>1002</v>
      </c>
      <c r="O426" t="s">
        <v>667</v>
      </c>
      <c r="P426" t="s">
        <v>667</v>
      </c>
      <c r="Q426">
        <v>1</v>
      </c>
      <c r="X426">
        <v>3.8E-3</v>
      </c>
      <c r="Y426">
        <v>4241.6400000000003</v>
      </c>
      <c r="Z426">
        <v>0</v>
      </c>
      <c r="AA426">
        <v>0</v>
      </c>
      <c r="AB426">
        <v>0</v>
      </c>
      <c r="AC426">
        <v>0</v>
      </c>
      <c r="AD426">
        <v>1</v>
      </c>
      <c r="AE426">
        <v>0</v>
      </c>
      <c r="AF426" t="s">
        <v>3</v>
      </c>
      <c r="AG426">
        <v>3.8E-3</v>
      </c>
      <c r="AH426">
        <v>3</v>
      </c>
      <c r="AI426">
        <v>-1</v>
      </c>
      <c r="AJ426" t="s">
        <v>3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</row>
    <row r="427" spans="1:44" x14ac:dyDescent="0.2">
      <c r="A427">
        <f>ROW(Source!A482)</f>
        <v>482</v>
      </c>
      <c r="B427">
        <v>1474096974</v>
      </c>
      <c r="C427">
        <v>1472040657</v>
      </c>
      <c r="D427">
        <v>1441836514</v>
      </c>
      <c r="E427">
        <v>1</v>
      </c>
      <c r="F427">
        <v>1</v>
      </c>
      <c r="G427">
        <v>15514512</v>
      </c>
      <c r="H427">
        <v>3</v>
      </c>
      <c r="I427" t="s">
        <v>676</v>
      </c>
      <c r="J427" t="s">
        <v>677</v>
      </c>
      <c r="K427" t="s">
        <v>678</v>
      </c>
      <c r="L427">
        <v>1339</v>
      </c>
      <c r="N427">
        <v>1007</v>
      </c>
      <c r="O427" t="s">
        <v>679</v>
      </c>
      <c r="P427" t="s">
        <v>679</v>
      </c>
      <c r="Q427">
        <v>1</v>
      </c>
      <c r="X427">
        <v>3.8E-3</v>
      </c>
      <c r="Y427">
        <v>54.81</v>
      </c>
      <c r="Z427">
        <v>0</v>
      </c>
      <c r="AA427">
        <v>0</v>
      </c>
      <c r="AB427">
        <v>0</v>
      </c>
      <c r="AC427">
        <v>0</v>
      </c>
      <c r="AD427">
        <v>1</v>
      </c>
      <c r="AE427">
        <v>0</v>
      </c>
      <c r="AF427" t="s">
        <v>3</v>
      </c>
      <c r="AG427">
        <v>3.8E-3</v>
      </c>
      <c r="AH427">
        <v>3</v>
      </c>
      <c r="AI427">
        <v>-1</v>
      </c>
      <c r="AJ427" t="s">
        <v>3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</row>
    <row r="428" spans="1:44" x14ac:dyDescent="0.2">
      <c r="A428">
        <f>ROW(Source!A519)</f>
        <v>519</v>
      </c>
      <c r="B428">
        <v>1474096975</v>
      </c>
      <c r="C428">
        <v>1472040674</v>
      </c>
      <c r="D428">
        <v>1441819193</v>
      </c>
      <c r="E428">
        <v>15514512</v>
      </c>
      <c r="F428">
        <v>1</v>
      </c>
      <c r="G428">
        <v>15514512</v>
      </c>
      <c r="H428">
        <v>1</v>
      </c>
      <c r="I428" t="s">
        <v>648</v>
      </c>
      <c r="J428" t="s">
        <v>3</v>
      </c>
      <c r="K428" t="s">
        <v>649</v>
      </c>
      <c r="L428">
        <v>1191</v>
      </c>
      <c r="N428">
        <v>1013</v>
      </c>
      <c r="O428" t="s">
        <v>650</v>
      </c>
      <c r="P428" t="s">
        <v>650</v>
      </c>
      <c r="Q428">
        <v>1</v>
      </c>
      <c r="X428">
        <v>200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1</v>
      </c>
      <c r="AE428">
        <v>1</v>
      </c>
      <c r="AF428" t="s">
        <v>324</v>
      </c>
      <c r="AG428">
        <v>133.33333333333334</v>
      </c>
      <c r="AH428">
        <v>3</v>
      </c>
      <c r="AI428">
        <v>-1</v>
      </c>
      <c r="AJ428" t="s">
        <v>3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</row>
    <row r="429" spans="1:44" x14ac:dyDescent="0.2">
      <c r="A429">
        <f>ROW(Source!A519)</f>
        <v>519</v>
      </c>
      <c r="B429">
        <v>1474096976</v>
      </c>
      <c r="C429">
        <v>1472040674</v>
      </c>
      <c r="D429">
        <v>1441835475</v>
      </c>
      <c r="E429">
        <v>1</v>
      </c>
      <c r="F429">
        <v>1</v>
      </c>
      <c r="G429">
        <v>15514512</v>
      </c>
      <c r="H429">
        <v>3</v>
      </c>
      <c r="I429" t="s">
        <v>723</v>
      </c>
      <c r="J429" t="s">
        <v>724</v>
      </c>
      <c r="K429" t="s">
        <v>725</v>
      </c>
      <c r="L429">
        <v>1348</v>
      </c>
      <c r="N429">
        <v>1009</v>
      </c>
      <c r="O429" t="s">
        <v>675</v>
      </c>
      <c r="P429" t="s">
        <v>675</v>
      </c>
      <c r="Q429">
        <v>1000</v>
      </c>
      <c r="X429">
        <v>5.5999999999999999E-3</v>
      </c>
      <c r="Y429">
        <v>155908.07999999999</v>
      </c>
      <c r="Z429">
        <v>0</v>
      </c>
      <c r="AA429">
        <v>0</v>
      </c>
      <c r="AB429">
        <v>0</v>
      </c>
      <c r="AC429">
        <v>0</v>
      </c>
      <c r="AD429">
        <v>1</v>
      </c>
      <c r="AE429">
        <v>0</v>
      </c>
      <c r="AF429" t="s">
        <v>324</v>
      </c>
      <c r="AG429">
        <v>3.7333333333333333E-3</v>
      </c>
      <c r="AH429">
        <v>3</v>
      </c>
      <c r="AI429">
        <v>-1</v>
      </c>
      <c r="AJ429" t="s">
        <v>3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</row>
    <row r="430" spans="1:44" x14ac:dyDescent="0.2">
      <c r="A430">
        <f>ROW(Source!A519)</f>
        <v>519</v>
      </c>
      <c r="B430">
        <v>1474096977</v>
      </c>
      <c r="C430">
        <v>1472040674</v>
      </c>
      <c r="D430">
        <v>1441835549</v>
      </c>
      <c r="E430">
        <v>1</v>
      </c>
      <c r="F430">
        <v>1</v>
      </c>
      <c r="G430">
        <v>15514512</v>
      </c>
      <c r="H430">
        <v>3</v>
      </c>
      <c r="I430" t="s">
        <v>726</v>
      </c>
      <c r="J430" t="s">
        <v>727</v>
      </c>
      <c r="K430" t="s">
        <v>728</v>
      </c>
      <c r="L430">
        <v>1348</v>
      </c>
      <c r="N430">
        <v>1009</v>
      </c>
      <c r="O430" t="s">
        <v>675</v>
      </c>
      <c r="P430" t="s">
        <v>675</v>
      </c>
      <c r="Q430">
        <v>1000</v>
      </c>
      <c r="X430">
        <v>1.1000000000000001E-3</v>
      </c>
      <c r="Y430">
        <v>194655.19</v>
      </c>
      <c r="Z430">
        <v>0</v>
      </c>
      <c r="AA430">
        <v>0</v>
      </c>
      <c r="AB430">
        <v>0</v>
      </c>
      <c r="AC430">
        <v>0</v>
      </c>
      <c r="AD430">
        <v>1</v>
      </c>
      <c r="AE430">
        <v>0</v>
      </c>
      <c r="AF430" t="s">
        <v>324</v>
      </c>
      <c r="AG430">
        <v>7.3333333333333334E-4</v>
      </c>
      <c r="AH430">
        <v>3</v>
      </c>
      <c r="AI430">
        <v>-1</v>
      </c>
      <c r="AJ430" t="s">
        <v>3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</row>
    <row r="431" spans="1:44" x14ac:dyDescent="0.2">
      <c r="A431">
        <f>ROW(Source!A519)</f>
        <v>519</v>
      </c>
      <c r="B431">
        <v>1474096978</v>
      </c>
      <c r="C431">
        <v>1472040674</v>
      </c>
      <c r="D431">
        <v>1441838531</v>
      </c>
      <c r="E431">
        <v>1</v>
      </c>
      <c r="F431">
        <v>1</v>
      </c>
      <c r="G431">
        <v>15514512</v>
      </c>
      <c r="H431">
        <v>3</v>
      </c>
      <c r="I431" t="s">
        <v>732</v>
      </c>
      <c r="J431" t="s">
        <v>733</v>
      </c>
      <c r="K431" t="s">
        <v>734</v>
      </c>
      <c r="L431">
        <v>1348</v>
      </c>
      <c r="N431">
        <v>1009</v>
      </c>
      <c r="O431" t="s">
        <v>675</v>
      </c>
      <c r="P431" t="s">
        <v>675</v>
      </c>
      <c r="Q431">
        <v>1000</v>
      </c>
      <c r="X431">
        <v>6.1999999999999998E-3</v>
      </c>
      <c r="Y431">
        <v>370783.55</v>
      </c>
      <c r="Z431">
        <v>0</v>
      </c>
      <c r="AA431">
        <v>0</v>
      </c>
      <c r="AB431">
        <v>0</v>
      </c>
      <c r="AC431">
        <v>0</v>
      </c>
      <c r="AD431">
        <v>1</v>
      </c>
      <c r="AE431">
        <v>0</v>
      </c>
      <c r="AF431" t="s">
        <v>324</v>
      </c>
      <c r="AG431">
        <v>4.1333333333333335E-3</v>
      </c>
      <c r="AH431">
        <v>3</v>
      </c>
      <c r="AI431">
        <v>-1</v>
      </c>
      <c r="AJ431" t="s">
        <v>3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</row>
    <row r="432" spans="1:44" x14ac:dyDescent="0.2">
      <c r="A432">
        <f>ROW(Source!A519)</f>
        <v>519</v>
      </c>
      <c r="B432">
        <v>1474096979</v>
      </c>
      <c r="C432">
        <v>1472040674</v>
      </c>
      <c r="D432">
        <v>1441834635</v>
      </c>
      <c r="E432">
        <v>1</v>
      </c>
      <c r="F432">
        <v>1</v>
      </c>
      <c r="G432">
        <v>15514512</v>
      </c>
      <c r="H432">
        <v>3</v>
      </c>
      <c r="I432" t="s">
        <v>738</v>
      </c>
      <c r="J432" t="s">
        <v>739</v>
      </c>
      <c r="K432" t="s">
        <v>740</v>
      </c>
      <c r="L432">
        <v>1339</v>
      </c>
      <c r="N432">
        <v>1007</v>
      </c>
      <c r="O432" t="s">
        <v>679</v>
      </c>
      <c r="P432" t="s">
        <v>679</v>
      </c>
      <c r="Q432">
        <v>1</v>
      </c>
      <c r="X432">
        <v>2.8</v>
      </c>
      <c r="Y432">
        <v>103.4</v>
      </c>
      <c r="Z432">
        <v>0</v>
      </c>
      <c r="AA432">
        <v>0</v>
      </c>
      <c r="AB432">
        <v>0</v>
      </c>
      <c r="AC432">
        <v>0</v>
      </c>
      <c r="AD432">
        <v>1</v>
      </c>
      <c r="AE432">
        <v>0</v>
      </c>
      <c r="AF432" t="s">
        <v>324</v>
      </c>
      <c r="AG432">
        <v>1.8666666666666665</v>
      </c>
      <c r="AH432">
        <v>3</v>
      </c>
      <c r="AI432">
        <v>-1</v>
      </c>
      <c r="AJ432" t="s">
        <v>3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</row>
    <row r="433" spans="1:44" x14ac:dyDescent="0.2">
      <c r="A433">
        <f>ROW(Source!A519)</f>
        <v>519</v>
      </c>
      <c r="B433">
        <v>1474096980</v>
      </c>
      <c r="C433">
        <v>1472040674</v>
      </c>
      <c r="D433">
        <v>1441834627</v>
      </c>
      <c r="E433">
        <v>1</v>
      </c>
      <c r="F433">
        <v>1</v>
      </c>
      <c r="G433">
        <v>15514512</v>
      </c>
      <c r="H433">
        <v>3</v>
      </c>
      <c r="I433" t="s">
        <v>741</v>
      </c>
      <c r="J433" t="s">
        <v>742</v>
      </c>
      <c r="K433" t="s">
        <v>743</v>
      </c>
      <c r="L433">
        <v>1339</v>
      </c>
      <c r="N433">
        <v>1007</v>
      </c>
      <c r="O433" t="s">
        <v>679</v>
      </c>
      <c r="P433" t="s">
        <v>679</v>
      </c>
      <c r="Q433">
        <v>1</v>
      </c>
      <c r="X433">
        <v>1.2</v>
      </c>
      <c r="Y433">
        <v>875.46</v>
      </c>
      <c r="Z433">
        <v>0</v>
      </c>
      <c r="AA433">
        <v>0</v>
      </c>
      <c r="AB433">
        <v>0</v>
      </c>
      <c r="AC433">
        <v>0</v>
      </c>
      <c r="AD433">
        <v>1</v>
      </c>
      <c r="AE433">
        <v>0</v>
      </c>
      <c r="AF433" t="s">
        <v>324</v>
      </c>
      <c r="AG433">
        <v>0.79999999999999993</v>
      </c>
      <c r="AH433">
        <v>3</v>
      </c>
      <c r="AI433">
        <v>-1</v>
      </c>
      <c r="AJ433" t="s">
        <v>3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</row>
    <row r="434" spans="1:44" x14ac:dyDescent="0.2">
      <c r="A434">
        <f>ROW(Source!A519)</f>
        <v>519</v>
      </c>
      <c r="B434">
        <v>1474096981</v>
      </c>
      <c r="C434">
        <v>1472040674</v>
      </c>
      <c r="D434">
        <v>1441834671</v>
      </c>
      <c r="E434">
        <v>1</v>
      </c>
      <c r="F434">
        <v>1</v>
      </c>
      <c r="G434">
        <v>15514512</v>
      </c>
      <c r="H434">
        <v>3</v>
      </c>
      <c r="I434" t="s">
        <v>744</v>
      </c>
      <c r="J434" t="s">
        <v>745</v>
      </c>
      <c r="K434" t="s">
        <v>746</v>
      </c>
      <c r="L434">
        <v>1348</v>
      </c>
      <c r="N434">
        <v>1009</v>
      </c>
      <c r="O434" t="s">
        <v>675</v>
      </c>
      <c r="P434" t="s">
        <v>675</v>
      </c>
      <c r="Q434">
        <v>1000</v>
      </c>
      <c r="X434">
        <v>5.0000000000000001E-4</v>
      </c>
      <c r="Y434">
        <v>184462.17</v>
      </c>
      <c r="Z434">
        <v>0</v>
      </c>
      <c r="AA434">
        <v>0</v>
      </c>
      <c r="AB434">
        <v>0</v>
      </c>
      <c r="AC434">
        <v>0</v>
      </c>
      <c r="AD434">
        <v>1</v>
      </c>
      <c r="AE434">
        <v>0</v>
      </c>
      <c r="AF434" t="s">
        <v>324</v>
      </c>
      <c r="AG434">
        <v>3.3333333333333332E-4</v>
      </c>
      <c r="AH434">
        <v>3</v>
      </c>
      <c r="AI434">
        <v>-1</v>
      </c>
      <c r="AJ434" t="s">
        <v>3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</row>
    <row r="435" spans="1:44" x14ac:dyDescent="0.2">
      <c r="A435">
        <f>ROW(Source!A519)</f>
        <v>519</v>
      </c>
      <c r="B435">
        <v>1474096982</v>
      </c>
      <c r="C435">
        <v>1472040674</v>
      </c>
      <c r="D435">
        <v>1441834634</v>
      </c>
      <c r="E435">
        <v>1</v>
      </c>
      <c r="F435">
        <v>1</v>
      </c>
      <c r="G435">
        <v>15514512</v>
      </c>
      <c r="H435">
        <v>3</v>
      </c>
      <c r="I435" t="s">
        <v>747</v>
      </c>
      <c r="J435" t="s">
        <v>748</v>
      </c>
      <c r="K435" t="s">
        <v>749</v>
      </c>
      <c r="L435">
        <v>1348</v>
      </c>
      <c r="N435">
        <v>1009</v>
      </c>
      <c r="O435" t="s">
        <v>675</v>
      </c>
      <c r="P435" t="s">
        <v>675</v>
      </c>
      <c r="Q435">
        <v>1000</v>
      </c>
      <c r="X435">
        <v>1.8E-3</v>
      </c>
      <c r="Y435">
        <v>88053.759999999995</v>
      </c>
      <c r="Z435">
        <v>0</v>
      </c>
      <c r="AA435">
        <v>0</v>
      </c>
      <c r="AB435">
        <v>0</v>
      </c>
      <c r="AC435">
        <v>0</v>
      </c>
      <c r="AD435">
        <v>1</v>
      </c>
      <c r="AE435">
        <v>0</v>
      </c>
      <c r="AF435" t="s">
        <v>324</v>
      </c>
      <c r="AG435">
        <v>1.1999999999999999E-3</v>
      </c>
      <c r="AH435">
        <v>3</v>
      </c>
      <c r="AI435">
        <v>-1</v>
      </c>
      <c r="AJ435" t="s">
        <v>3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</row>
    <row r="436" spans="1:44" x14ac:dyDescent="0.2">
      <c r="A436">
        <f>ROW(Source!A519)</f>
        <v>519</v>
      </c>
      <c r="B436">
        <v>1474096983</v>
      </c>
      <c r="C436">
        <v>1472040674</v>
      </c>
      <c r="D436">
        <v>1441834836</v>
      </c>
      <c r="E436">
        <v>1</v>
      </c>
      <c r="F436">
        <v>1</v>
      </c>
      <c r="G436">
        <v>15514512</v>
      </c>
      <c r="H436">
        <v>3</v>
      </c>
      <c r="I436" t="s">
        <v>750</v>
      </c>
      <c r="J436" t="s">
        <v>751</v>
      </c>
      <c r="K436" t="s">
        <v>752</v>
      </c>
      <c r="L436">
        <v>1348</v>
      </c>
      <c r="N436">
        <v>1009</v>
      </c>
      <c r="O436" t="s">
        <v>675</v>
      </c>
      <c r="P436" t="s">
        <v>675</v>
      </c>
      <c r="Q436">
        <v>1000</v>
      </c>
      <c r="X436">
        <v>8.0099999999999998E-3</v>
      </c>
      <c r="Y436">
        <v>93194.67</v>
      </c>
      <c r="Z436">
        <v>0</v>
      </c>
      <c r="AA436">
        <v>0</v>
      </c>
      <c r="AB436">
        <v>0</v>
      </c>
      <c r="AC436">
        <v>0</v>
      </c>
      <c r="AD436">
        <v>1</v>
      </c>
      <c r="AE436">
        <v>0</v>
      </c>
      <c r="AF436" t="s">
        <v>324</v>
      </c>
      <c r="AG436">
        <v>5.3400000000000001E-3</v>
      </c>
      <c r="AH436">
        <v>3</v>
      </c>
      <c r="AI436">
        <v>-1</v>
      </c>
      <c r="AJ436" t="s">
        <v>3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</row>
    <row r="437" spans="1:44" x14ac:dyDescent="0.2">
      <c r="A437">
        <f>ROW(Source!A519)</f>
        <v>519</v>
      </c>
      <c r="B437">
        <v>1474096984</v>
      </c>
      <c r="C437">
        <v>1472040674</v>
      </c>
      <c r="D437">
        <v>1441822273</v>
      </c>
      <c r="E437">
        <v>15514512</v>
      </c>
      <c r="F437">
        <v>1</v>
      </c>
      <c r="G437">
        <v>15514512</v>
      </c>
      <c r="H437">
        <v>3</v>
      </c>
      <c r="I437" t="s">
        <v>705</v>
      </c>
      <c r="J437" t="s">
        <v>3</v>
      </c>
      <c r="K437" t="s">
        <v>707</v>
      </c>
      <c r="L437">
        <v>1348</v>
      </c>
      <c r="N437">
        <v>1009</v>
      </c>
      <c r="O437" t="s">
        <v>675</v>
      </c>
      <c r="P437" t="s">
        <v>675</v>
      </c>
      <c r="Q437">
        <v>1000</v>
      </c>
      <c r="X437">
        <v>7.9000000000000001E-4</v>
      </c>
      <c r="Y437">
        <v>94640</v>
      </c>
      <c r="Z437">
        <v>0</v>
      </c>
      <c r="AA437">
        <v>0</v>
      </c>
      <c r="AB437">
        <v>0</v>
      </c>
      <c r="AC437">
        <v>0</v>
      </c>
      <c r="AD437">
        <v>1</v>
      </c>
      <c r="AE437">
        <v>0</v>
      </c>
      <c r="AF437" t="s">
        <v>324</v>
      </c>
      <c r="AG437">
        <v>5.2666666666666671E-4</v>
      </c>
      <c r="AH437">
        <v>3</v>
      </c>
      <c r="AI437">
        <v>-1</v>
      </c>
      <c r="AJ437" t="s">
        <v>3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</row>
    <row r="438" spans="1:44" x14ac:dyDescent="0.2">
      <c r="A438">
        <f>ROW(Source!A520)</f>
        <v>520</v>
      </c>
      <c r="B438">
        <v>1474096985</v>
      </c>
      <c r="C438">
        <v>1472040705</v>
      </c>
      <c r="D438">
        <v>1441819193</v>
      </c>
      <c r="E438">
        <v>15514512</v>
      </c>
      <c r="F438">
        <v>1</v>
      </c>
      <c r="G438">
        <v>15514512</v>
      </c>
      <c r="H438">
        <v>1</v>
      </c>
      <c r="I438" t="s">
        <v>648</v>
      </c>
      <c r="J438" t="s">
        <v>3</v>
      </c>
      <c r="K438" t="s">
        <v>649</v>
      </c>
      <c r="L438">
        <v>1191</v>
      </c>
      <c r="N438">
        <v>1013</v>
      </c>
      <c r="O438" t="s">
        <v>650</v>
      </c>
      <c r="P438" t="s">
        <v>650</v>
      </c>
      <c r="Q438">
        <v>1</v>
      </c>
      <c r="X438">
        <v>6.8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1</v>
      </c>
      <c r="AE438">
        <v>1</v>
      </c>
      <c r="AF438" t="s">
        <v>164</v>
      </c>
      <c r="AG438">
        <v>13.6</v>
      </c>
      <c r="AH438">
        <v>3</v>
      </c>
      <c r="AI438">
        <v>-1</v>
      </c>
      <c r="AJ438" t="s">
        <v>3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</row>
    <row r="439" spans="1:44" x14ac:dyDescent="0.2">
      <c r="A439">
        <f>ROW(Source!A520)</f>
        <v>520</v>
      </c>
      <c r="B439">
        <v>1474096986</v>
      </c>
      <c r="C439">
        <v>1472040705</v>
      </c>
      <c r="D439">
        <v>1441834258</v>
      </c>
      <c r="E439">
        <v>1</v>
      </c>
      <c r="F439">
        <v>1</v>
      </c>
      <c r="G439">
        <v>15514512</v>
      </c>
      <c r="H439">
        <v>2</v>
      </c>
      <c r="I439" t="s">
        <v>651</v>
      </c>
      <c r="J439" t="s">
        <v>652</v>
      </c>
      <c r="K439" t="s">
        <v>653</v>
      </c>
      <c r="L439">
        <v>1368</v>
      </c>
      <c r="N439">
        <v>1011</v>
      </c>
      <c r="O439" t="s">
        <v>603</v>
      </c>
      <c r="P439" t="s">
        <v>603</v>
      </c>
      <c r="Q439">
        <v>1</v>
      </c>
      <c r="X439">
        <v>0.42</v>
      </c>
      <c r="Y439">
        <v>0</v>
      </c>
      <c r="Z439">
        <v>1303.01</v>
      </c>
      <c r="AA439">
        <v>826.2</v>
      </c>
      <c r="AB439">
        <v>0</v>
      </c>
      <c r="AC439">
        <v>0</v>
      </c>
      <c r="AD439">
        <v>1</v>
      </c>
      <c r="AE439">
        <v>0</v>
      </c>
      <c r="AF439" t="s">
        <v>164</v>
      </c>
      <c r="AG439">
        <v>0.84</v>
      </c>
      <c r="AH439">
        <v>3</v>
      </c>
      <c r="AI439">
        <v>-1</v>
      </c>
      <c r="AJ439" t="s">
        <v>3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</row>
    <row r="440" spans="1:44" x14ac:dyDescent="0.2">
      <c r="A440">
        <f>ROW(Source!A520)</f>
        <v>520</v>
      </c>
      <c r="B440">
        <v>1474096987</v>
      </c>
      <c r="C440">
        <v>1472040705</v>
      </c>
      <c r="D440">
        <v>1441836235</v>
      </c>
      <c r="E440">
        <v>1</v>
      </c>
      <c r="F440">
        <v>1</v>
      </c>
      <c r="G440">
        <v>15514512</v>
      </c>
      <c r="H440">
        <v>3</v>
      </c>
      <c r="I440" t="s">
        <v>683</v>
      </c>
      <c r="J440" t="s">
        <v>684</v>
      </c>
      <c r="K440" t="s">
        <v>685</v>
      </c>
      <c r="L440">
        <v>1346</v>
      </c>
      <c r="N440">
        <v>1009</v>
      </c>
      <c r="O440" t="s">
        <v>657</v>
      </c>
      <c r="P440" t="s">
        <v>657</v>
      </c>
      <c r="Q440">
        <v>1</v>
      </c>
      <c r="X440">
        <v>1</v>
      </c>
      <c r="Y440">
        <v>31.49</v>
      </c>
      <c r="Z440">
        <v>0</v>
      </c>
      <c r="AA440">
        <v>0</v>
      </c>
      <c r="AB440">
        <v>0</v>
      </c>
      <c r="AC440">
        <v>0</v>
      </c>
      <c r="AD440">
        <v>1</v>
      </c>
      <c r="AE440">
        <v>0</v>
      </c>
      <c r="AF440" t="s">
        <v>164</v>
      </c>
      <c r="AG440">
        <v>2</v>
      </c>
      <c r="AH440">
        <v>3</v>
      </c>
      <c r="AI440">
        <v>-1</v>
      </c>
      <c r="AJ440" t="s">
        <v>3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</row>
    <row r="441" spans="1:44" x14ac:dyDescent="0.2">
      <c r="A441">
        <f>ROW(Source!A520)</f>
        <v>520</v>
      </c>
      <c r="B441">
        <v>1474096988</v>
      </c>
      <c r="C441">
        <v>1472040705</v>
      </c>
      <c r="D441">
        <v>1441834666</v>
      </c>
      <c r="E441">
        <v>1</v>
      </c>
      <c r="F441">
        <v>1</v>
      </c>
      <c r="G441">
        <v>15514512</v>
      </c>
      <c r="H441">
        <v>3</v>
      </c>
      <c r="I441" t="s">
        <v>654</v>
      </c>
      <c r="J441" t="s">
        <v>655</v>
      </c>
      <c r="K441" t="s">
        <v>656</v>
      </c>
      <c r="L441">
        <v>1346</v>
      </c>
      <c r="N441">
        <v>1009</v>
      </c>
      <c r="O441" t="s">
        <v>657</v>
      </c>
      <c r="P441" t="s">
        <v>657</v>
      </c>
      <c r="Q441">
        <v>1</v>
      </c>
      <c r="X441">
        <v>0.35</v>
      </c>
      <c r="Y441">
        <v>924.76</v>
      </c>
      <c r="Z441">
        <v>0</v>
      </c>
      <c r="AA441">
        <v>0</v>
      </c>
      <c r="AB441">
        <v>0</v>
      </c>
      <c r="AC441">
        <v>0</v>
      </c>
      <c r="AD441">
        <v>1</v>
      </c>
      <c r="AE441">
        <v>0</v>
      </c>
      <c r="AF441" t="s">
        <v>164</v>
      </c>
      <c r="AG441">
        <v>0.7</v>
      </c>
      <c r="AH441">
        <v>3</v>
      </c>
      <c r="AI441">
        <v>-1</v>
      </c>
      <c r="AJ441" t="s">
        <v>3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</row>
    <row r="442" spans="1:44" x14ac:dyDescent="0.2">
      <c r="A442">
        <f>ROW(Source!A521)</f>
        <v>521</v>
      </c>
      <c r="B442">
        <v>1474096989</v>
      </c>
      <c r="C442">
        <v>1472040718</v>
      </c>
      <c r="D442">
        <v>1441819193</v>
      </c>
      <c r="E442">
        <v>15514512</v>
      </c>
      <c r="F442">
        <v>1</v>
      </c>
      <c r="G442">
        <v>15514512</v>
      </c>
      <c r="H442">
        <v>1</v>
      </c>
      <c r="I442" t="s">
        <v>648</v>
      </c>
      <c r="J442" t="s">
        <v>3</v>
      </c>
      <c r="K442" t="s">
        <v>649</v>
      </c>
      <c r="L442">
        <v>1191</v>
      </c>
      <c r="N442">
        <v>1013</v>
      </c>
      <c r="O442" t="s">
        <v>650</v>
      </c>
      <c r="P442" t="s">
        <v>650</v>
      </c>
      <c r="Q442">
        <v>1</v>
      </c>
      <c r="X442">
        <v>6.16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1</v>
      </c>
      <c r="AE442">
        <v>1</v>
      </c>
      <c r="AF442" t="s">
        <v>164</v>
      </c>
      <c r="AG442">
        <v>12.32</v>
      </c>
      <c r="AH442">
        <v>3</v>
      </c>
      <c r="AI442">
        <v>-1</v>
      </c>
      <c r="AJ442" t="s">
        <v>3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</row>
    <row r="443" spans="1:44" x14ac:dyDescent="0.2">
      <c r="A443">
        <f>ROW(Source!A521)</f>
        <v>521</v>
      </c>
      <c r="B443">
        <v>1474096990</v>
      </c>
      <c r="C443">
        <v>1472040718</v>
      </c>
      <c r="D443">
        <v>1441834258</v>
      </c>
      <c r="E443">
        <v>1</v>
      </c>
      <c r="F443">
        <v>1</v>
      </c>
      <c r="G443">
        <v>15514512</v>
      </c>
      <c r="H443">
        <v>2</v>
      </c>
      <c r="I443" t="s">
        <v>651</v>
      </c>
      <c r="J443" t="s">
        <v>652</v>
      </c>
      <c r="K443" t="s">
        <v>653</v>
      </c>
      <c r="L443">
        <v>1368</v>
      </c>
      <c r="N443">
        <v>1011</v>
      </c>
      <c r="O443" t="s">
        <v>603</v>
      </c>
      <c r="P443" t="s">
        <v>603</v>
      </c>
      <c r="Q443">
        <v>1</v>
      </c>
      <c r="X443">
        <v>0.42</v>
      </c>
      <c r="Y443">
        <v>0</v>
      </c>
      <c r="Z443">
        <v>1303.01</v>
      </c>
      <c r="AA443">
        <v>826.2</v>
      </c>
      <c r="AB443">
        <v>0</v>
      </c>
      <c r="AC443">
        <v>0</v>
      </c>
      <c r="AD443">
        <v>1</v>
      </c>
      <c r="AE443">
        <v>0</v>
      </c>
      <c r="AF443" t="s">
        <v>164</v>
      </c>
      <c r="AG443">
        <v>0.84</v>
      </c>
      <c r="AH443">
        <v>3</v>
      </c>
      <c r="AI443">
        <v>-1</v>
      </c>
      <c r="AJ443" t="s">
        <v>3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</row>
    <row r="444" spans="1:44" x14ac:dyDescent="0.2">
      <c r="A444">
        <f>ROW(Source!A521)</f>
        <v>521</v>
      </c>
      <c r="B444">
        <v>1474096991</v>
      </c>
      <c r="C444">
        <v>1472040718</v>
      </c>
      <c r="D444">
        <v>1441836235</v>
      </c>
      <c r="E444">
        <v>1</v>
      </c>
      <c r="F444">
        <v>1</v>
      </c>
      <c r="G444">
        <v>15514512</v>
      </c>
      <c r="H444">
        <v>3</v>
      </c>
      <c r="I444" t="s">
        <v>683</v>
      </c>
      <c r="J444" t="s">
        <v>684</v>
      </c>
      <c r="K444" t="s">
        <v>685</v>
      </c>
      <c r="L444">
        <v>1346</v>
      </c>
      <c r="N444">
        <v>1009</v>
      </c>
      <c r="O444" t="s">
        <v>657</v>
      </c>
      <c r="P444" t="s">
        <v>657</v>
      </c>
      <c r="Q444">
        <v>1</v>
      </c>
      <c r="X444">
        <v>1</v>
      </c>
      <c r="Y444">
        <v>31.49</v>
      </c>
      <c r="Z444">
        <v>0</v>
      </c>
      <c r="AA444">
        <v>0</v>
      </c>
      <c r="AB444">
        <v>0</v>
      </c>
      <c r="AC444">
        <v>0</v>
      </c>
      <c r="AD444">
        <v>1</v>
      </c>
      <c r="AE444">
        <v>0</v>
      </c>
      <c r="AF444" t="s">
        <v>164</v>
      </c>
      <c r="AG444">
        <v>2</v>
      </c>
      <c r="AH444">
        <v>3</v>
      </c>
      <c r="AI444">
        <v>-1</v>
      </c>
      <c r="AJ444" t="s">
        <v>3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</row>
    <row r="445" spans="1:44" x14ac:dyDescent="0.2">
      <c r="A445">
        <f>ROW(Source!A522)</f>
        <v>522</v>
      </c>
      <c r="B445">
        <v>1474096992</v>
      </c>
      <c r="C445">
        <v>1472040728</v>
      </c>
      <c r="D445">
        <v>1441819193</v>
      </c>
      <c r="E445">
        <v>15514512</v>
      </c>
      <c r="F445">
        <v>1</v>
      </c>
      <c r="G445">
        <v>15514512</v>
      </c>
      <c r="H445">
        <v>1</v>
      </c>
      <c r="I445" t="s">
        <v>648</v>
      </c>
      <c r="J445" t="s">
        <v>3</v>
      </c>
      <c r="K445" t="s">
        <v>649</v>
      </c>
      <c r="L445">
        <v>1191</v>
      </c>
      <c r="N445">
        <v>1013</v>
      </c>
      <c r="O445" t="s">
        <v>650</v>
      </c>
      <c r="P445" t="s">
        <v>650</v>
      </c>
      <c r="Q445">
        <v>1</v>
      </c>
      <c r="X445">
        <v>1.72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1</v>
      </c>
      <c r="AE445">
        <v>1</v>
      </c>
      <c r="AF445" t="s">
        <v>3</v>
      </c>
      <c r="AG445">
        <v>1.72</v>
      </c>
      <c r="AH445">
        <v>3</v>
      </c>
      <c r="AI445">
        <v>-1</v>
      </c>
      <c r="AJ445" t="s">
        <v>3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</row>
    <row r="446" spans="1:44" x14ac:dyDescent="0.2">
      <c r="A446">
        <f>ROW(Source!A522)</f>
        <v>522</v>
      </c>
      <c r="B446">
        <v>1474096993</v>
      </c>
      <c r="C446">
        <v>1472040728</v>
      </c>
      <c r="D446">
        <v>1441834146</v>
      </c>
      <c r="E446">
        <v>1</v>
      </c>
      <c r="F446">
        <v>1</v>
      </c>
      <c r="G446">
        <v>15514512</v>
      </c>
      <c r="H446">
        <v>2</v>
      </c>
      <c r="I446" t="s">
        <v>781</v>
      </c>
      <c r="J446" t="s">
        <v>782</v>
      </c>
      <c r="K446" t="s">
        <v>783</v>
      </c>
      <c r="L446">
        <v>1368</v>
      </c>
      <c r="N446">
        <v>1011</v>
      </c>
      <c r="O446" t="s">
        <v>603</v>
      </c>
      <c r="P446" t="s">
        <v>603</v>
      </c>
      <c r="Q446">
        <v>1</v>
      </c>
      <c r="X446">
        <v>0.2</v>
      </c>
      <c r="Y446">
        <v>0</v>
      </c>
      <c r="Z446">
        <v>20.55</v>
      </c>
      <c r="AA446">
        <v>0.31</v>
      </c>
      <c r="AB446">
        <v>0</v>
      </c>
      <c r="AC446">
        <v>0</v>
      </c>
      <c r="AD446">
        <v>1</v>
      </c>
      <c r="AE446">
        <v>0</v>
      </c>
      <c r="AF446" t="s">
        <v>3</v>
      </c>
      <c r="AG446">
        <v>0.2</v>
      </c>
      <c r="AH446">
        <v>3</v>
      </c>
      <c r="AI446">
        <v>-1</v>
      </c>
      <c r="AJ446" t="s">
        <v>3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</row>
    <row r="447" spans="1:44" x14ac:dyDescent="0.2">
      <c r="A447">
        <f>ROW(Source!A522)</f>
        <v>522</v>
      </c>
      <c r="B447">
        <v>1474096994</v>
      </c>
      <c r="C447">
        <v>1472040728</v>
      </c>
      <c r="D447">
        <v>1441836235</v>
      </c>
      <c r="E447">
        <v>1</v>
      </c>
      <c r="F447">
        <v>1</v>
      </c>
      <c r="G447">
        <v>15514512</v>
      </c>
      <c r="H447">
        <v>3</v>
      </c>
      <c r="I447" t="s">
        <v>683</v>
      </c>
      <c r="J447" t="s">
        <v>684</v>
      </c>
      <c r="K447" t="s">
        <v>685</v>
      </c>
      <c r="L447">
        <v>1346</v>
      </c>
      <c r="N447">
        <v>1009</v>
      </c>
      <c r="O447" t="s">
        <v>657</v>
      </c>
      <c r="P447" t="s">
        <v>657</v>
      </c>
      <c r="Q447">
        <v>1</v>
      </c>
      <c r="X447">
        <v>0.06</v>
      </c>
      <c r="Y447">
        <v>31.49</v>
      </c>
      <c r="Z447">
        <v>0</v>
      </c>
      <c r="AA447">
        <v>0</v>
      </c>
      <c r="AB447">
        <v>0</v>
      </c>
      <c r="AC447">
        <v>0</v>
      </c>
      <c r="AD447">
        <v>1</v>
      </c>
      <c r="AE447">
        <v>0</v>
      </c>
      <c r="AF447" t="s">
        <v>3</v>
      </c>
      <c r="AG447">
        <v>0.06</v>
      </c>
      <c r="AH447">
        <v>3</v>
      </c>
      <c r="AI447">
        <v>-1</v>
      </c>
      <c r="AJ447" t="s">
        <v>3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</row>
    <row r="448" spans="1:44" x14ac:dyDescent="0.2">
      <c r="A448">
        <f>ROW(Source!A522)</f>
        <v>522</v>
      </c>
      <c r="B448">
        <v>1474096995</v>
      </c>
      <c r="C448">
        <v>1472040728</v>
      </c>
      <c r="D448">
        <v>1441836393</v>
      </c>
      <c r="E448">
        <v>1</v>
      </c>
      <c r="F448">
        <v>1</v>
      </c>
      <c r="G448">
        <v>15514512</v>
      </c>
      <c r="H448">
        <v>3</v>
      </c>
      <c r="I448" t="s">
        <v>778</v>
      </c>
      <c r="J448" t="s">
        <v>779</v>
      </c>
      <c r="K448" t="s">
        <v>780</v>
      </c>
      <c r="L448">
        <v>1296</v>
      </c>
      <c r="N448">
        <v>1002</v>
      </c>
      <c r="O448" t="s">
        <v>667</v>
      </c>
      <c r="P448" t="s">
        <v>667</v>
      </c>
      <c r="Q448">
        <v>1</v>
      </c>
      <c r="X448">
        <v>5.9999999999999995E-4</v>
      </c>
      <c r="Y448">
        <v>4241.6400000000003</v>
      </c>
      <c r="Z448">
        <v>0</v>
      </c>
      <c r="AA448">
        <v>0</v>
      </c>
      <c r="AB448">
        <v>0</v>
      </c>
      <c r="AC448">
        <v>0</v>
      </c>
      <c r="AD448">
        <v>1</v>
      </c>
      <c r="AE448">
        <v>0</v>
      </c>
      <c r="AF448" t="s">
        <v>3</v>
      </c>
      <c r="AG448">
        <v>5.9999999999999995E-4</v>
      </c>
      <c r="AH448">
        <v>3</v>
      </c>
      <c r="AI448">
        <v>-1</v>
      </c>
      <c r="AJ448" t="s">
        <v>3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</row>
    <row r="449" spans="1:44" x14ac:dyDescent="0.2">
      <c r="A449">
        <f>ROW(Source!A523)</f>
        <v>523</v>
      </c>
      <c r="B449">
        <v>1474096996</v>
      </c>
      <c r="C449">
        <v>1472040741</v>
      </c>
      <c r="D449">
        <v>1441819193</v>
      </c>
      <c r="E449">
        <v>15514512</v>
      </c>
      <c r="F449">
        <v>1</v>
      </c>
      <c r="G449">
        <v>15514512</v>
      </c>
      <c r="H449">
        <v>1</v>
      </c>
      <c r="I449" t="s">
        <v>648</v>
      </c>
      <c r="J449" t="s">
        <v>3</v>
      </c>
      <c r="K449" t="s">
        <v>649</v>
      </c>
      <c r="L449">
        <v>1191</v>
      </c>
      <c r="N449">
        <v>1013</v>
      </c>
      <c r="O449" t="s">
        <v>650</v>
      </c>
      <c r="P449" t="s">
        <v>650</v>
      </c>
      <c r="Q449">
        <v>1</v>
      </c>
      <c r="X449">
        <v>1.02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1</v>
      </c>
      <c r="AE449">
        <v>1</v>
      </c>
      <c r="AF449" t="s">
        <v>290</v>
      </c>
      <c r="AG449">
        <v>3.06</v>
      </c>
      <c r="AH449">
        <v>3</v>
      </c>
      <c r="AI449">
        <v>-1</v>
      </c>
      <c r="AJ449" t="s">
        <v>3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</row>
    <row r="450" spans="1:44" x14ac:dyDescent="0.2">
      <c r="A450">
        <f>ROW(Source!A523)</f>
        <v>523</v>
      </c>
      <c r="B450">
        <v>1474096997</v>
      </c>
      <c r="C450">
        <v>1472040741</v>
      </c>
      <c r="D450">
        <v>1441836235</v>
      </c>
      <c r="E450">
        <v>1</v>
      </c>
      <c r="F450">
        <v>1</v>
      </c>
      <c r="G450">
        <v>15514512</v>
      </c>
      <c r="H450">
        <v>3</v>
      </c>
      <c r="I450" t="s">
        <v>683</v>
      </c>
      <c r="J450" t="s">
        <v>684</v>
      </c>
      <c r="K450" t="s">
        <v>685</v>
      </c>
      <c r="L450">
        <v>1346</v>
      </c>
      <c r="N450">
        <v>1009</v>
      </c>
      <c r="O450" t="s">
        <v>657</v>
      </c>
      <c r="P450" t="s">
        <v>657</v>
      </c>
      <c r="Q450">
        <v>1</v>
      </c>
      <c r="X450">
        <v>0.03</v>
      </c>
      <c r="Y450">
        <v>31.49</v>
      </c>
      <c r="Z450">
        <v>0</v>
      </c>
      <c r="AA450">
        <v>0</v>
      </c>
      <c r="AB450">
        <v>0</v>
      </c>
      <c r="AC450">
        <v>0</v>
      </c>
      <c r="AD450">
        <v>1</v>
      </c>
      <c r="AE450">
        <v>0</v>
      </c>
      <c r="AF450" t="s">
        <v>290</v>
      </c>
      <c r="AG450">
        <v>0.09</v>
      </c>
      <c r="AH450">
        <v>3</v>
      </c>
      <c r="AI450">
        <v>-1</v>
      </c>
      <c r="AJ450" t="s">
        <v>3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</row>
    <row r="451" spans="1:44" x14ac:dyDescent="0.2">
      <c r="A451">
        <f>ROW(Source!A525)</f>
        <v>525</v>
      </c>
      <c r="B451">
        <v>1474096998</v>
      </c>
      <c r="C451">
        <v>1472040749</v>
      </c>
      <c r="D451">
        <v>1441819193</v>
      </c>
      <c r="E451">
        <v>15514512</v>
      </c>
      <c r="F451">
        <v>1</v>
      </c>
      <c r="G451">
        <v>15514512</v>
      </c>
      <c r="H451">
        <v>1</v>
      </c>
      <c r="I451" t="s">
        <v>648</v>
      </c>
      <c r="J451" t="s">
        <v>3</v>
      </c>
      <c r="K451" t="s">
        <v>649</v>
      </c>
      <c r="L451">
        <v>1191</v>
      </c>
      <c r="N451">
        <v>1013</v>
      </c>
      <c r="O451" t="s">
        <v>650</v>
      </c>
      <c r="P451" t="s">
        <v>650</v>
      </c>
      <c r="Q451">
        <v>1</v>
      </c>
      <c r="X451">
        <v>200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1</v>
      </c>
      <c r="AE451">
        <v>1</v>
      </c>
      <c r="AF451" t="s">
        <v>324</v>
      </c>
      <c r="AG451">
        <v>133.33333333333334</v>
      </c>
      <c r="AH451">
        <v>3</v>
      </c>
      <c r="AI451">
        <v>-1</v>
      </c>
      <c r="AJ451" t="s">
        <v>3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</row>
    <row r="452" spans="1:44" x14ac:dyDescent="0.2">
      <c r="A452">
        <f>ROW(Source!A525)</f>
        <v>525</v>
      </c>
      <c r="B452">
        <v>1474096999</v>
      </c>
      <c r="C452">
        <v>1472040749</v>
      </c>
      <c r="D452">
        <v>1441835475</v>
      </c>
      <c r="E452">
        <v>1</v>
      </c>
      <c r="F452">
        <v>1</v>
      </c>
      <c r="G452">
        <v>15514512</v>
      </c>
      <c r="H452">
        <v>3</v>
      </c>
      <c r="I452" t="s">
        <v>723</v>
      </c>
      <c r="J452" t="s">
        <v>724</v>
      </c>
      <c r="K452" t="s">
        <v>725</v>
      </c>
      <c r="L452">
        <v>1348</v>
      </c>
      <c r="N452">
        <v>1009</v>
      </c>
      <c r="O452" t="s">
        <v>675</v>
      </c>
      <c r="P452" t="s">
        <v>675</v>
      </c>
      <c r="Q452">
        <v>1000</v>
      </c>
      <c r="X452">
        <v>5.5999999999999999E-3</v>
      </c>
      <c r="Y452">
        <v>155908.07999999999</v>
      </c>
      <c r="Z452">
        <v>0</v>
      </c>
      <c r="AA452">
        <v>0</v>
      </c>
      <c r="AB452">
        <v>0</v>
      </c>
      <c r="AC452">
        <v>0</v>
      </c>
      <c r="AD452">
        <v>1</v>
      </c>
      <c r="AE452">
        <v>0</v>
      </c>
      <c r="AF452" t="s">
        <v>324</v>
      </c>
      <c r="AG452">
        <v>3.7333333333333333E-3</v>
      </c>
      <c r="AH452">
        <v>3</v>
      </c>
      <c r="AI452">
        <v>-1</v>
      </c>
      <c r="AJ452" t="s">
        <v>3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</row>
    <row r="453" spans="1:44" x14ac:dyDescent="0.2">
      <c r="A453">
        <f>ROW(Source!A525)</f>
        <v>525</v>
      </c>
      <c r="B453">
        <v>1474097000</v>
      </c>
      <c r="C453">
        <v>1472040749</v>
      </c>
      <c r="D453">
        <v>1441835549</v>
      </c>
      <c r="E453">
        <v>1</v>
      </c>
      <c r="F453">
        <v>1</v>
      </c>
      <c r="G453">
        <v>15514512</v>
      </c>
      <c r="H453">
        <v>3</v>
      </c>
      <c r="I453" t="s">
        <v>726</v>
      </c>
      <c r="J453" t="s">
        <v>727</v>
      </c>
      <c r="K453" t="s">
        <v>728</v>
      </c>
      <c r="L453">
        <v>1348</v>
      </c>
      <c r="N453">
        <v>1009</v>
      </c>
      <c r="O453" t="s">
        <v>675</v>
      </c>
      <c r="P453" t="s">
        <v>675</v>
      </c>
      <c r="Q453">
        <v>1000</v>
      </c>
      <c r="X453">
        <v>1.1000000000000001E-3</v>
      </c>
      <c r="Y453">
        <v>194655.19</v>
      </c>
      <c r="Z453">
        <v>0</v>
      </c>
      <c r="AA453">
        <v>0</v>
      </c>
      <c r="AB453">
        <v>0</v>
      </c>
      <c r="AC453">
        <v>0</v>
      </c>
      <c r="AD453">
        <v>1</v>
      </c>
      <c r="AE453">
        <v>0</v>
      </c>
      <c r="AF453" t="s">
        <v>324</v>
      </c>
      <c r="AG453">
        <v>7.3333333333333334E-4</v>
      </c>
      <c r="AH453">
        <v>3</v>
      </c>
      <c r="AI453">
        <v>-1</v>
      </c>
      <c r="AJ453" t="s">
        <v>3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</row>
    <row r="454" spans="1:44" x14ac:dyDescent="0.2">
      <c r="A454">
        <f>ROW(Source!A525)</f>
        <v>525</v>
      </c>
      <c r="B454">
        <v>1474097001</v>
      </c>
      <c r="C454">
        <v>1472040749</v>
      </c>
      <c r="D454">
        <v>1441838531</v>
      </c>
      <c r="E454">
        <v>1</v>
      </c>
      <c r="F454">
        <v>1</v>
      </c>
      <c r="G454">
        <v>15514512</v>
      </c>
      <c r="H454">
        <v>3</v>
      </c>
      <c r="I454" t="s">
        <v>732</v>
      </c>
      <c r="J454" t="s">
        <v>733</v>
      </c>
      <c r="K454" t="s">
        <v>734</v>
      </c>
      <c r="L454">
        <v>1348</v>
      </c>
      <c r="N454">
        <v>1009</v>
      </c>
      <c r="O454" t="s">
        <v>675</v>
      </c>
      <c r="P454" t="s">
        <v>675</v>
      </c>
      <c r="Q454">
        <v>1000</v>
      </c>
      <c r="X454">
        <v>6.1999999999999998E-3</v>
      </c>
      <c r="Y454">
        <v>370783.55</v>
      </c>
      <c r="Z454">
        <v>0</v>
      </c>
      <c r="AA454">
        <v>0</v>
      </c>
      <c r="AB454">
        <v>0</v>
      </c>
      <c r="AC454">
        <v>0</v>
      </c>
      <c r="AD454">
        <v>1</v>
      </c>
      <c r="AE454">
        <v>0</v>
      </c>
      <c r="AF454" t="s">
        <v>324</v>
      </c>
      <c r="AG454">
        <v>4.1333333333333335E-3</v>
      </c>
      <c r="AH454">
        <v>3</v>
      </c>
      <c r="AI454">
        <v>-1</v>
      </c>
      <c r="AJ454" t="s">
        <v>3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</row>
    <row r="455" spans="1:44" x14ac:dyDescent="0.2">
      <c r="A455">
        <f>ROW(Source!A525)</f>
        <v>525</v>
      </c>
      <c r="B455">
        <v>1474097002</v>
      </c>
      <c r="C455">
        <v>1472040749</v>
      </c>
      <c r="D455">
        <v>1441834635</v>
      </c>
      <c r="E455">
        <v>1</v>
      </c>
      <c r="F455">
        <v>1</v>
      </c>
      <c r="G455">
        <v>15514512</v>
      </c>
      <c r="H455">
        <v>3</v>
      </c>
      <c r="I455" t="s">
        <v>738</v>
      </c>
      <c r="J455" t="s">
        <v>739</v>
      </c>
      <c r="K455" t="s">
        <v>740</v>
      </c>
      <c r="L455">
        <v>1339</v>
      </c>
      <c r="N455">
        <v>1007</v>
      </c>
      <c r="O455" t="s">
        <v>679</v>
      </c>
      <c r="P455" t="s">
        <v>679</v>
      </c>
      <c r="Q455">
        <v>1</v>
      </c>
      <c r="X455">
        <v>2.8</v>
      </c>
      <c r="Y455">
        <v>103.4</v>
      </c>
      <c r="Z455">
        <v>0</v>
      </c>
      <c r="AA455">
        <v>0</v>
      </c>
      <c r="AB455">
        <v>0</v>
      </c>
      <c r="AC455">
        <v>0</v>
      </c>
      <c r="AD455">
        <v>1</v>
      </c>
      <c r="AE455">
        <v>0</v>
      </c>
      <c r="AF455" t="s">
        <v>324</v>
      </c>
      <c r="AG455">
        <v>1.8666666666666665</v>
      </c>
      <c r="AH455">
        <v>3</v>
      </c>
      <c r="AI455">
        <v>-1</v>
      </c>
      <c r="AJ455" t="s">
        <v>3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</row>
    <row r="456" spans="1:44" x14ac:dyDescent="0.2">
      <c r="A456">
        <f>ROW(Source!A525)</f>
        <v>525</v>
      </c>
      <c r="B456">
        <v>1474097003</v>
      </c>
      <c r="C456">
        <v>1472040749</v>
      </c>
      <c r="D456">
        <v>1441834627</v>
      </c>
      <c r="E456">
        <v>1</v>
      </c>
      <c r="F456">
        <v>1</v>
      </c>
      <c r="G456">
        <v>15514512</v>
      </c>
      <c r="H456">
        <v>3</v>
      </c>
      <c r="I456" t="s">
        <v>741</v>
      </c>
      <c r="J456" t="s">
        <v>742</v>
      </c>
      <c r="K456" t="s">
        <v>743</v>
      </c>
      <c r="L456">
        <v>1339</v>
      </c>
      <c r="N456">
        <v>1007</v>
      </c>
      <c r="O456" t="s">
        <v>679</v>
      </c>
      <c r="P456" t="s">
        <v>679</v>
      </c>
      <c r="Q456">
        <v>1</v>
      </c>
      <c r="X456">
        <v>1.2</v>
      </c>
      <c r="Y456">
        <v>875.46</v>
      </c>
      <c r="Z456">
        <v>0</v>
      </c>
      <c r="AA456">
        <v>0</v>
      </c>
      <c r="AB456">
        <v>0</v>
      </c>
      <c r="AC456">
        <v>0</v>
      </c>
      <c r="AD456">
        <v>1</v>
      </c>
      <c r="AE456">
        <v>0</v>
      </c>
      <c r="AF456" t="s">
        <v>324</v>
      </c>
      <c r="AG456">
        <v>0.79999999999999993</v>
      </c>
      <c r="AH456">
        <v>3</v>
      </c>
      <c r="AI456">
        <v>-1</v>
      </c>
      <c r="AJ456" t="s">
        <v>3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</row>
    <row r="457" spans="1:44" x14ac:dyDescent="0.2">
      <c r="A457">
        <f>ROW(Source!A525)</f>
        <v>525</v>
      </c>
      <c r="B457">
        <v>1474097004</v>
      </c>
      <c r="C457">
        <v>1472040749</v>
      </c>
      <c r="D457">
        <v>1441834671</v>
      </c>
      <c r="E457">
        <v>1</v>
      </c>
      <c r="F457">
        <v>1</v>
      </c>
      <c r="G457">
        <v>15514512</v>
      </c>
      <c r="H457">
        <v>3</v>
      </c>
      <c r="I457" t="s">
        <v>744</v>
      </c>
      <c r="J457" t="s">
        <v>745</v>
      </c>
      <c r="K457" t="s">
        <v>746</v>
      </c>
      <c r="L457">
        <v>1348</v>
      </c>
      <c r="N457">
        <v>1009</v>
      </c>
      <c r="O457" t="s">
        <v>675</v>
      </c>
      <c r="P457" t="s">
        <v>675</v>
      </c>
      <c r="Q457">
        <v>1000</v>
      </c>
      <c r="X457">
        <v>5.0000000000000001E-4</v>
      </c>
      <c r="Y457">
        <v>184462.17</v>
      </c>
      <c r="Z457">
        <v>0</v>
      </c>
      <c r="AA457">
        <v>0</v>
      </c>
      <c r="AB457">
        <v>0</v>
      </c>
      <c r="AC457">
        <v>0</v>
      </c>
      <c r="AD457">
        <v>1</v>
      </c>
      <c r="AE457">
        <v>0</v>
      </c>
      <c r="AF457" t="s">
        <v>324</v>
      </c>
      <c r="AG457">
        <v>3.3333333333333332E-4</v>
      </c>
      <c r="AH457">
        <v>3</v>
      </c>
      <c r="AI457">
        <v>-1</v>
      </c>
      <c r="AJ457" t="s">
        <v>3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</row>
    <row r="458" spans="1:44" x14ac:dyDescent="0.2">
      <c r="A458">
        <f>ROW(Source!A525)</f>
        <v>525</v>
      </c>
      <c r="B458">
        <v>1474097005</v>
      </c>
      <c r="C458">
        <v>1472040749</v>
      </c>
      <c r="D458">
        <v>1441834634</v>
      </c>
      <c r="E458">
        <v>1</v>
      </c>
      <c r="F458">
        <v>1</v>
      </c>
      <c r="G458">
        <v>15514512</v>
      </c>
      <c r="H458">
        <v>3</v>
      </c>
      <c r="I458" t="s">
        <v>747</v>
      </c>
      <c r="J458" t="s">
        <v>748</v>
      </c>
      <c r="K458" t="s">
        <v>749</v>
      </c>
      <c r="L458">
        <v>1348</v>
      </c>
      <c r="N458">
        <v>1009</v>
      </c>
      <c r="O458" t="s">
        <v>675</v>
      </c>
      <c r="P458" t="s">
        <v>675</v>
      </c>
      <c r="Q458">
        <v>1000</v>
      </c>
      <c r="X458">
        <v>1.8E-3</v>
      </c>
      <c r="Y458">
        <v>88053.759999999995</v>
      </c>
      <c r="Z458">
        <v>0</v>
      </c>
      <c r="AA458">
        <v>0</v>
      </c>
      <c r="AB458">
        <v>0</v>
      </c>
      <c r="AC458">
        <v>0</v>
      </c>
      <c r="AD458">
        <v>1</v>
      </c>
      <c r="AE458">
        <v>0</v>
      </c>
      <c r="AF458" t="s">
        <v>324</v>
      </c>
      <c r="AG458">
        <v>1.1999999999999999E-3</v>
      </c>
      <c r="AH458">
        <v>3</v>
      </c>
      <c r="AI458">
        <v>-1</v>
      </c>
      <c r="AJ458" t="s">
        <v>3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</row>
    <row r="459" spans="1:44" x14ac:dyDescent="0.2">
      <c r="A459">
        <f>ROW(Source!A525)</f>
        <v>525</v>
      </c>
      <c r="B459">
        <v>1474097006</v>
      </c>
      <c r="C459">
        <v>1472040749</v>
      </c>
      <c r="D459">
        <v>1441834836</v>
      </c>
      <c r="E459">
        <v>1</v>
      </c>
      <c r="F459">
        <v>1</v>
      </c>
      <c r="G459">
        <v>15514512</v>
      </c>
      <c r="H459">
        <v>3</v>
      </c>
      <c r="I459" t="s">
        <v>750</v>
      </c>
      <c r="J459" t="s">
        <v>751</v>
      </c>
      <c r="K459" t="s">
        <v>752</v>
      </c>
      <c r="L459">
        <v>1348</v>
      </c>
      <c r="N459">
        <v>1009</v>
      </c>
      <c r="O459" t="s">
        <v>675</v>
      </c>
      <c r="P459" t="s">
        <v>675</v>
      </c>
      <c r="Q459">
        <v>1000</v>
      </c>
      <c r="X459">
        <v>8.0099999999999998E-3</v>
      </c>
      <c r="Y459">
        <v>93194.67</v>
      </c>
      <c r="Z459">
        <v>0</v>
      </c>
      <c r="AA459">
        <v>0</v>
      </c>
      <c r="AB459">
        <v>0</v>
      </c>
      <c r="AC459">
        <v>0</v>
      </c>
      <c r="AD459">
        <v>1</v>
      </c>
      <c r="AE459">
        <v>0</v>
      </c>
      <c r="AF459" t="s">
        <v>324</v>
      </c>
      <c r="AG459">
        <v>5.3400000000000001E-3</v>
      </c>
      <c r="AH459">
        <v>3</v>
      </c>
      <c r="AI459">
        <v>-1</v>
      </c>
      <c r="AJ459" t="s">
        <v>3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</row>
    <row r="460" spans="1:44" x14ac:dyDescent="0.2">
      <c r="A460">
        <f>ROW(Source!A525)</f>
        <v>525</v>
      </c>
      <c r="B460">
        <v>1474097007</v>
      </c>
      <c r="C460">
        <v>1472040749</v>
      </c>
      <c r="D460">
        <v>1441822273</v>
      </c>
      <c r="E460">
        <v>15514512</v>
      </c>
      <c r="F460">
        <v>1</v>
      </c>
      <c r="G460">
        <v>15514512</v>
      </c>
      <c r="H460">
        <v>3</v>
      </c>
      <c r="I460" t="s">
        <v>705</v>
      </c>
      <c r="J460" t="s">
        <v>3</v>
      </c>
      <c r="K460" t="s">
        <v>707</v>
      </c>
      <c r="L460">
        <v>1348</v>
      </c>
      <c r="N460">
        <v>1009</v>
      </c>
      <c r="O460" t="s">
        <v>675</v>
      </c>
      <c r="P460" t="s">
        <v>675</v>
      </c>
      <c r="Q460">
        <v>1000</v>
      </c>
      <c r="X460">
        <v>7.9000000000000001E-4</v>
      </c>
      <c r="Y460">
        <v>94640</v>
      </c>
      <c r="Z460">
        <v>0</v>
      </c>
      <c r="AA460">
        <v>0</v>
      </c>
      <c r="AB460">
        <v>0</v>
      </c>
      <c r="AC460">
        <v>0</v>
      </c>
      <c r="AD460">
        <v>1</v>
      </c>
      <c r="AE460">
        <v>0</v>
      </c>
      <c r="AF460" t="s">
        <v>324</v>
      </c>
      <c r="AG460">
        <v>5.2666666666666671E-4</v>
      </c>
      <c r="AH460">
        <v>3</v>
      </c>
      <c r="AI460">
        <v>-1</v>
      </c>
      <c r="AJ460" t="s">
        <v>3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</row>
    <row r="461" spans="1:44" x14ac:dyDescent="0.2">
      <c r="A461">
        <f>ROW(Source!A526)</f>
        <v>526</v>
      </c>
      <c r="B461">
        <v>1474097008</v>
      </c>
      <c r="C461">
        <v>1472040780</v>
      </c>
      <c r="D461">
        <v>1441819193</v>
      </c>
      <c r="E461">
        <v>15514512</v>
      </c>
      <c r="F461">
        <v>1</v>
      </c>
      <c r="G461">
        <v>15514512</v>
      </c>
      <c r="H461">
        <v>1</v>
      </c>
      <c r="I461" t="s">
        <v>648</v>
      </c>
      <c r="J461" t="s">
        <v>3</v>
      </c>
      <c r="K461" t="s">
        <v>649</v>
      </c>
      <c r="L461">
        <v>1191</v>
      </c>
      <c r="N461">
        <v>1013</v>
      </c>
      <c r="O461" t="s">
        <v>650</v>
      </c>
      <c r="P461" t="s">
        <v>650</v>
      </c>
      <c r="Q461">
        <v>1</v>
      </c>
      <c r="X461">
        <v>6.8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1</v>
      </c>
      <c r="AE461">
        <v>1</v>
      </c>
      <c r="AF461" t="s">
        <v>164</v>
      </c>
      <c r="AG461">
        <v>13.6</v>
      </c>
      <c r="AH461">
        <v>3</v>
      </c>
      <c r="AI461">
        <v>-1</v>
      </c>
      <c r="AJ461" t="s">
        <v>3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</row>
    <row r="462" spans="1:44" x14ac:dyDescent="0.2">
      <c r="A462">
        <f>ROW(Source!A526)</f>
        <v>526</v>
      </c>
      <c r="B462">
        <v>1474097009</v>
      </c>
      <c r="C462">
        <v>1472040780</v>
      </c>
      <c r="D462">
        <v>1441834258</v>
      </c>
      <c r="E462">
        <v>1</v>
      </c>
      <c r="F462">
        <v>1</v>
      </c>
      <c r="G462">
        <v>15514512</v>
      </c>
      <c r="H462">
        <v>2</v>
      </c>
      <c r="I462" t="s">
        <v>651</v>
      </c>
      <c r="J462" t="s">
        <v>652</v>
      </c>
      <c r="K462" t="s">
        <v>653</v>
      </c>
      <c r="L462">
        <v>1368</v>
      </c>
      <c r="N462">
        <v>1011</v>
      </c>
      <c r="O462" t="s">
        <v>603</v>
      </c>
      <c r="P462" t="s">
        <v>603</v>
      </c>
      <c r="Q462">
        <v>1</v>
      </c>
      <c r="X462">
        <v>0.42</v>
      </c>
      <c r="Y462">
        <v>0</v>
      </c>
      <c r="Z462">
        <v>1303.01</v>
      </c>
      <c r="AA462">
        <v>826.2</v>
      </c>
      <c r="AB462">
        <v>0</v>
      </c>
      <c r="AC462">
        <v>0</v>
      </c>
      <c r="AD462">
        <v>1</v>
      </c>
      <c r="AE462">
        <v>0</v>
      </c>
      <c r="AF462" t="s">
        <v>164</v>
      </c>
      <c r="AG462">
        <v>0.84</v>
      </c>
      <c r="AH462">
        <v>3</v>
      </c>
      <c r="AI462">
        <v>-1</v>
      </c>
      <c r="AJ462" t="s">
        <v>3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</row>
    <row r="463" spans="1:44" x14ac:dyDescent="0.2">
      <c r="A463">
        <f>ROW(Source!A526)</f>
        <v>526</v>
      </c>
      <c r="B463">
        <v>1474097010</v>
      </c>
      <c r="C463">
        <v>1472040780</v>
      </c>
      <c r="D463">
        <v>1441836235</v>
      </c>
      <c r="E463">
        <v>1</v>
      </c>
      <c r="F463">
        <v>1</v>
      </c>
      <c r="G463">
        <v>15514512</v>
      </c>
      <c r="H463">
        <v>3</v>
      </c>
      <c r="I463" t="s">
        <v>683</v>
      </c>
      <c r="J463" t="s">
        <v>684</v>
      </c>
      <c r="K463" t="s">
        <v>685</v>
      </c>
      <c r="L463">
        <v>1346</v>
      </c>
      <c r="N463">
        <v>1009</v>
      </c>
      <c r="O463" t="s">
        <v>657</v>
      </c>
      <c r="P463" t="s">
        <v>657</v>
      </c>
      <c r="Q463">
        <v>1</v>
      </c>
      <c r="X463">
        <v>1</v>
      </c>
      <c r="Y463">
        <v>31.49</v>
      </c>
      <c r="Z463">
        <v>0</v>
      </c>
      <c r="AA463">
        <v>0</v>
      </c>
      <c r="AB463">
        <v>0</v>
      </c>
      <c r="AC463">
        <v>0</v>
      </c>
      <c r="AD463">
        <v>1</v>
      </c>
      <c r="AE463">
        <v>0</v>
      </c>
      <c r="AF463" t="s">
        <v>164</v>
      </c>
      <c r="AG463">
        <v>2</v>
      </c>
      <c r="AH463">
        <v>3</v>
      </c>
      <c r="AI463">
        <v>-1</v>
      </c>
      <c r="AJ463" t="s">
        <v>3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</row>
    <row r="464" spans="1:44" x14ac:dyDescent="0.2">
      <c r="A464">
        <f>ROW(Source!A526)</f>
        <v>526</v>
      </c>
      <c r="B464">
        <v>1474097011</v>
      </c>
      <c r="C464">
        <v>1472040780</v>
      </c>
      <c r="D464">
        <v>1441834666</v>
      </c>
      <c r="E464">
        <v>1</v>
      </c>
      <c r="F464">
        <v>1</v>
      </c>
      <c r="G464">
        <v>15514512</v>
      </c>
      <c r="H464">
        <v>3</v>
      </c>
      <c r="I464" t="s">
        <v>654</v>
      </c>
      <c r="J464" t="s">
        <v>655</v>
      </c>
      <c r="K464" t="s">
        <v>656</v>
      </c>
      <c r="L464">
        <v>1346</v>
      </c>
      <c r="N464">
        <v>1009</v>
      </c>
      <c r="O464" t="s">
        <v>657</v>
      </c>
      <c r="P464" t="s">
        <v>657</v>
      </c>
      <c r="Q464">
        <v>1</v>
      </c>
      <c r="X464">
        <v>0.35</v>
      </c>
      <c r="Y464">
        <v>924.76</v>
      </c>
      <c r="Z464">
        <v>0</v>
      </c>
      <c r="AA464">
        <v>0</v>
      </c>
      <c r="AB464">
        <v>0</v>
      </c>
      <c r="AC464">
        <v>0</v>
      </c>
      <c r="AD464">
        <v>1</v>
      </c>
      <c r="AE464">
        <v>0</v>
      </c>
      <c r="AF464" t="s">
        <v>164</v>
      </c>
      <c r="AG464">
        <v>0.7</v>
      </c>
      <c r="AH464">
        <v>3</v>
      </c>
      <c r="AI464">
        <v>-1</v>
      </c>
      <c r="AJ464" t="s">
        <v>3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</row>
    <row r="465" spans="1:44" x14ac:dyDescent="0.2">
      <c r="A465">
        <f>ROW(Source!A527)</f>
        <v>527</v>
      </c>
      <c r="B465">
        <v>1474097012</v>
      </c>
      <c r="C465">
        <v>1472040793</v>
      </c>
      <c r="D465">
        <v>1441819193</v>
      </c>
      <c r="E465">
        <v>15514512</v>
      </c>
      <c r="F465">
        <v>1</v>
      </c>
      <c r="G465">
        <v>15514512</v>
      </c>
      <c r="H465">
        <v>1</v>
      </c>
      <c r="I465" t="s">
        <v>648</v>
      </c>
      <c r="J465" t="s">
        <v>3</v>
      </c>
      <c r="K465" t="s">
        <v>649</v>
      </c>
      <c r="L465">
        <v>1191</v>
      </c>
      <c r="N465">
        <v>1013</v>
      </c>
      <c r="O465" t="s">
        <v>650</v>
      </c>
      <c r="P465" t="s">
        <v>650</v>
      </c>
      <c r="Q465">
        <v>1</v>
      </c>
      <c r="X465">
        <v>6.16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1</v>
      </c>
      <c r="AE465">
        <v>1</v>
      </c>
      <c r="AF465" t="s">
        <v>164</v>
      </c>
      <c r="AG465">
        <v>12.32</v>
      </c>
      <c r="AH465">
        <v>3</v>
      </c>
      <c r="AI465">
        <v>-1</v>
      </c>
      <c r="AJ465" t="s">
        <v>3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</row>
    <row r="466" spans="1:44" x14ac:dyDescent="0.2">
      <c r="A466">
        <f>ROW(Source!A527)</f>
        <v>527</v>
      </c>
      <c r="B466">
        <v>1474097013</v>
      </c>
      <c r="C466">
        <v>1472040793</v>
      </c>
      <c r="D466">
        <v>1441834258</v>
      </c>
      <c r="E466">
        <v>1</v>
      </c>
      <c r="F466">
        <v>1</v>
      </c>
      <c r="G466">
        <v>15514512</v>
      </c>
      <c r="H466">
        <v>2</v>
      </c>
      <c r="I466" t="s">
        <v>651</v>
      </c>
      <c r="J466" t="s">
        <v>652</v>
      </c>
      <c r="K466" t="s">
        <v>653</v>
      </c>
      <c r="L466">
        <v>1368</v>
      </c>
      <c r="N466">
        <v>1011</v>
      </c>
      <c r="O466" t="s">
        <v>603</v>
      </c>
      <c r="P466" t="s">
        <v>603</v>
      </c>
      <c r="Q466">
        <v>1</v>
      </c>
      <c r="X466">
        <v>0.42</v>
      </c>
      <c r="Y466">
        <v>0</v>
      </c>
      <c r="Z466">
        <v>1303.01</v>
      </c>
      <c r="AA466">
        <v>826.2</v>
      </c>
      <c r="AB466">
        <v>0</v>
      </c>
      <c r="AC466">
        <v>0</v>
      </c>
      <c r="AD466">
        <v>1</v>
      </c>
      <c r="AE466">
        <v>0</v>
      </c>
      <c r="AF466" t="s">
        <v>164</v>
      </c>
      <c r="AG466">
        <v>0.84</v>
      </c>
      <c r="AH466">
        <v>3</v>
      </c>
      <c r="AI466">
        <v>-1</v>
      </c>
      <c r="AJ466" t="s">
        <v>3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</row>
    <row r="467" spans="1:44" x14ac:dyDescent="0.2">
      <c r="A467">
        <f>ROW(Source!A527)</f>
        <v>527</v>
      </c>
      <c r="B467">
        <v>1474097014</v>
      </c>
      <c r="C467">
        <v>1472040793</v>
      </c>
      <c r="D467">
        <v>1441836235</v>
      </c>
      <c r="E467">
        <v>1</v>
      </c>
      <c r="F467">
        <v>1</v>
      </c>
      <c r="G467">
        <v>15514512</v>
      </c>
      <c r="H467">
        <v>3</v>
      </c>
      <c r="I467" t="s">
        <v>683</v>
      </c>
      <c r="J467" t="s">
        <v>684</v>
      </c>
      <c r="K467" t="s">
        <v>685</v>
      </c>
      <c r="L467">
        <v>1346</v>
      </c>
      <c r="N467">
        <v>1009</v>
      </c>
      <c r="O467" t="s">
        <v>657</v>
      </c>
      <c r="P467" t="s">
        <v>657</v>
      </c>
      <c r="Q467">
        <v>1</v>
      </c>
      <c r="X467">
        <v>1</v>
      </c>
      <c r="Y467">
        <v>31.49</v>
      </c>
      <c r="Z467">
        <v>0</v>
      </c>
      <c r="AA467">
        <v>0</v>
      </c>
      <c r="AB467">
        <v>0</v>
      </c>
      <c r="AC467">
        <v>0</v>
      </c>
      <c r="AD467">
        <v>1</v>
      </c>
      <c r="AE467">
        <v>0</v>
      </c>
      <c r="AF467" t="s">
        <v>164</v>
      </c>
      <c r="AG467">
        <v>2</v>
      </c>
      <c r="AH467">
        <v>3</v>
      </c>
      <c r="AI467">
        <v>-1</v>
      </c>
      <c r="AJ467" t="s">
        <v>3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</row>
    <row r="468" spans="1:44" x14ac:dyDescent="0.2">
      <c r="A468">
        <f>ROW(Source!A528)</f>
        <v>528</v>
      </c>
      <c r="B468">
        <v>1474097015</v>
      </c>
      <c r="C468">
        <v>1472040803</v>
      </c>
      <c r="D468">
        <v>1441819193</v>
      </c>
      <c r="E468">
        <v>15514512</v>
      </c>
      <c r="F468">
        <v>1</v>
      </c>
      <c r="G468">
        <v>15514512</v>
      </c>
      <c r="H468">
        <v>1</v>
      </c>
      <c r="I468" t="s">
        <v>648</v>
      </c>
      <c r="J468" t="s">
        <v>3</v>
      </c>
      <c r="K468" t="s">
        <v>649</v>
      </c>
      <c r="L468">
        <v>1191</v>
      </c>
      <c r="N468">
        <v>1013</v>
      </c>
      <c r="O468" t="s">
        <v>650</v>
      </c>
      <c r="P468" t="s">
        <v>650</v>
      </c>
      <c r="Q468">
        <v>1</v>
      </c>
      <c r="X468">
        <v>250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1</v>
      </c>
      <c r="AE468">
        <v>1</v>
      </c>
      <c r="AF468" t="s">
        <v>324</v>
      </c>
      <c r="AG468">
        <v>166.66666666666666</v>
      </c>
      <c r="AH468">
        <v>3</v>
      </c>
      <c r="AI468">
        <v>-1</v>
      </c>
      <c r="AJ468" t="s">
        <v>3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</row>
    <row r="469" spans="1:44" x14ac:dyDescent="0.2">
      <c r="A469">
        <f>ROW(Source!A528)</f>
        <v>528</v>
      </c>
      <c r="B469">
        <v>1474097016</v>
      </c>
      <c r="C469">
        <v>1472040803</v>
      </c>
      <c r="D469">
        <v>1441835475</v>
      </c>
      <c r="E469">
        <v>1</v>
      </c>
      <c r="F469">
        <v>1</v>
      </c>
      <c r="G469">
        <v>15514512</v>
      </c>
      <c r="H469">
        <v>3</v>
      </c>
      <c r="I469" t="s">
        <v>723</v>
      </c>
      <c r="J469" t="s">
        <v>724</v>
      </c>
      <c r="K469" t="s">
        <v>725</v>
      </c>
      <c r="L469">
        <v>1348</v>
      </c>
      <c r="N469">
        <v>1009</v>
      </c>
      <c r="O469" t="s">
        <v>675</v>
      </c>
      <c r="P469" t="s">
        <v>675</v>
      </c>
      <c r="Q469">
        <v>1000</v>
      </c>
      <c r="X469">
        <v>5.5999999999999999E-3</v>
      </c>
      <c r="Y469">
        <v>155908.07999999999</v>
      </c>
      <c r="Z469">
        <v>0</v>
      </c>
      <c r="AA469">
        <v>0</v>
      </c>
      <c r="AB469">
        <v>0</v>
      </c>
      <c r="AC469">
        <v>0</v>
      </c>
      <c r="AD469">
        <v>1</v>
      </c>
      <c r="AE469">
        <v>0</v>
      </c>
      <c r="AF469" t="s">
        <v>324</v>
      </c>
      <c r="AG469">
        <v>3.7333333333333333E-3</v>
      </c>
      <c r="AH469">
        <v>3</v>
      </c>
      <c r="AI469">
        <v>-1</v>
      </c>
      <c r="AJ469" t="s">
        <v>3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</row>
    <row r="470" spans="1:44" x14ac:dyDescent="0.2">
      <c r="A470">
        <f>ROW(Source!A528)</f>
        <v>528</v>
      </c>
      <c r="B470">
        <v>1474097017</v>
      </c>
      <c r="C470">
        <v>1472040803</v>
      </c>
      <c r="D470">
        <v>1441835549</v>
      </c>
      <c r="E470">
        <v>1</v>
      </c>
      <c r="F470">
        <v>1</v>
      </c>
      <c r="G470">
        <v>15514512</v>
      </c>
      <c r="H470">
        <v>3</v>
      </c>
      <c r="I470" t="s">
        <v>726</v>
      </c>
      <c r="J470" t="s">
        <v>727</v>
      </c>
      <c r="K470" t="s">
        <v>728</v>
      </c>
      <c r="L470">
        <v>1348</v>
      </c>
      <c r="N470">
        <v>1009</v>
      </c>
      <c r="O470" t="s">
        <v>675</v>
      </c>
      <c r="P470" t="s">
        <v>675</v>
      </c>
      <c r="Q470">
        <v>1000</v>
      </c>
      <c r="X470">
        <v>1.1000000000000001E-3</v>
      </c>
      <c r="Y470">
        <v>194655.19</v>
      </c>
      <c r="Z470">
        <v>0</v>
      </c>
      <c r="AA470">
        <v>0</v>
      </c>
      <c r="AB470">
        <v>0</v>
      </c>
      <c r="AC470">
        <v>0</v>
      </c>
      <c r="AD470">
        <v>1</v>
      </c>
      <c r="AE470">
        <v>0</v>
      </c>
      <c r="AF470" t="s">
        <v>324</v>
      </c>
      <c r="AG470">
        <v>7.3333333333333334E-4</v>
      </c>
      <c r="AH470">
        <v>3</v>
      </c>
      <c r="AI470">
        <v>-1</v>
      </c>
      <c r="AJ470" t="s">
        <v>3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</row>
    <row r="471" spans="1:44" x14ac:dyDescent="0.2">
      <c r="A471">
        <f>ROW(Source!A528)</f>
        <v>528</v>
      </c>
      <c r="B471">
        <v>1474097018</v>
      </c>
      <c r="C471">
        <v>1472040803</v>
      </c>
      <c r="D471">
        <v>1441838531</v>
      </c>
      <c r="E471">
        <v>1</v>
      </c>
      <c r="F471">
        <v>1</v>
      </c>
      <c r="G471">
        <v>15514512</v>
      </c>
      <c r="H471">
        <v>3</v>
      </c>
      <c r="I471" t="s">
        <v>732</v>
      </c>
      <c r="J471" t="s">
        <v>733</v>
      </c>
      <c r="K471" t="s">
        <v>734</v>
      </c>
      <c r="L471">
        <v>1348</v>
      </c>
      <c r="N471">
        <v>1009</v>
      </c>
      <c r="O471" t="s">
        <v>675</v>
      </c>
      <c r="P471" t="s">
        <v>675</v>
      </c>
      <c r="Q471">
        <v>1000</v>
      </c>
      <c r="X471">
        <v>8.8999999999999999E-3</v>
      </c>
      <c r="Y471">
        <v>370783.55</v>
      </c>
      <c r="Z471">
        <v>0</v>
      </c>
      <c r="AA471">
        <v>0</v>
      </c>
      <c r="AB471">
        <v>0</v>
      </c>
      <c r="AC471">
        <v>0</v>
      </c>
      <c r="AD471">
        <v>1</v>
      </c>
      <c r="AE471">
        <v>0</v>
      </c>
      <c r="AF471" t="s">
        <v>324</v>
      </c>
      <c r="AG471">
        <v>5.933333333333333E-3</v>
      </c>
      <c r="AH471">
        <v>3</v>
      </c>
      <c r="AI471">
        <v>-1</v>
      </c>
      <c r="AJ471" t="s">
        <v>3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</row>
    <row r="472" spans="1:44" x14ac:dyDescent="0.2">
      <c r="A472">
        <f>ROW(Source!A528)</f>
        <v>528</v>
      </c>
      <c r="B472">
        <v>1474097019</v>
      </c>
      <c r="C472">
        <v>1472040803</v>
      </c>
      <c r="D472">
        <v>1441834635</v>
      </c>
      <c r="E472">
        <v>1</v>
      </c>
      <c r="F472">
        <v>1</v>
      </c>
      <c r="G472">
        <v>15514512</v>
      </c>
      <c r="H472">
        <v>3</v>
      </c>
      <c r="I472" t="s">
        <v>738</v>
      </c>
      <c r="J472" t="s">
        <v>739</v>
      </c>
      <c r="K472" t="s">
        <v>740</v>
      </c>
      <c r="L472">
        <v>1339</v>
      </c>
      <c r="N472">
        <v>1007</v>
      </c>
      <c r="O472" t="s">
        <v>679</v>
      </c>
      <c r="P472" t="s">
        <v>679</v>
      </c>
      <c r="Q472">
        <v>1</v>
      </c>
      <c r="X472">
        <v>2.8</v>
      </c>
      <c r="Y472">
        <v>103.4</v>
      </c>
      <c r="Z472">
        <v>0</v>
      </c>
      <c r="AA472">
        <v>0</v>
      </c>
      <c r="AB472">
        <v>0</v>
      </c>
      <c r="AC472">
        <v>0</v>
      </c>
      <c r="AD472">
        <v>1</v>
      </c>
      <c r="AE472">
        <v>0</v>
      </c>
      <c r="AF472" t="s">
        <v>324</v>
      </c>
      <c r="AG472">
        <v>1.8666666666666665</v>
      </c>
      <c r="AH472">
        <v>3</v>
      </c>
      <c r="AI472">
        <v>-1</v>
      </c>
      <c r="AJ472" t="s">
        <v>3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</row>
    <row r="473" spans="1:44" x14ac:dyDescent="0.2">
      <c r="A473">
        <f>ROW(Source!A528)</f>
        <v>528</v>
      </c>
      <c r="B473">
        <v>1474097020</v>
      </c>
      <c r="C473">
        <v>1472040803</v>
      </c>
      <c r="D473">
        <v>1441834627</v>
      </c>
      <c r="E473">
        <v>1</v>
      </c>
      <c r="F473">
        <v>1</v>
      </c>
      <c r="G473">
        <v>15514512</v>
      </c>
      <c r="H473">
        <v>3</v>
      </c>
      <c r="I473" t="s">
        <v>741</v>
      </c>
      <c r="J473" t="s">
        <v>742</v>
      </c>
      <c r="K473" t="s">
        <v>743</v>
      </c>
      <c r="L473">
        <v>1339</v>
      </c>
      <c r="N473">
        <v>1007</v>
      </c>
      <c r="O473" t="s">
        <v>679</v>
      </c>
      <c r="P473" t="s">
        <v>679</v>
      </c>
      <c r="Q473">
        <v>1</v>
      </c>
      <c r="X473">
        <v>1.8</v>
      </c>
      <c r="Y473">
        <v>875.46</v>
      </c>
      <c r="Z473">
        <v>0</v>
      </c>
      <c r="AA473">
        <v>0</v>
      </c>
      <c r="AB473">
        <v>0</v>
      </c>
      <c r="AC473">
        <v>0</v>
      </c>
      <c r="AD473">
        <v>1</v>
      </c>
      <c r="AE473">
        <v>0</v>
      </c>
      <c r="AF473" t="s">
        <v>324</v>
      </c>
      <c r="AG473">
        <v>1.2</v>
      </c>
      <c r="AH473">
        <v>3</v>
      </c>
      <c r="AI473">
        <v>-1</v>
      </c>
      <c r="AJ473" t="s">
        <v>3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</row>
    <row r="474" spans="1:44" x14ac:dyDescent="0.2">
      <c r="A474">
        <f>ROW(Source!A528)</f>
        <v>528</v>
      </c>
      <c r="B474">
        <v>1474097021</v>
      </c>
      <c r="C474">
        <v>1472040803</v>
      </c>
      <c r="D474">
        <v>1441834671</v>
      </c>
      <c r="E474">
        <v>1</v>
      </c>
      <c r="F474">
        <v>1</v>
      </c>
      <c r="G474">
        <v>15514512</v>
      </c>
      <c r="H474">
        <v>3</v>
      </c>
      <c r="I474" t="s">
        <v>744</v>
      </c>
      <c r="J474" t="s">
        <v>745</v>
      </c>
      <c r="K474" t="s">
        <v>746</v>
      </c>
      <c r="L474">
        <v>1348</v>
      </c>
      <c r="N474">
        <v>1009</v>
      </c>
      <c r="O474" t="s">
        <v>675</v>
      </c>
      <c r="P474" t="s">
        <v>675</v>
      </c>
      <c r="Q474">
        <v>1000</v>
      </c>
      <c r="X474">
        <v>5.0000000000000001E-4</v>
      </c>
      <c r="Y474">
        <v>184462.17</v>
      </c>
      <c r="Z474">
        <v>0</v>
      </c>
      <c r="AA474">
        <v>0</v>
      </c>
      <c r="AB474">
        <v>0</v>
      </c>
      <c r="AC474">
        <v>0</v>
      </c>
      <c r="AD474">
        <v>1</v>
      </c>
      <c r="AE474">
        <v>0</v>
      </c>
      <c r="AF474" t="s">
        <v>324</v>
      </c>
      <c r="AG474">
        <v>3.3333333333333332E-4</v>
      </c>
      <c r="AH474">
        <v>3</v>
      </c>
      <c r="AI474">
        <v>-1</v>
      </c>
      <c r="AJ474" t="s">
        <v>3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</row>
    <row r="475" spans="1:44" x14ac:dyDescent="0.2">
      <c r="A475">
        <f>ROW(Source!A528)</f>
        <v>528</v>
      </c>
      <c r="B475">
        <v>1474097022</v>
      </c>
      <c r="C475">
        <v>1472040803</v>
      </c>
      <c r="D475">
        <v>1441834634</v>
      </c>
      <c r="E475">
        <v>1</v>
      </c>
      <c r="F475">
        <v>1</v>
      </c>
      <c r="G475">
        <v>15514512</v>
      </c>
      <c r="H475">
        <v>3</v>
      </c>
      <c r="I475" t="s">
        <v>747</v>
      </c>
      <c r="J475" t="s">
        <v>748</v>
      </c>
      <c r="K475" t="s">
        <v>749</v>
      </c>
      <c r="L475">
        <v>1348</v>
      </c>
      <c r="N475">
        <v>1009</v>
      </c>
      <c r="O475" t="s">
        <v>675</v>
      </c>
      <c r="P475" t="s">
        <v>675</v>
      </c>
      <c r="Q475">
        <v>1000</v>
      </c>
      <c r="X475">
        <v>1.8E-3</v>
      </c>
      <c r="Y475">
        <v>88053.759999999995</v>
      </c>
      <c r="Z475">
        <v>0</v>
      </c>
      <c r="AA475">
        <v>0</v>
      </c>
      <c r="AB475">
        <v>0</v>
      </c>
      <c r="AC475">
        <v>0</v>
      </c>
      <c r="AD475">
        <v>1</v>
      </c>
      <c r="AE475">
        <v>0</v>
      </c>
      <c r="AF475" t="s">
        <v>324</v>
      </c>
      <c r="AG475">
        <v>1.1999999999999999E-3</v>
      </c>
      <c r="AH475">
        <v>3</v>
      </c>
      <c r="AI475">
        <v>-1</v>
      </c>
      <c r="AJ475" t="s">
        <v>3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</row>
    <row r="476" spans="1:44" x14ac:dyDescent="0.2">
      <c r="A476">
        <f>ROW(Source!A528)</f>
        <v>528</v>
      </c>
      <c r="B476">
        <v>1474097023</v>
      </c>
      <c r="C476">
        <v>1472040803</v>
      </c>
      <c r="D476">
        <v>1441834836</v>
      </c>
      <c r="E476">
        <v>1</v>
      </c>
      <c r="F476">
        <v>1</v>
      </c>
      <c r="G476">
        <v>15514512</v>
      </c>
      <c r="H476">
        <v>3</v>
      </c>
      <c r="I476" t="s">
        <v>750</v>
      </c>
      <c r="J476" t="s">
        <v>751</v>
      </c>
      <c r="K476" t="s">
        <v>752</v>
      </c>
      <c r="L476">
        <v>1348</v>
      </c>
      <c r="N476">
        <v>1009</v>
      </c>
      <c r="O476" t="s">
        <v>675</v>
      </c>
      <c r="P476" t="s">
        <v>675</v>
      </c>
      <c r="Q476">
        <v>1000</v>
      </c>
      <c r="X476">
        <v>8.0099999999999998E-3</v>
      </c>
      <c r="Y476">
        <v>93194.67</v>
      </c>
      <c r="Z476">
        <v>0</v>
      </c>
      <c r="AA476">
        <v>0</v>
      </c>
      <c r="AB476">
        <v>0</v>
      </c>
      <c r="AC476">
        <v>0</v>
      </c>
      <c r="AD476">
        <v>1</v>
      </c>
      <c r="AE476">
        <v>0</v>
      </c>
      <c r="AF476" t="s">
        <v>324</v>
      </c>
      <c r="AG476">
        <v>5.3400000000000001E-3</v>
      </c>
      <c r="AH476">
        <v>3</v>
      </c>
      <c r="AI476">
        <v>-1</v>
      </c>
      <c r="AJ476" t="s">
        <v>3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</row>
    <row r="477" spans="1:44" x14ac:dyDescent="0.2">
      <c r="A477">
        <f>ROW(Source!A528)</f>
        <v>528</v>
      </c>
      <c r="B477">
        <v>1474097024</v>
      </c>
      <c r="C477">
        <v>1472040803</v>
      </c>
      <c r="D477">
        <v>1441822273</v>
      </c>
      <c r="E477">
        <v>15514512</v>
      </c>
      <c r="F477">
        <v>1</v>
      </c>
      <c r="G477">
        <v>15514512</v>
      </c>
      <c r="H477">
        <v>3</v>
      </c>
      <c r="I477" t="s">
        <v>705</v>
      </c>
      <c r="J477" t="s">
        <v>3</v>
      </c>
      <c r="K477" t="s">
        <v>707</v>
      </c>
      <c r="L477">
        <v>1348</v>
      </c>
      <c r="N477">
        <v>1009</v>
      </c>
      <c r="O477" t="s">
        <v>675</v>
      </c>
      <c r="P477" t="s">
        <v>675</v>
      </c>
      <c r="Q477">
        <v>1000</v>
      </c>
      <c r="X477">
        <v>7.9000000000000001E-4</v>
      </c>
      <c r="Y477">
        <v>94640</v>
      </c>
      <c r="Z477">
        <v>0</v>
      </c>
      <c r="AA477">
        <v>0</v>
      </c>
      <c r="AB477">
        <v>0</v>
      </c>
      <c r="AC477">
        <v>0</v>
      </c>
      <c r="AD477">
        <v>1</v>
      </c>
      <c r="AE477">
        <v>0</v>
      </c>
      <c r="AF477" t="s">
        <v>324</v>
      </c>
      <c r="AG477">
        <v>5.2666666666666671E-4</v>
      </c>
      <c r="AH477">
        <v>3</v>
      </c>
      <c r="AI477">
        <v>-1</v>
      </c>
      <c r="AJ477" t="s">
        <v>3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</row>
    <row r="478" spans="1:44" x14ac:dyDescent="0.2">
      <c r="A478">
        <f>ROW(Source!A529)</f>
        <v>529</v>
      </c>
      <c r="B478">
        <v>1474097025</v>
      </c>
      <c r="C478">
        <v>1472040834</v>
      </c>
      <c r="D478">
        <v>1441819193</v>
      </c>
      <c r="E478">
        <v>15514512</v>
      </c>
      <c r="F478">
        <v>1</v>
      </c>
      <c r="G478">
        <v>15514512</v>
      </c>
      <c r="H478">
        <v>1</v>
      </c>
      <c r="I478" t="s">
        <v>648</v>
      </c>
      <c r="J478" t="s">
        <v>3</v>
      </c>
      <c r="K478" t="s">
        <v>649</v>
      </c>
      <c r="L478">
        <v>1191</v>
      </c>
      <c r="N478">
        <v>1013</v>
      </c>
      <c r="O478" t="s">
        <v>650</v>
      </c>
      <c r="P478" t="s">
        <v>650</v>
      </c>
      <c r="Q478">
        <v>1</v>
      </c>
      <c r="X478">
        <v>6.8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1</v>
      </c>
      <c r="AE478">
        <v>1</v>
      </c>
      <c r="AF478" t="s">
        <v>164</v>
      </c>
      <c r="AG478">
        <v>13.6</v>
      </c>
      <c r="AH478">
        <v>3</v>
      </c>
      <c r="AI478">
        <v>-1</v>
      </c>
      <c r="AJ478" t="s">
        <v>3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</row>
    <row r="479" spans="1:44" x14ac:dyDescent="0.2">
      <c r="A479">
        <f>ROW(Source!A529)</f>
        <v>529</v>
      </c>
      <c r="B479">
        <v>1474097026</v>
      </c>
      <c r="C479">
        <v>1472040834</v>
      </c>
      <c r="D479">
        <v>1441834258</v>
      </c>
      <c r="E479">
        <v>1</v>
      </c>
      <c r="F479">
        <v>1</v>
      </c>
      <c r="G479">
        <v>15514512</v>
      </c>
      <c r="H479">
        <v>2</v>
      </c>
      <c r="I479" t="s">
        <v>651</v>
      </c>
      <c r="J479" t="s">
        <v>652</v>
      </c>
      <c r="K479" t="s">
        <v>653</v>
      </c>
      <c r="L479">
        <v>1368</v>
      </c>
      <c r="N479">
        <v>1011</v>
      </c>
      <c r="O479" t="s">
        <v>603</v>
      </c>
      <c r="P479" t="s">
        <v>603</v>
      </c>
      <c r="Q479">
        <v>1</v>
      </c>
      <c r="X479">
        <v>0.42</v>
      </c>
      <c r="Y479">
        <v>0</v>
      </c>
      <c r="Z479">
        <v>1303.01</v>
      </c>
      <c r="AA479">
        <v>826.2</v>
      </c>
      <c r="AB479">
        <v>0</v>
      </c>
      <c r="AC479">
        <v>0</v>
      </c>
      <c r="AD479">
        <v>1</v>
      </c>
      <c r="AE479">
        <v>0</v>
      </c>
      <c r="AF479" t="s">
        <v>164</v>
      </c>
      <c r="AG479">
        <v>0.84</v>
      </c>
      <c r="AH479">
        <v>3</v>
      </c>
      <c r="AI479">
        <v>-1</v>
      </c>
      <c r="AJ479" t="s">
        <v>3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</row>
    <row r="480" spans="1:44" x14ac:dyDescent="0.2">
      <c r="A480">
        <f>ROW(Source!A529)</f>
        <v>529</v>
      </c>
      <c r="B480">
        <v>1474097027</v>
      </c>
      <c r="C480">
        <v>1472040834</v>
      </c>
      <c r="D480">
        <v>1441836235</v>
      </c>
      <c r="E480">
        <v>1</v>
      </c>
      <c r="F480">
        <v>1</v>
      </c>
      <c r="G480">
        <v>15514512</v>
      </c>
      <c r="H480">
        <v>3</v>
      </c>
      <c r="I480" t="s">
        <v>683</v>
      </c>
      <c r="J480" t="s">
        <v>684</v>
      </c>
      <c r="K480" t="s">
        <v>685</v>
      </c>
      <c r="L480">
        <v>1346</v>
      </c>
      <c r="N480">
        <v>1009</v>
      </c>
      <c r="O480" t="s">
        <v>657</v>
      </c>
      <c r="P480" t="s">
        <v>657</v>
      </c>
      <c r="Q480">
        <v>1</v>
      </c>
      <c r="X480">
        <v>1</v>
      </c>
      <c r="Y480">
        <v>31.49</v>
      </c>
      <c r="Z480">
        <v>0</v>
      </c>
      <c r="AA480">
        <v>0</v>
      </c>
      <c r="AB480">
        <v>0</v>
      </c>
      <c r="AC480">
        <v>0</v>
      </c>
      <c r="AD480">
        <v>1</v>
      </c>
      <c r="AE480">
        <v>0</v>
      </c>
      <c r="AF480" t="s">
        <v>164</v>
      </c>
      <c r="AG480">
        <v>2</v>
      </c>
      <c r="AH480">
        <v>3</v>
      </c>
      <c r="AI480">
        <v>-1</v>
      </c>
      <c r="AJ480" t="s">
        <v>3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</row>
    <row r="481" spans="1:44" x14ac:dyDescent="0.2">
      <c r="A481">
        <f>ROW(Source!A529)</f>
        <v>529</v>
      </c>
      <c r="B481">
        <v>1474097028</v>
      </c>
      <c r="C481">
        <v>1472040834</v>
      </c>
      <c r="D481">
        <v>1441834666</v>
      </c>
      <c r="E481">
        <v>1</v>
      </c>
      <c r="F481">
        <v>1</v>
      </c>
      <c r="G481">
        <v>15514512</v>
      </c>
      <c r="H481">
        <v>3</v>
      </c>
      <c r="I481" t="s">
        <v>654</v>
      </c>
      <c r="J481" t="s">
        <v>655</v>
      </c>
      <c r="K481" t="s">
        <v>656</v>
      </c>
      <c r="L481">
        <v>1346</v>
      </c>
      <c r="N481">
        <v>1009</v>
      </c>
      <c r="O481" t="s">
        <v>657</v>
      </c>
      <c r="P481" t="s">
        <v>657</v>
      </c>
      <c r="Q481">
        <v>1</v>
      </c>
      <c r="X481">
        <v>0.35</v>
      </c>
      <c r="Y481">
        <v>924.76</v>
      </c>
      <c r="Z481">
        <v>0</v>
      </c>
      <c r="AA481">
        <v>0</v>
      </c>
      <c r="AB481">
        <v>0</v>
      </c>
      <c r="AC481">
        <v>0</v>
      </c>
      <c r="AD481">
        <v>1</v>
      </c>
      <c r="AE481">
        <v>0</v>
      </c>
      <c r="AF481" t="s">
        <v>164</v>
      </c>
      <c r="AG481">
        <v>0.7</v>
      </c>
      <c r="AH481">
        <v>3</v>
      </c>
      <c r="AI481">
        <v>-1</v>
      </c>
      <c r="AJ481" t="s">
        <v>3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</row>
    <row r="482" spans="1:44" x14ac:dyDescent="0.2">
      <c r="A482">
        <f>ROW(Source!A530)</f>
        <v>530</v>
      </c>
      <c r="B482">
        <v>1474097029</v>
      </c>
      <c r="C482">
        <v>1472040847</v>
      </c>
      <c r="D482">
        <v>1441819193</v>
      </c>
      <c r="E482">
        <v>15514512</v>
      </c>
      <c r="F482">
        <v>1</v>
      </c>
      <c r="G482">
        <v>15514512</v>
      </c>
      <c r="H482">
        <v>1</v>
      </c>
      <c r="I482" t="s">
        <v>648</v>
      </c>
      <c r="J482" t="s">
        <v>3</v>
      </c>
      <c r="K482" t="s">
        <v>649</v>
      </c>
      <c r="L482">
        <v>1191</v>
      </c>
      <c r="N482">
        <v>1013</v>
      </c>
      <c r="O482" t="s">
        <v>650</v>
      </c>
      <c r="P482" t="s">
        <v>650</v>
      </c>
      <c r="Q482">
        <v>1</v>
      </c>
      <c r="X482">
        <v>6.16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1</v>
      </c>
      <c r="AE482">
        <v>1</v>
      </c>
      <c r="AF482" t="s">
        <v>164</v>
      </c>
      <c r="AG482">
        <v>12.32</v>
      </c>
      <c r="AH482">
        <v>3</v>
      </c>
      <c r="AI482">
        <v>-1</v>
      </c>
      <c r="AJ482" t="s">
        <v>3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</row>
    <row r="483" spans="1:44" x14ac:dyDescent="0.2">
      <c r="A483">
        <f>ROW(Source!A530)</f>
        <v>530</v>
      </c>
      <c r="B483">
        <v>1474097030</v>
      </c>
      <c r="C483">
        <v>1472040847</v>
      </c>
      <c r="D483">
        <v>1441834258</v>
      </c>
      <c r="E483">
        <v>1</v>
      </c>
      <c r="F483">
        <v>1</v>
      </c>
      <c r="G483">
        <v>15514512</v>
      </c>
      <c r="H483">
        <v>2</v>
      </c>
      <c r="I483" t="s">
        <v>651</v>
      </c>
      <c r="J483" t="s">
        <v>652</v>
      </c>
      <c r="K483" t="s">
        <v>653</v>
      </c>
      <c r="L483">
        <v>1368</v>
      </c>
      <c r="N483">
        <v>1011</v>
      </c>
      <c r="O483" t="s">
        <v>603</v>
      </c>
      <c r="P483" t="s">
        <v>603</v>
      </c>
      <c r="Q483">
        <v>1</v>
      </c>
      <c r="X483">
        <v>0.42</v>
      </c>
      <c r="Y483">
        <v>0</v>
      </c>
      <c r="Z483">
        <v>1303.01</v>
      </c>
      <c r="AA483">
        <v>826.2</v>
      </c>
      <c r="AB483">
        <v>0</v>
      </c>
      <c r="AC483">
        <v>0</v>
      </c>
      <c r="AD483">
        <v>1</v>
      </c>
      <c r="AE483">
        <v>0</v>
      </c>
      <c r="AF483" t="s">
        <v>164</v>
      </c>
      <c r="AG483">
        <v>0.84</v>
      </c>
      <c r="AH483">
        <v>3</v>
      </c>
      <c r="AI483">
        <v>-1</v>
      </c>
      <c r="AJ483" t="s">
        <v>3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</row>
    <row r="484" spans="1:44" x14ac:dyDescent="0.2">
      <c r="A484">
        <f>ROW(Source!A530)</f>
        <v>530</v>
      </c>
      <c r="B484">
        <v>1474097031</v>
      </c>
      <c r="C484">
        <v>1472040847</v>
      </c>
      <c r="D484">
        <v>1441836235</v>
      </c>
      <c r="E484">
        <v>1</v>
      </c>
      <c r="F484">
        <v>1</v>
      </c>
      <c r="G484">
        <v>15514512</v>
      </c>
      <c r="H484">
        <v>3</v>
      </c>
      <c r="I484" t="s">
        <v>683</v>
      </c>
      <c r="J484" t="s">
        <v>684</v>
      </c>
      <c r="K484" t="s">
        <v>685</v>
      </c>
      <c r="L484">
        <v>1346</v>
      </c>
      <c r="N484">
        <v>1009</v>
      </c>
      <c r="O484" t="s">
        <v>657</v>
      </c>
      <c r="P484" t="s">
        <v>657</v>
      </c>
      <c r="Q484">
        <v>1</v>
      </c>
      <c r="X484">
        <v>1</v>
      </c>
      <c r="Y484">
        <v>31.49</v>
      </c>
      <c r="Z484">
        <v>0</v>
      </c>
      <c r="AA484">
        <v>0</v>
      </c>
      <c r="AB484">
        <v>0</v>
      </c>
      <c r="AC484">
        <v>0</v>
      </c>
      <c r="AD484">
        <v>1</v>
      </c>
      <c r="AE484">
        <v>0</v>
      </c>
      <c r="AF484" t="s">
        <v>164</v>
      </c>
      <c r="AG484">
        <v>2</v>
      </c>
      <c r="AH484">
        <v>3</v>
      </c>
      <c r="AI484">
        <v>-1</v>
      </c>
      <c r="AJ484" t="s">
        <v>3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</row>
    <row r="485" spans="1:44" x14ac:dyDescent="0.2">
      <c r="A485">
        <f>ROW(Source!A531)</f>
        <v>531</v>
      </c>
      <c r="B485">
        <v>1474097032</v>
      </c>
      <c r="C485">
        <v>1472040857</v>
      </c>
      <c r="D485">
        <v>1441819193</v>
      </c>
      <c r="E485">
        <v>15514512</v>
      </c>
      <c r="F485">
        <v>1</v>
      </c>
      <c r="G485">
        <v>15514512</v>
      </c>
      <c r="H485">
        <v>1</v>
      </c>
      <c r="I485" t="s">
        <v>648</v>
      </c>
      <c r="J485" t="s">
        <v>3</v>
      </c>
      <c r="K485" t="s">
        <v>649</v>
      </c>
      <c r="L485">
        <v>1191</v>
      </c>
      <c r="N485">
        <v>1013</v>
      </c>
      <c r="O485" t="s">
        <v>650</v>
      </c>
      <c r="P485" t="s">
        <v>650</v>
      </c>
      <c r="Q485">
        <v>1</v>
      </c>
      <c r="X485">
        <v>1.34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1</v>
      </c>
      <c r="AE485">
        <v>1</v>
      </c>
      <c r="AF485" t="s">
        <v>3</v>
      </c>
      <c r="AG485">
        <v>1.34</v>
      </c>
      <c r="AH485">
        <v>3</v>
      </c>
      <c r="AI485">
        <v>-1</v>
      </c>
      <c r="AJ485" t="s">
        <v>3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</row>
    <row r="486" spans="1:44" x14ac:dyDescent="0.2">
      <c r="A486">
        <f>ROW(Source!A531)</f>
        <v>531</v>
      </c>
      <c r="B486">
        <v>1474097033</v>
      </c>
      <c r="C486">
        <v>1472040857</v>
      </c>
      <c r="D486">
        <v>1441834146</v>
      </c>
      <c r="E486">
        <v>1</v>
      </c>
      <c r="F486">
        <v>1</v>
      </c>
      <c r="G486">
        <v>15514512</v>
      </c>
      <c r="H486">
        <v>2</v>
      </c>
      <c r="I486" t="s">
        <v>781</v>
      </c>
      <c r="J486" t="s">
        <v>782</v>
      </c>
      <c r="K486" t="s">
        <v>783</v>
      </c>
      <c r="L486">
        <v>1368</v>
      </c>
      <c r="N486">
        <v>1011</v>
      </c>
      <c r="O486" t="s">
        <v>603</v>
      </c>
      <c r="P486" t="s">
        <v>603</v>
      </c>
      <c r="Q486">
        <v>1</v>
      </c>
      <c r="X486">
        <v>0.09</v>
      </c>
      <c r="Y486">
        <v>0</v>
      </c>
      <c r="Z486">
        <v>20.55</v>
      </c>
      <c r="AA486">
        <v>0.31</v>
      </c>
      <c r="AB486">
        <v>0</v>
      </c>
      <c r="AC486">
        <v>0</v>
      </c>
      <c r="AD486">
        <v>1</v>
      </c>
      <c r="AE486">
        <v>0</v>
      </c>
      <c r="AF486" t="s">
        <v>3</v>
      </c>
      <c r="AG486">
        <v>0.09</v>
      </c>
      <c r="AH486">
        <v>3</v>
      </c>
      <c r="AI486">
        <v>-1</v>
      </c>
      <c r="AJ486" t="s">
        <v>3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</row>
    <row r="487" spans="1:44" x14ac:dyDescent="0.2">
      <c r="A487">
        <f>ROW(Source!A531)</f>
        <v>531</v>
      </c>
      <c r="B487">
        <v>1474097034</v>
      </c>
      <c r="C487">
        <v>1472040857</v>
      </c>
      <c r="D487">
        <v>1441836235</v>
      </c>
      <c r="E487">
        <v>1</v>
      </c>
      <c r="F487">
        <v>1</v>
      </c>
      <c r="G487">
        <v>15514512</v>
      </c>
      <c r="H487">
        <v>3</v>
      </c>
      <c r="I487" t="s">
        <v>683</v>
      </c>
      <c r="J487" t="s">
        <v>684</v>
      </c>
      <c r="K487" t="s">
        <v>685</v>
      </c>
      <c r="L487">
        <v>1346</v>
      </c>
      <c r="N487">
        <v>1009</v>
      </c>
      <c r="O487" t="s">
        <v>657</v>
      </c>
      <c r="P487" t="s">
        <v>657</v>
      </c>
      <c r="Q487">
        <v>1</v>
      </c>
      <c r="X487">
        <v>0.03</v>
      </c>
      <c r="Y487">
        <v>31.49</v>
      </c>
      <c r="Z487">
        <v>0</v>
      </c>
      <c r="AA487">
        <v>0</v>
      </c>
      <c r="AB487">
        <v>0</v>
      </c>
      <c r="AC487">
        <v>0</v>
      </c>
      <c r="AD487">
        <v>1</v>
      </c>
      <c r="AE487">
        <v>0</v>
      </c>
      <c r="AF487" t="s">
        <v>3</v>
      </c>
      <c r="AG487">
        <v>0.03</v>
      </c>
      <c r="AH487">
        <v>3</v>
      </c>
      <c r="AI487">
        <v>-1</v>
      </c>
      <c r="AJ487" t="s">
        <v>3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</row>
    <row r="488" spans="1:44" x14ac:dyDescent="0.2">
      <c r="A488">
        <f>ROW(Source!A531)</f>
        <v>531</v>
      </c>
      <c r="B488">
        <v>1474097035</v>
      </c>
      <c r="C488">
        <v>1472040857</v>
      </c>
      <c r="D488">
        <v>1441836393</v>
      </c>
      <c r="E488">
        <v>1</v>
      </c>
      <c r="F488">
        <v>1</v>
      </c>
      <c r="G488">
        <v>15514512</v>
      </c>
      <c r="H488">
        <v>3</v>
      </c>
      <c r="I488" t="s">
        <v>778</v>
      </c>
      <c r="J488" t="s">
        <v>779</v>
      </c>
      <c r="K488" t="s">
        <v>780</v>
      </c>
      <c r="L488">
        <v>1296</v>
      </c>
      <c r="N488">
        <v>1002</v>
      </c>
      <c r="O488" t="s">
        <v>667</v>
      </c>
      <c r="P488" t="s">
        <v>667</v>
      </c>
      <c r="Q488">
        <v>1</v>
      </c>
      <c r="X488">
        <v>2.9999999999999997E-4</v>
      </c>
      <c r="Y488">
        <v>4241.6400000000003</v>
      </c>
      <c r="Z488">
        <v>0</v>
      </c>
      <c r="AA488">
        <v>0</v>
      </c>
      <c r="AB488">
        <v>0</v>
      </c>
      <c r="AC488">
        <v>0</v>
      </c>
      <c r="AD488">
        <v>1</v>
      </c>
      <c r="AE488">
        <v>0</v>
      </c>
      <c r="AF488" t="s">
        <v>3</v>
      </c>
      <c r="AG488">
        <v>2.9999999999999997E-4</v>
      </c>
      <c r="AH488">
        <v>3</v>
      </c>
      <c r="AI488">
        <v>-1</v>
      </c>
      <c r="AJ488" t="s">
        <v>3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</row>
    <row r="489" spans="1:44" x14ac:dyDescent="0.2">
      <c r="A489">
        <f>ROW(Source!A532)</f>
        <v>532</v>
      </c>
      <c r="B489">
        <v>1474097036</v>
      </c>
      <c r="C489">
        <v>1472040870</v>
      </c>
      <c r="D489">
        <v>1441819193</v>
      </c>
      <c r="E489">
        <v>15514512</v>
      </c>
      <c r="F489">
        <v>1</v>
      </c>
      <c r="G489">
        <v>15514512</v>
      </c>
      <c r="H489">
        <v>1</v>
      </c>
      <c r="I489" t="s">
        <v>648</v>
      </c>
      <c r="J489" t="s">
        <v>3</v>
      </c>
      <c r="K489" t="s">
        <v>649</v>
      </c>
      <c r="L489">
        <v>1191</v>
      </c>
      <c r="N489">
        <v>1013</v>
      </c>
      <c r="O489" t="s">
        <v>650</v>
      </c>
      <c r="P489" t="s">
        <v>650</v>
      </c>
      <c r="Q489">
        <v>1</v>
      </c>
      <c r="X489">
        <v>0.74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1</v>
      </c>
      <c r="AE489">
        <v>1</v>
      </c>
      <c r="AF489" t="s">
        <v>290</v>
      </c>
      <c r="AG489">
        <v>2.2199999999999998</v>
      </c>
      <c r="AH489">
        <v>3</v>
      </c>
      <c r="AI489">
        <v>-1</v>
      </c>
      <c r="AJ489" t="s">
        <v>3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</row>
    <row r="490" spans="1:44" x14ac:dyDescent="0.2">
      <c r="A490">
        <f>ROW(Source!A532)</f>
        <v>532</v>
      </c>
      <c r="B490">
        <v>1474097037</v>
      </c>
      <c r="C490">
        <v>1472040870</v>
      </c>
      <c r="D490">
        <v>1441836235</v>
      </c>
      <c r="E490">
        <v>1</v>
      </c>
      <c r="F490">
        <v>1</v>
      </c>
      <c r="G490">
        <v>15514512</v>
      </c>
      <c r="H490">
        <v>3</v>
      </c>
      <c r="I490" t="s">
        <v>683</v>
      </c>
      <c r="J490" t="s">
        <v>684</v>
      </c>
      <c r="K490" t="s">
        <v>685</v>
      </c>
      <c r="L490">
        <v>1346</v>
      </c>
      <c r="N490">
        <v>1009</v>
      </c>
      <c r="O490" t="s">
        <v>657</v>
      </c>
      <c r="P490" t="s">
        <v>657</v>
      </c>
      <c r="Q490">
        <v>1</v>
      </c>
      <c r="X490">
        <v>0.01</v>
      </c>
      <c r="Y490">
        <v>31.49</v>
      </c>
      <c r="Z490">
        <v>0</v>
      </c>
      <c r="AA490">
        <v>0</v>
      </c>
      <c r="AB490">
        <v>0</v>
      </c>
      <c r="AC490">
        <v>0</v>
      </c>
      <c r="AD490">
        <v>1</v>
      </c>
      <c r="AE490">
        <v>0</v>
      </c>
      <c r="AF490" t="s">
        <v>290</v>
      </c>
      <c r="AG490">
        <v>0.03</v>
      </c>
      <c r="AH490">
        <v>3</v>
      </c>
      <c r="AI490">
        <v>-1</v>
      </c>
      <c r="AJ490" t="s">
        <v>3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</row>
    <row r="491" spans="1:44" x14ac:dyDescent="0.2">
      <c r="A491">
        <f>ROW(Source!A533)</f>
        <v>533</v>
      </c>
      <c r="B491">
        <v>1474097038</v>
      </c>
      <c r="C491">
        <v>1472040877</v>
      </c>
      <c r="D491">
        <v>1441819193</v>
      </c>
      <c r="E491">
        <v>15514512</v>
      </c>
      <c r="F491">
        <v>1</v>
      </c>
      <c r="G491">
        <v>15514512</v>
      </c>
      <c r="H491">
        <v>1</v>
      </c>
      <c r="I491" t="s">
        <v>648</v>
      </c>
      <c r="J491" t="s">
        <v>3</v>
      </c>
      <c r="K491" t="s">
        <v>649</v>
      </c>
      <c r="L491">
        <v>1191</v>
      </c>
      <c r="N491">
        <v>1013</v>
      </c>
      <c r="O491" t="s">
        <v>650</v>
      </c>
      <c r="P491" t="s">
        <v>650</v>
      </c>
      <c r="Q491">
        <v>1</v>
      </c>
      <c r="X491">
        <v>1.72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1</v>
      </c>
      <c r="AE491">
        <v>1</v>
      </c>
      <c r="AF491" t="s">
        <v>3</v>
      </c>
      <c r="AG491">
        <v>1.72</v>
      </c>
      <c r="AH491">
        <v>3</v>
      </c>
      <c r="AI491">
        <v>-1</v>
      </c>
      <c r="AJ491" t="s">
        <v>3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</row>
    <row r="492" spans="1:44" x14ac:dyDescent="0.2">
      <c r="A492">
        <f>ROW(Source!A533)</f>
        <v>533</v>
      </c>
      <c r="B492">
        <v>1474097039</v>
      </c>
      <c r="C492">
        <v>1472040877</v>
      </c>
      <c r="D492">
        <v>1441834146</v>
      </c>
      <c r="E492">
        <v>1</v>
      </c>
      <c r="F492">
        <v>1</v>
      </c>
      <c r="G492">
        <v>15514512</v>
      </c>
      <c r="H492">
        <v>2</v>
      </c>
      <c r="I492" t="s">
        <v>781</v>
      </c>
      <c r="J492" t="s">
        <v>782</v>
      </c>
      <c r="K492" t="s">
        <v>783</v>
      </c>
      <c r="L492">
        <v>1368</v>
      </c>
      <c r="N492">
        <v>1011</v>
      </c>
      <c r="O492" t="s">
        <v>603</v>
      </c>
      <c r="P492" t="s">
        <v>603</v>
      </c>
      <c r="Q492">
        <v>1</v>
      </c>
      <c r="X492">
        <v>0.2</v>
      </c>
      <c r="Y492">
        <v>0</v>
      </c>
      <c r="Z492">
        <v>20.55</v>
      </c>
      <c r="AA492">
        <v>0.31</v>
      </c>
      <c r="AB492">
        <v>0</v>
      </c>
      <c r="AC492">
        <v>0</v>
      </c>
      <c r="AD492">
        <v>1</v>
      </c>
      <c r="AE492">
        <v>0</v>
      </c>
      <c r="AF492" t="s">
        <v>3</v>
      </c>
      <c r="AG492">
        <v>0.2</v>
      </c>
      <c r="AH492">
        <v>3</v>
      </c>
      <c r="AI492">
        <v>-1</v>
      </c>
      <c r="AJ492" t="s">
        <v>3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</row>
    <row r="493" spans="1:44" x14ac:dyDescent="0.2">
      <c r="A493">
        <f>ROW(Source!A533)</f>
        <v>533</v>
      </c>
      <c r="B493">
        <v>1474097040</v>
      </c>
      <c r="C493">
        <v>1472040877</v>
      </c>
      <c r="D493">
        <v>1441836235</v>
      </c>
      <c r="E493">
        <v>1</v>
      </c>
      <c r="F493">
        <v>1</v>
      </c>
      <c r="G493">
        <v>15514512</v>
      </c>
      <c r="H493">
        <v>3</v>
      </c>
      <c r="I493" t="s">
        <v>683</v>
      </c>
      <c r="J493" t="s">
        <v>684</v>
      </c>
      <c r="K493" t="s">
        <v>685</v>
      </c>
      <c r="L493">
        <v>1346</v>
      </c>
      <c r="N493">
        <v>1009</v>
      </c>
      <c r="O493" t="s">
        <v>657</v>
      </c>
      <c r="P493" t="s">
        <v>657</v>
      </c>
      <c r="Q493">
        <v>1</v>
      </c>
      <c r="X493">
        <v>0.06</v>
      </c>
      <c r="Y493">
        <v>31.49</v>
      </c>
      <c r="Z493">
        <v>0</v>
      </c>
      <c r="AA493">
        <v>0</v>
      </c>
      <c r="AB493">
        <v>0</v>
      </c>
      <c r="AC493">
        <v>0</v>
      </c>
      <c r="AD493">
        <v>1</v>
      </c>
      <c r="AE493">
        <v>0</v>
      </c>
      <c r="AF493" t="s">
        <v>3</v>
      </c>
      <c r="AG493">
        <v>0.06</v>
      </c>
      <c r="AH493">
        <v>3</v>
      </c>
      <c r="AI493">
        <v>-1</v>
      </c>
      <c r="AJ493" t="s">
        <v>3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</row>
    <row r="494" spans="1:44" x14ac:dyDescent="0.2">
      <c r="A494">
        <f>ROW(Source!A533)</f>
        <v>533</v>
      </c>
      <c r="B494">
        <v>1474097041</v>
      </c>
      <c r="C494">
        <v>1472040877</v>
      </c>
      <c r="D494">
        <v>1441836393</v>
      </c>
      <c r="E494">
        <v>1</v>
      </c>
      <c r="F494">
        <v>1</v>
      </c>
      <c r="G494">
        <v>15514512</v>
      </c>
      <c r="H494">
        <v>3</v>
      </c>
      <c r="I494" t="s">
        <v>778</v>
      </c>
      <c r="J494" t="s">
        <v>779</v>
      </c>
      <c r="K494" t="s">
        <v>780</v>
      </c>
      <c r="L494">
        <v>1296</v>
      </c>
      <c r="N494">
        <v>1002</v>
      </c>
      <c r="O494" t="s">
        <v>667</v>
      </c>
      <c r="P494" t="s">
        <v>667</v>
      </c>
      <c r="Q494">
        <v>1</v>
      </c>
      <c r="X494">
        <v>5.9999999999999995E-4</v>
      </c>
      <c r="Y494">
        <v>4241.6400000000003</v>
      </c>
      <c r="Z494">
        <v>0</v>
      </c>
      <c r="AA494">
        <v>0</v>
      </c>
      <c r="AB494">
        <v>0</v>
      </c>
      <c r="AC494">
        <v>0</v>
      </c>
      <c r="AD494">
        <v>1</v>
      </c>
      <c r="AE494">
        <v>0</v>
      </c>
      <c r="AF494" t="s">
        <v>3</v>
      </c>
      <c r="AG494">
        <v>5.9999999999999995E-4</v>
      </c>
      <c r="AH494">
        <v>3</v>
      </c>
      <c r="AI494">
        <v>-1</v>
      </c>
      <c r="AJ494" t="s">
        <v>3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</row>
    <row r="495" spans="1:44" x14ac:dyDescent="0.2">
      <c r="A495">
        <f>ROW(Source!A534)</f>
        <v>534</v>
      </c>
      <c r="B495">
        <v>1474097042</v>
      </c>
      <c r="C495">
        <v>1472040890</v>
      </c>
      <c r="D495">
        <v>1441819193</v>
      </c>
      <c r="E495">
        <v>15514512</v>
      </c>
      <c r="F495">
        <v>1</v>
      </c>
      <c r="G495">
        <v>15514512</v>
      </c>
      <c r="H495">
        <v>1</v>
      </c>
      <c r="I495" t="s">
        <v>648</v>
      </c>
      <c r="J495" t="s">
        <v>3</v>
      </c>
      <c r="K495" t="s">
        <v>649</v>
      </c>
      <c r="L495">
        <v>1191</v>
      </c>
      <c r="N495">
        <v>1013</v>
      </c>
      <c r="O495" t="s">
        <v>650</v>
      </c>
      <c r="P495" t="s">
        <v>650</v>
      </c>
      <c r="Q495">
        <v>1</v>
      </c>
      <c r="X495">
        <v>1.02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1</v>
      </c>
      <c r="AE495">
        <v>1</v>
      </c>
      <c r="AF495" t="s">
        <v>290</v>
      </c>
      <c r="AG495">
        <v>3.06</v>
      </c>
      <c r="AH495">
        <v>3</v>
      </c>
      <c r="AI495">
        <v>-1</v>
      </c>
      <c r="AJ495" t="s">
        <v>3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</row>
    <row r="496" spans="1:44" x14ac:dyDescent="0.2">
      <c r="A496">
        <f>ROW(Source!A534)</f>
        <v>534</v>
      </c>
      <c r="B496">
        <v>1474097043</v>
      </c>
      <c r="C496">
        <v>1472040890</v>
      </c>
      <c r="D496">
        <v>1441836235</v>
      </c>
      <c r="E496">
        <v>1</v>
      </c>
      <c r="F496">
        <v>1</v>
      </c>
      <c r="G496">
        <v>15514512</v>
      </c>
      <c r="H496">
        <v>3</v>
      </c>
      <c r="I496" t="s">
        <v>683</v>
      </c>
      <c r="J496" t="s">
        <v>684</v>
      </c>
      <c r="K496" t="s">
        <v>685</v>
      </c>
      <c r="L496">
        <v>1346</v>
      </c>
      <c r="N496">
        <v>1009</v>
      </c>
      <c r="O496" t="s">
        <v>657</v>
      </c>
      <c r="P496" t="s">
        <v>657</v>
      </c>
      <c r="Q496">
        <v>1</v>
      </c>
      <c r="X496">
        <v>0.03</v>
      </c>
      <c r="Y496">
        <v>31.49</v>
      </c>
      <c r="Z496">
        <v>0</v>
      </c>
      <c r="AA496">
        <v>0</v>
      </c>
      <c r="AB496">
        <v>0</v>
      </c>
      <c r="AC496">
        <v>0</v>
      </c>
      <c r="AD496">
        <v>1</v>
      </c>
      <c r="AE496">
        <v>0</v>
      </c>
      <c r="AF496" t="s">
        <v>290</v>
      </c>
      <c r="AG496">
        <v>0.09</v>
      </c>
      <c r="AH496">
        <v>3</v>
      </c>
      <c r="AI496">
        <v>-1</v>
      </c>
      <c r="AJ496" t="s">
        <v>3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</row>
    <row r="497" spans="1:44" x14ac:dyDescent="0.2">
      <c r="A497">
        <f>ROW(Source!A605)</f>
        <v>605</v>
      </c>
      <c r="B497">
        <v>1474097044</v>
      </c>
      <c r="C497">
        <v>1472040898</v>
      </c>
      <c r="D497">
        <v>1441819193</v>
      </c>
      <c r="E497">
        <v>15514512</v>
      </c>
      <c r="F497">
        <v>1</v>
      </c>
      <c r="G497">
        <v>15514512</v>
      </c>
      <c r="H497">
        <v>1</v>
      </c>
      <c r="I497" t="s">
        <v>648</v>
      </c>
      <c r="J497" t="s">
        <v>3</v>
      </c>
      <c r="K497" t="s">
        <v>649</v>
      </c>
      <c r="L497">
        <v>1191</v>
      </c>
      <c r="N497">
        <v>1013</v>
      </c>
      <c r="O497" t="s">
        <v>650</v>
      </c>
      <c r="P497" t="s">
        <v>650</v>
      </c>
      <c r="Q497">
        <v>1</v>
      </c>
      <c r="X497">
        <v>24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1</v>
      </c>
      <c r="AE497">
        <v>1</v>
      </c>
      <c r="AF497" t="s">
        <v>3</v>
      </c>
      <c r="AG497">
        <v>24</v>
      </c>
      <c r="AH497">
        <v>3</v>
      </c>
      <c r="AI497">
        <v>-1</v>
      </c>
      <c r="AJ497" t="s">
        <v>3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</row>
    <row r="498" spans="1:44" x14ac:dyDescent="0.2">
      <c r="A498">
        <f>ROW(Source!A605)</f>
        <v>605</v>
      </c>
      <c r="B498">
        <v>1474097046</v>
      </c>
      <c r="C498">
        <v>1472040898</v>
      </c>
      <c r="D498">
        <v>1441836237</v>
      </c>
      <c r="E498">
        <v>1</v>
      </c>
      <c r="F498">
        <v>1</v>
      </c>
      <c r="G498">
        <v>15514512</v>
      </c>
      <c r="H498">
        <v>3</v>
      </c>
      <c r="I498" t="s">
        <v>784</v>
      </c>
      <c r="J498" t="s">
        <v>785</v>
      </c>
      <c r="K498" t="s">
        <v>786</v>
      </c>
      <c r="L498">
        <v>1346</v>
      </c>
      <c r="N498">
        <v>1009</v>
      </c>
      <c r="O498" t="s">
        <v>657</v>
      </c>
      <c r="P498" t="s">
        <v>657</v>
      </c>
      <c r="Q498">
        <v>1</v>
      </c>
      <c r="X498">
        <v>0.48</v>
      </c>
      <c r="Y498">
        <v>375.16</v>
      </c>
      <c r="Z498">
        <v>0</v>
      </c>
      <c r="AA498">
        <v>0</v>
      </c>
      <c r="AB498">
        <v>0</v>
      </c>
      <c r="AC498">
        <v>0</v>
      </c>
      <c r="AD498">
        <v>1</v>
      </c>
      <c r="AE498">
        <v>0</v>
      </c>
      <c r="AF498" t="s">
        <v>3</v>
      </c>
      <c r="AG498">
        <v>0.48</v>
      </c>
      <c r="AH498">
        <v>3</v>
      </c>
      <c r="AI498">
        <v>-1</v>
      </c>
      <c r="AJ498" t="s">
        <v>3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</row>
    <row r="499" spans="1:44" x14ac:dyDescent="0.2">
      <c r="A499">
        <f>ROW(Source!A605)</f>
        <v>605</v>
      </c>
      <c r="B499">
        <v>1474097047</v>
      </c>
      <c r="C499">
        <v>1472040898</v>
      </c>
      <c r="D499">
        <v>1441836235</v>
      </c>
      <c r="E499">
        <v>1</v>
      </c>
      <c r="F499">
        <v>1</v>
      </c>
      <c r="G499">
        <v>15514512</v>
      </c>
      <c r="H499">
        <v>3</v>
      </c>
      <c r="I499" t="s">
        <v>683</v>
      </c>
      <c r="J499" t="s">
        <v>684</v>
      </c>
      <c r="K499" t="s">
        <v>685</v>
      </c>
      <c r="L499">
        <v>1346</v>
      </c>
      <c r="N499">
        <v>1009</v>
      </c>
      <c r="O499" t="s">
        <v>657</v>
      </c>
      <c r="P499" t="s">
        <v>657</v>
      </c>
      <c r="Q499">
        <v>1</v>
      </c>
      <c r="X499">
        <v>0.14000000000000001</v>
      </c>
      <c r="Y499">
        <v>31.49</v>
      </c>
      <c r="Z499">
        <v>0</v>
      </c>
      <c r="AA499">
        <v>0</v>
      </c>
      <c r="AB499">
        <v>0</v>
      </c>
      <c r="AC499">
        <v>0</v>
      </c>
      <c r="AD499">
        <v>1</v>
      </c>
      <c r="AE499">
        <v>0</v>
      </c>
      <c r="AF499" t="s">
        <v>3</v>
      </c>
      <c r="AG499">
        <v>0.14000000000000001</v>
      </c>
      <c r="AH499">
        <v>3</v>
      </c>
      <c r="AI499">
        <v>-1</v>
      </c>
      <c r="AJ499" t="s">
        <v>3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</row>
    <row r="500" spans="1:44" x14ac:dyDescent="0.2">
      <c r="A500">
        <f>ROW(Source!A605)</f>
        <v>605</v>
      </c>
      <c r="B500">
        <v>1474097045</v>
      </c>
      <c r="C500">
        <v>1472040898</v>
      </c>
      <c r="D500">
        <v>1441822228</v>
      </c>
      <c r="E500">
        <v>15514512</v>
      </c>
      <c r="F500">
        <v>1</v>
      </c>
      <c r="G500">
        <v>15514512</v>
      </c>
      <c r="H500">
        <v>3</v>
      </c>
      <c r="I500" t="s">
        <v>714</v>
      </c>
      <c r="J500" t="s">
        <v>3</v>
      </c>
      <c r="K500" t="s">
        <v>716</v>
      </c>
      <c r="L500">
        <v>1346</v>
      </c>
      <c r="N500">
        <v>1009</v>
      </c>
      <c r="O500" t="s">
        <v>657</v>
      </c>
      <c r="P500" t="s">
        <v>657</v>
      </c>
      <c r="Q500">
        <v>1</v>
      </c>
      <c r="X500">
        <v>0.14000000000000001</v>
      </c>
      <c r="Y500">
        <v>73.951729999999998</v>
      </c>
      <c r="Z500">
        <v>0</v>
      </c>
      <c r="AA500">
        <v>0</v>
      </c>
      <c r="AB500">
        <v>0</v>
      </c>
      <c r="AC500">
        <v>0</v>
      </c>
      <c r="AD500">
        <v>1</v>
      </c>
      <c r="AE500">
        <v>0</v>
      </c>
      <c r="AF500" t="s">
        <v>3</v>
      </c>
      <c r="AG500">
        <v>0.14000000000000001</v>
      </c>
      <c r="AH500">
        <v>3</v>
      </c>
      <c r="AI500">
        <v>-1</v>
      </c>
      <c r="AJ500" t="s">
        <v>3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</row>
    <row r="501" spans="1:44" x14ac:dyDescent="0.2">
      <c r="A501">
        <f>ROW(Source!A605)</f>
        <v>605</v>
      </c>
      <c r="B501">
        <v>1474097048</v>
      </c>
      <c r="C501">
        <v>1472040898</v>
      </c>
      <c r="D501">
        <v>1441834920</v>
      </c>
      <c r="E501">
        <v>1</v>
      </c>
      <c r="F501">
        <v>1</v>
      </c>
      <c r="G501">
        <v>15514512</v>
      </c>
      <c r="H501">
        <v>3</v>
      </c>
      <c r="I501" t="s">
        <v>787</v>
      </c>
      <c r="J501" t="s">
        <v>788</v>
      </c>
      <c r="K501" t="s">
        <v>789</v>
      </c>
      <c r="L501">
        <v>1346</v>
      </c>
      <c r="N501">
        <v>1009</v>
      </c>
      <c r="O501" t="s">
        <v>657</v>
      </c>
      <c r="P501" t="s">
        <v>657</v>
      </c>
      <c r="Q501">
        <v>1</v>
      </c>
      <c r="X501">
        <v>0.1</v>
      </c>
      <c r="Y501">
        <v>106.87</v>
      </c>
      <c r="Z501">
        <v>0</v>
      </c>
      <c r="AA501">
        <v>0</v>
      </c>
      <c r="AB501">
        <v>0</v>
      </c>
      <c r="AC501">
        <v>0</v>
      </c>
      <c r="AD501">
        <v>1</v>
      </c>
      <c r="AE501">
        <v>0</v>
      </c>
      <c r="AF501" t="s">
        <v>3</v>
      </c>
      <c r="AG501">
        <v>0.1</v>
      </c>
      <c r="AH501">
        <v>3</v>
      </c>
      <c r="AI501">
        <v>-1</v>
      </c>
      <c r="AJ501" t="s">
        <v>3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</row>
    <row r="502" spans="1:44" x14ac:dyDescent="0.2">
      <c r="A502">
        <f>ROW(Source!A606)</f>
        <v>606</v>
      </c>
      <c r="B502">
        <v>1474097049</v>
      </c>
      <c r="C502">
        <v>1472040914</v>
      </c>
      <c r="D502">
        <v>1441819193</v>
      </c>
      <c r="E502">
        <v>15514512</v>
      </c>
      <c r="F502">
        <v>1</v>
      </c>
      <c r="G502">
        <v>15514512</v>
      </c>
      <c r="H502">
        <v>1</v>
      </c>
      <c r="I502" t="s">
        <v>648</v>
      </c>
      <c r="J502" t="s">
        <v>3</v>
      </c>
      <c r="K502" t="s">
        <v>649</v>
      </c>
      <c r="L502">
        <v>1191</v>
      </c>
      <c r="N502">
        <v>1013</v>
      </c>
      <c r="O502" t="s">
        <v>650</v>
      </c>
      <c r="P502" t="s">
        <v>650</v>
      </c>
      <c r="Q502">
        <v>1</v>
      </c>
      <c r="X502">
        <v>0.8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1</v>
      </c>
      <c r="AE502">
        <v>1</v>
      </c>
      <c r="AF502" t="s">
        <v>290</v>
      </c>
      <c r="AG502">
        <v>2.4000000000000004</v>
      </c>
      <c r="AH502">
        <v>3</v>
      </c>
      <c r="AI502">
        <v>-1</v>
      </c>
      <c r="AJ502" t="s">
        <v>3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</row>
    <row r="503" spans="1:44" x14ac:dyDescent="0.2">
      <c r="A503">
        <f>ROW(Source!A606)</f>
        <v>606</v>
      </c>
      <c r="B503">
        <v>1474097050</v>
      </c>
      <c r="C503">
        <v>1472040914</v>
      </c>
      <c r="D503">
        <v>1441822228</v>
      </c>
      <c r="E503">
        <v>15514512</v>
      </c>
      <c r="F503">
        <v>1</v>
      </c>
      <c r="G503">
        <v>15514512</v>
      </c>
      <c r="H503">
        <v>3</v>
      </c>
      <c r="I503" t="s">
        <v>714</v>
      </c>
      <c r="J503" t="s">
        <v>3</v>
      </c>
      <c r="K503" t="s">
        <v>716</v>
      </c>
      <c r="L503">
        <v>1346</v>
      </c>
      <c r="N503">
        <v>1009</v>
      </c>
      <c r="O503" t="s">
        <v>657</v>
      </c>
      <c r="P503" t="s">
        <v>657</v>
      </c>
      <c r="Q503">
        <v>1</v>
      </c>
      <c r="X503">
        <v>0.01</v>
      </c>
      <c r="Y503">
        <v>73.951729999999998</v>
      </c>
      <c r="Z503">
        <v>0</v>
      </c>
      <c r="AA503">
        <v>0</v>
      </c>
      <c r="AB503">
        <v>0</v>
      </c>
      <c r="AC503">
        <v>0</v>
      </c>
      <c r="AD503">
        <v>1</v>
      </c>
      <c r="AE503">
        <v>0</v>
      </c>
      <c r="AF503" t="s">
        <v>290</v>
      </c>
      <c r="AG503">
        <v>0.03</v>
      </c>
      <c r="AH503">
        <v>3</v>
      </c>
      <c r="AI503">
        <v>-1</v>
      </c>
      <c r="AJ503" t="s">
        <v>3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</row>
    <row r="504" spans="1:44" x14ac:dyDescent="0.2">
      <c r="A504">
        <f>ROW(Source!A607)</f>
        <v>607</v>
      </c>
      <c r="B504">
        <v>1474097051</v>
      </c>
      <c r="C504">
        <v>1472040921</v>
      </c>
      <c r="D504">
        <v>1441819193</v>
      </c>
      <c r="E504">
        <v>15514512</v>
      </c>
      <c r="F504">
        <v>1</v>
      </c>
      <c r="G504">
        <v>15514512</v>
      </c>
      <c r="H504">
        <v>1</v>
      </c>
      <c r="I504" t="s">
        <v>648</v>
      </c>
      <c r="J504" t="s">
        <v>3</v>
      </c>
      <c r="K504" t="s">
        <v>649</v>
      </c>
      <c r="L504">
        <v>1191</v>
      </c>
      <c r="N504">
        <v>1013</v>
      </c>
      <c r="O504" t="s">
        <v>650</v>
      </c>
      <c r="P504" t="s">
        <v>650</v>
      </c>
      <c r="Q504">
        <v>1</v>
      </c>
      <c r="X504">
        <v>18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1</v>
      </c>
      <c r="AE504">
        <v>1</v>
      </c>
      <c r="AF504" t="s">
        <v>3</v>
      </c>
      <c r="AG504">
        <v>18</v>
      </c>
      <c r="AH504">
        <v>3</v>
      </c>
      <c r="AI504">
        <v>-1</v>
      </c>
      <c r="AJ504" t="s">
        <v>3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</row>
    <row r="505" spans="1:44" x14ac:dyDescent="0.2">
      <c r="A505">
        <f>ROW(Source!A607)</f>
        <v>607</v>
      </c>
      <c r="B505">
        <v>1474097053</v>
      </c>
      <c r="C505">
        <v>1472040921</v>
      </c>
      <c r="D505">
        <v>1441836237</v>
      </c>
      <c r="E505">
        <v>1</v>
      </c>
      <c r="F505">
        <v>1</v>
      </c>
      <c r="G505">
        <v>15514512</v>
      </c>
      <c r="H505">
        <v>3</v>
      </c>
      <c r="I505" t="s">
        <v>784</v>
      </c>
      <c r="J505" t="s">
        <v>785</v>
      </c>
      <c r="K505" t="s">
        <v>786</v>
      </c>
      <c r="L505">
        <v>1346</v>
      </c>
      <c r="N505">
        <v>1009</v>
      </c>
      <c r="O505" t="s">
        <v>657</v>
      </c>
      <c r="P505" t="s">
        <v>657</v>
      </c>
      <c r="Q505">
        <v>1</v>
      </c>
      <c r="X505">
        <v>0.36</v>
      </c>
      <c r="Y505">
        <v>375.16</v>
      </c>
      <c r="Z505">
        <v>0</v>
      </c>
      <c r="AA505">
        <v>0</v>
      </c>
      <c r="AB505">
        <v>0</v>
      </c>
      <c r="AC505">
        <v>0</v>
      </c>
      <c r="AD505">
        <v>1</v>
      </c>
      <c r="AE505">
        <v>0</v>
      </c>
      <c r="AF505" t="s">
        <v>3</v>
      </c>
      <c r="AG505">
        <v>0.36</v>
      </c>
      <c r="AH505">
        <v>3</v>
      </c>
      <c r="AI505">
        <v>-1</v>
      </c>
      <c r="AJ505" t="s">
        <v>3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</row>
    <row r="506" spans="1:44" x14ac:dyDescent="0.2">
      <c r="A506">
        <f>ROW(Source!A607)</f>
        <v>607</v>
      </c>
      <c r="B506">
        <v>1474097054</v>
      </c>
      <c r="C506">
        <v>1472040921</v>
      </c>
      <c r="D506">
        <v>1441836235</v>
      </c>
      <c r="E506">
        <v>1</v>
      </c>
      <c r="F506">
        <v>1</v>
      </c>
      <c r="G506">
        <v>15514512</v>
      </c>
      <c r="H506">
        <v>3</v>
      </c>
      <c r="I506" t="s">
        <v>683</v>
      </c>
      <c r="J506" t="s">
        <v>684</v>
      </c>
      <c r="K506" t="s">
        <v>685</v>
      </c>
      <c r="L506">
        <v>1346</v>
      </c>
      <c r="N506">
        <v>1009</v>
      </c>
      <c r="O506" t="s">
        <v>657</v>
      </c>
      <c r="P506" t="s">
        <v>657</v>
      </c>
      <c r="Q506">
        <v>1</v>
      </c>
      <c r="X506">
        <v>0.11</v>
      </c>
      <c r="Y506">
        <v>31.49</v>
      </c>
      <c r="Z506">
        <v>0</v>
      </c>
      <c r="AA506">
        <v>0</v>
      </c>
      <c r="AB506">
        <v>0</v>
      </c>
      <c r="AC506">
        <v>0</v>
      </c>
      <c r="AD506">
        <v>1</v>
      </c>
      <c r="AE506">
        <v>0</v>
      </c>
      <c r="AF506" t="s">
        <v>3</v>
      </c>
      <c r="AG506">
        <v>0.11</v>
      </c>
      <c r="AH506">
        <v>3</v>
      </c>
      <c r="AI506">
        <v>-1</v>
      </c>
      <c r="AJ506" t="s">
        <v>3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</row>
    <row r="507" spans="1:44" x14ac:dyDescent="0.2">
      <c r="A507">
        <f>ROW(Source!A607)</f>
        <v>607</v>
      </c>
      <c r="B507">
        <v>1474097052</v>
      </c>
      <c r="C507">
        <v>1472040921</v>
      </c>
      <c r="D507">
        <v>1441822228</v>
      </c>
      <c r="E507">
        <v>15514512</v>
      </c>
      <c r="F507">
        <v>1</v>
      </c>
      <c r="G507">
        <v>15514512</v>
      </c>
      <c r="H507">
        <v>3</v>
      </c>
      <c r="I507" t="s">
        <v>714</v>
      </c>
      <c r="J507" t="s">
        <v>3</v>
      </c>
      <c r="K507" t="s">
        <v>716</v>
      </c>
      <c r="L507">
        <v>1346</v>
      </c>
      <c r="N507">
        <v>1009</v>
      </c>
      <c r="O507" t="s">
        <v>657</v>
      </c>
      <c r="P507" t="s">
        <v>657</v>
      </c>
      <c r="Q507">
        <v>1</v>
      </c>
      <c r="X507">
        <v>0.11</v>
      </c>
      <c r="Y507">
        <v>73.951729999999998</v>
      </c>
      <c r="Z507">
        <v>0</v>
      </c>
      <c r="AA507">
        <v>0</v>
      </c>
      <c r="AB507">
        <v>0</v>
      </c>
      <c r="AC507">
        <v>0</v>
      </c>
      <c r="AD507">
        <v>1</v>
      </c>
      <c r="AE507">
        <v>0</v>
      </c>
      <c r="AF507" t="s">
        <v>3</v>
      </c>
      <c r="AG507">
        <v>0.11</v>
      </c>
      <c r="AH507">
        <v>3</v>
      </c>
      <c r="AI507">
        <v>-1</v>
      </c>
      <c r="AJ507" t="s">
        <v>3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</row>
    <row r="508" spans="1:44" x14ac:dyDescent="0.2">
      <c r="A508">
        <f>ROW(Source!A607)</f>
        <v>607</v>
      </c>
      <c r="B508">
        <v>1474097055</v>
      </c>
      <c r="C508">
        <v>1472040921</v>
      </c>
      <c r="D508">
        <v>1441834920</v>
      </c>
      <c r="E508">
        <v>1</v>
      </c>
      <c r="F508">
        <v>1</v>
      </c>
      <c r="G508">
        <v>15514512</v>
      </c>
      <c r="H508">
        <v>3</v>
      </c>
      <c r="I508" t="s">
        <v>787</v>
      </c>
      <c r="J508" t="s">
        <v>788</v>
      </c>
      <c r="K508" t="s">
        <v>789</v>
      </c>
      <c r="L508">
        <v>1346</v>
      </c>
      <c r="N508">
        <v>1009</v>
      </c>
      <c r="O508" t="s">
        <v>657</v>
      </c>
      <c r="P508" t="s">
        <v>657</v>
      </c>
      <c r="Q508">
        <v>1</v>
      </c>
      <c r="X508">
        <v>7.0000000000000007E-2</v>
      </c>
      <c r="Y508">
        <v>106.87</v>
      </c>
      <c r="Z508">
        <v>0</v>
      </c>
      <c r="AA508">
        <v>0</v>
      </c>
      <c r="AB508">
        <v>0</v>
      </c>
      <c r="AC508">
        <v>0</v>
      </c>
      <c r="AD508">
        <v>1</v>
      </c>
      <c r="AE508">
        <v>0</v>
      </c>
      <c r="AF508" t="s">
        <v>3</v>
      </c>
      <c r="AG508">
        <v>7.0000000000000007E-2</v>
      </c>
      <c r="AH508">
        <v>3</v>
      </c>
      <c r="AI508">
        <v>-1</v>
      </c>
      <c r="AJ508" t="s">
        <v>3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</row>
    <row r="509" spans="1:44" x14ac:dyDescent="0.2">
      <c r="A509">
        <f>ROW(Source!A608)</f>
        <v>608</v>
      </c>
      <c r="B509">
        <v>1474097056</v>
      </c>
      <c r="C509">
        <v>1472040937</v>
      </c>
      <c r="D509">
        <v>1441819193</v>
      </c>
      <c r="E509">
        <v>15514512</v>
      </c>
      <c r="F509">
        <v>1</v>
      </c>
      <c r="G509">
        <v>15514512</v>
      </c>
      <c r="H509">
        <v>1</v>
      </c>
      <c r="I509" t="s">
        <v>648</v>
      </c>
      <c r="J509" t="s">
        <v>3</v>
      </c>
      <c r="K509" t="s">
        <v>649</v>
      </c>
      <c r="L509">
        <v>1191</v>
      </c>
      <c r="N509">
        <v>1013</v>
      </c>
      <c r="O509" t="s">
        <v>650</v>
      </c>
      <c r="P509" t="s">
        <v>650</v>
      </c>
      <c r="Q509">
        <v>1</v>
      </c>
      <c r="X509">
        <v>0.6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1</v>
      </c>
      <c r="AE509">
        <v>1</v>
      </c>
      <c r="AF509" t="s">
        <v>437</v>
      </c>
      <c r="AG509">
        <v>9.6</v>
      </c>
      <c r="AH509">
        <v>3</v>
      </c>
      <c r="AI509">
        <v>-1</v>
      </c>
      <c r="AJ509" t="s">
        <v>3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</row>
    <row r="510" spans="1:44" x14ac:dyDescent="0.2">
      <c r="A510">
        <f>ROW(Source!A608)</f>
        <v>608</v>
      </c>
      <c r="B510">
        <v>1474097057</v>
      </c>
      <c r="C510">
        <v>1472040937</v>
      </c>
      <c r="D510">
        <v>1441822228</v>
      </c>
      <c r="E510">
        <v>15514512</v>
      </c>
      <c r="F510">
        <v>1</v>
      </c>
      <c r="G510">
        <v>15514512</v>
      </c>
      <c r="H510">
        <v>3</v>
      </c>
      <c r="I510" t="s">
        <v>714</v>
      </c>
      <c r="J510" t="s">
        <v>3</v>
      </c>
      <c r="K510" t="s">
        <v>716</v>
      </c>
      <c r="L510">
        <v>1346</v>
      </c>
      <c r="N510">
        <v>1009</v>
      </c>
      <c r="O510" t="s">
        <v>657</v>
      </c>
      <c r="P510" t="s">
        <v>657</v>
      </c>
      <c r="Q510">
        <v>1</v>
      </c>
      <c r="X510">
        <v>0.01</v>
      </c>
      <c r="Y510">
        <v>73.951729999999998</v>
      </c>
      <c r="Z510">
        <v>0</v>
      </c>
      <c r="AA510">
        <v>0</v>
      </c>
      <c r="AB510">
        <v>0</v>
      </c>
      <c r="AC510">
        <v>0</v>
      </c>
      <c r="AD510">
        <v>1</v>
      </c>
      <c r="AE510">
        <v>0</v>
      </c>
      <c r="AF510" t="s">
        <v>437</v>
      </c>
      <c r="AG510">
        <v>0.16</v>
      </c>
      <c r="AH510">
        <v>3</v>
      </c>
      <c r="AI510">
        <v>-1</v>
      </c>
      <c r="AJ510" t="s">
        <v>3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</row>
    <row r="511" spans="1:44" x14ac:dyDescent="0.2">
      <c r="A511">
        <f>ROW(Source!A609)</f>
        <v>609</v>
      </c>
      <c r="B511">
        <v>1474097058</v>
      </c>
      <c r="C511">
        <v>1472040944</v>
      </c>
      <c r="D511">
        <v>1441819193</v>
      </c>
      <c r="E511">
        <v>15514512</v>
      </c>
      <c r="F511">
        <v>1</v>
      </c>
      <c r="G511">
        <v>15514512</v>
      </c>
      <c r="H511">
        <v>1</v>
      </c>
      <c r="I511" t="s">
        <v>648</v>
      </c>
      <c r="J511" t="s">
        <v>3</v>
      </c>
      <c r="K511" t="s">
        <v>649</v>
      </c>
      <c r="L511">
        <v>1191</v>
      </c>
      <c r="N511">
        <v>1013</v>
      </c>
      <c r="O511" t="s">
        <v>650</v>
      </c>
      <c r="P511" t="s">
        <v>650</v>
      </c>
      <c r="Q511">
        <v>1</v>
      </c>
      <c r="X511">
        <v>0.6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1</v>
      </c>
      <c r="AE511">
        <v>1</v>
      </c>
      <c r="AF511" t="s">
        <v>3</v>
      </c>
      <c r="AG511">
        <v>0.6</v>
      </c>
      <c r="AH511">
        <v>3</v>
      </c>
      <c r="AI511">
        <v>-1</v>
      </c>
      <c r="AJ511" t="s">
        <v>3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</row>
    <row r="512" spans="1:44" x14ac:dyDescent="0.2">
      <c r="A512">
        <f>ROW(Source!A609)</f>
        <v>609</v>
      </c>
      <c r="B512">
        <v>1474097059</v>
      </c>
      <c r="C512">
        <v>1472040944</v>
      </c>
      <c r="D512">
        <v>1441836235</v>
      </c>
      <c r="E512">
        <v>1</v>
      </c>
      <c r="F512">
        <v>1</v>
      </c>
      <c r="G512">
        <v>15514512</v>
      </c>
      <c r="H512">
        <v>3</v>
      </c>
      <c r="I512" t="s">
        <v>683</v>
      </c>
      <c r="J512" t="s">
        <v>684</v>
      </c>
      <c r="K512" t="s">
        <v>685</v>
      </c>
      <c r="L512">
        <v>1346</v>
      </c>
      <c r="N512">
        <v>1009</v>
      </c>
      <c r="O512" t="s">
        <v>657</v>
      </c>
      <c r="P512" t="s">
        <v>657</v>
      </c>
      <c r="Q512">
        <v>1</v>
      </c>
      <c r="X512">
        <v>0.05</v>
      </c>
      <c r="Y512">
        <v>31.49</v>
      </c>
      <c r="Z512">
        <v>0</v>
      </c>
      <c r="AA512">
        <v>0</v>
      </c>
      <c r="AB512">
        <v>0</v>
      </c>
      <c r="AC512">
        <v>0</v>
      </c>
      <c r="AD512">
        <v>1</v>
      </c>
      <c r="AE512">
        <v>0</v>
      </c>
      <c r="AF512" t="s">
        <v>3</v>
      </c>
      <c r="AG512">
        <v>0.05</v>
      </c>
      <c r="AH512">
        <v>3</v>
      </c>
      <c r="AI512">
        <v>-1</v>
      </c>
      <c r="AJ512" t="s">
        <v>3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</row>
    <row r="513" spans="1:44" x14ac:dyDescent="0.2">
      <c r="A513">
        <f>ROW(Source!A610)</f>
        <v>610</v>
      </c>
      <c r="B513">
        <v>1474097060</v>
      </c>
      <c r="C513">
        <v>1472040951</v>
      </c>
      <c r="D513">
        <v>1441819193</v>
      </c>
      <c r="E513">
        <v>15514512</v>
      </c>
      <c r="F513">
        <v>1</v>
      </c>
      <c r="G513">
        <v>15514512</v>
      </c>
      <c r="H513">
        <v>1</v>
      </c>
      <c r="I513" t="s">
        <v>648</v>
      </c>
      <c r="J513" t="s">
        <v>3</v>
      </c>
      <c r="K513" t="s">
        <v>649</v>
      </c>
      <c r="L513">
        <v>1191</v>
      </c>
      <c r="N513">
        <v>1013</v>
      </c>
      <c r="O513" t="s">
        <v>650</v>
      </c>
      <c r="P513" t="s">
        <v>650</v>
      </c>
      <c r="Q513">
        <v>1</v>
      </c>
      <c r="X513">
        <v>0.14000000000000001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1</v>
      </c>
      <c r="AE513">
        <v>1</v>
      </c>
      <c r="AF513" t="s">
        <v>22</v>
      </c>
      <c r="AG513">
        <v>0.56000000000000005</v>
      </c>
      <c r="AH513">
        <v>3</v>
      </c>
      <c r="AI513">
        <v>-1</v>
      </c>
      <c r="AJ513" t="s">
        <v>3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</row>
    <row r="514" spans="1:44" x14ac:dyDescent="0.2">
      <c r="A514">
        <f>ROW(Source!A611)</f>
        <v>611</v>
      </c>
      <c r="B514">
        <v>1474097061</v>
      </c>
      <c r="C514">
        <v>1472040955</v>
      </c>
      <c r="D514">
        <v>1441819193</v>
      </c>
      <c r="E514">
        <v>15514512</v>
      </c>
      <c r="F514">
        <v>1</v>
      </c>
      <c r="G514">
        <v>15514512</v>
      </c>
      <c r="H514">
        <v>1</v>
      </c>
      <c r="I514" t="s">
        <v>648</v>
      </c>
      <c r="J514" t="s">
        <v>3</v>
      </c>
      <c r="K514" t="s">
        <v>649</v>
      </c>
      <c r="L514">
        <v>1191</v>
      </c>
      <c r="N514">
        <v>1013</v>
      </c>
      <c r="O514" t="s">
        <v>650</v>
      </c>
      <c r="P514" t="s">
        <v>650</v>
      </c>
      <c r="Q514">
        <v>1</v>
      </c>
      <c r="X514">
        <v>0.08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1</v>
      </c>
      <c r="AE514">
        <v>1</v>
      </c>
      <c r="AF514" t="s">
        <v>448</v>
      </c>
      <c r="AG514">
        <v>9.44</v>
      </c>
      <c r="AH514">
        <v>3</v>
      </c>
      <c r="AI514">
        <v>-1</v>
      </c>
      <c r="AJ514" t="s">
        <v>3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</row>
    <row r="515" spans="1:44" x14ac:dyDescent="0.2">
      <c r="A515">
        <f>ROW(Source!A613)</f>
        <v>613</v>
      </c>
      <c r="B515">
        <v>1474097062</v>
      </c>
      <c r="C515">
        <v>1472040960</v>
      </c>
      <c r="D515">
        <v>1441819193</v>
      </c>
      <c r="E515">
        <v>15514512</v>
      </c>
      <c r="F515">
        <v>1</v>
      </c>
      <c r="G515">
        <v>15514512</v>
      </c>
      <c r="H515">
        <v>1</v>
      </c>
      <c r="I515" t="s">
        <v>648</v>
      </c>
      <c r="J515" t="s">
        <v>3</v>
      </c>
      <c r="K515" t="s">
        <v>649</v>
      </c>
      <c r="L515">
        <v>1191</v>
      </c>
      <c r="N515">
        <v>1013</v>
      </c>
      <c r="O515" t="s">
        <v>650</v>
      </c>
      <c r="P515" t="s">
        <v>650</v>
      </c>
      <c r="Q515">
        <v>1</v>
      </c>
      <c r="X515">
        <v>24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1</v>
      </c>
      <c r="AE515">
        <v>1</v>
      </c>
      <c r="AF515" t="s">
        <v>3</v>
      </c>
      <c r="AG515">
        <v>24</v>
      </c>
      <c r="AH515">
        <v>3</v>
      </c>
      <c r="AI515">
        <v>-1</v>
      </c>
      <c r="AJ515" t="s">
        <v>3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</row>
    <row r="516" spans="1:44" x14ac:dyDescent="0.2">
      <c r="A516">
        <f>ROW(Source!A613)</f>
        <v>613</v>
      </c>
      <c r="B516">
        <v>1474097064</v>
      </c>
      <c r="C516">
        <v>1472040960</v>
      </c>
      <c r="D516">
        <v>1441836237</v>
      </c>
      <c r="E516">
        <v>1</v>
      </c>
      <c r="F516">
        <v>1</v>
      </c>
      <c r="G516">
        <v>15514512</v>
      </c>
      <c r="H516">
        <v>3</v>
      </c>
      <c r="I516" t="s">
        <v>784</v>
      </c>
      <c r="J516" t="s">
        <v>785</v>
      </c>
      <c r="K516" t="s">
        <v>786</v>
      </c>
      <c r="L516">
        <v>1346</v>
      </c>
      <c r="N516">
        <v>1009</v>
      </c>
      <c r="O516" t="s">
        <v>657</v>
      </c>
      <c r="P516" t="s">
        <v>657</v>
      </c>
      <c r="Q516">
        <v>1</v>
      </c>
      <c r="X516">
        <v>0.48</v>
      </c>
      <c r="Y516">
        <v>375.16</v>
      </c>
      <c r="Z516">
        <v>0</v>
      </c>
      <c r="AA516">
        <v>0</v>
      </c>
      <c r="AB516">
        <v>0</v>
      </c>
      <c r="AC516">
        <v>0</v>
      </c>
      <c r="AD516">
        <v>1</v>
      </c>
      <c r="AE516">
        <v>0</v>
      </c>
      <c r="AF516" t="s">
        <v>3</v>
      </c>
      <c r="AG516">
        <v>0.48</v>
      </c>
      <c r="AH516">
        <v>3</v>
      </c>
      <c r="AI516">
        <v>-1</v>
      </c>
      <c r="AJ516" t="s">
        <v>3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</row>
    <row r="517" spans="1:44" x14ac:dyDescent="0.2">
      <c r="A517">
        <f>ROW(Source!A613)</f>
        <v>613</v>
      </c>
      <c r="B517">
        <v>1474097065</v>
      </c>
      <c r="C517">
        <v>1472040960</v>
      </c>
      <c r="D517">
        <v>1441836235</v>
      </c>
      <c r="E517">
        <v>1</v>
      </c>
      <c r="F517">
        <v>1</v>
      </c>
      <c r="G517">
        <v>15514512</v>
      </c>
      <c r="H517">
        <v>3</v>
      </c>
      <c r="I517" t="s">
        <v>683</v>
      </c>
      <c r="J517" t="s">
        <v>684</v>
      </c>
      <c r="K517" t="s">
        <v>685</v>
      </c>
      <c r="L517">
        <v>1346</v>
      </c>
      <c r="N517">
        <v>1009</v>
      </c>
      <c r="O517" t="s">
        <v>657</v>
      </c>
      <c r="P517" t="s">
        <v>657</v>
      </c>
      <c r="Q517">
        <v>1</v>
      </c>
      <c r="X517">
        <v>0.14000000000000001</v>
      </c>
      <c r="Y517">
        <v>31.49</v>
      </c>
      <c r="Z517">
        <v>0</v>
      </c>
      <c r="AA517">
        <v>0</v>
      </c>
      <c r="AB517">
        <v>0</v>
      </c>
      <c r="AC517">
        <v>0</v>
      </c>
      <c r="AD517">
        <v>1</v>
      </c>
      <c r="AE517">
        <v>0</v>
      </c>
      <c r="AF517" t="s">
        <v>3</v>
      </c>
      <c r="AG517">
        <v>0.14000000000000001</v>
      </c>
      <c r="AH517">
        <v>3</v>
      </c>
      <c r="AI517">
        <v>-1</v>
      </c>
      <c r="AJ517" t="s">
        <v>3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</row>
    <row r="518" spans="1:44" x14ac:dyDescent="0.2">
      <c r="A518">
        <f>ROW(Source!A613)</f>
        <v>613</v>
      </c>
      <c r="B518">
        <v>1474097063</v>
      </c>
      <c r="C518">
        <v>1472040960</v>
      </c>
      <c r="D518">
        <v>1441822228</v>
      </c>
      <c r="E518">
        <v>15514512</v>
      </c>
      <c r="F518">
        <v>1</v>
      </c>
      <c r="G518">
        <v>15514512</v>
      </c>
      <c r="H518">
        <v>3</v>
      </c>
      <c r="I518" t="s">
        <v>714</v>
      </c>
      <c r="J518" t="s">
        <v>3</v>
      </c>
      <c r="K518" t="s">
        <v>716</v>
      </c>
      <c r="L518">
        <v>1346</v>
      </c>
      <c r="N518">
        <v>1009</v>
      </c>
      <c r="O518" t="s">
        <v>657</v>
      </c>
      <c r="P518" t="s">
        <v>657</v>
      </c>
      <c r="Q518">
        <v>1</v>
      </c>
      <c r="X518">
        <v>0.14000000000000001</v>
      </c>
      <c r="Y518">
        <v>73.951729999999998</v>
      </c>
      <c r="Z518">
        <v>0</v>
      </c>
      <c r="AA518">
        <v>0</v>
      </c>
      <c r="AB518">
        <v>0</v>
      </c>
      <c r="AC518">
        <v>0</v>
      </c>
      <c r="AD518">
        <v>1</v>
      </c>
      <c r="AE518">
        <v>0</v>
      </c>
      <c r="AF518" t="s">
        <v>3</v>
      </c>
      <c r="AG518">
        <v>0.14000000000000001</v>
      </c>
      <c r="AH518">
        <v>3</v>
      </c>
      <c r="AI518">
        <v>-1</v>
      </c>
      <c r="AJ518" t="s">
        <v>3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</row>
    <row r="519" spans="1:44" x14ac:dyDescent="0.2">
      <c r="A519">
        <f>ROW(Source!A613)</f>
        <v>613</v>
      </c>
      <c r="B519">
        <v>1474097066</v>
      </c>
      <c r="C519">
        <v>1472040960</v>
      </c>
      <c r="D519">
        <v>1441834920</v>
      </c>
      <c r="E519">
        <v>1</v>
      </c>
      <c r="F519">
        <v>1</v>
      </c>
      <c r="G519">
        <v>15514512</v>
      </c>
      <c r="H519">
        <v>3</v>
      </c>
      <c r="I519" t="s">
        <v>787</v>
      </c>
      <c r="J519" t="s">
        <v>788</v>
      </c>
      <c r="K519" t="s">
        <v>789</v>
      </c>
      <c r="L519">
        <v>1346</v>
      </c>
      <c r="N519">
        <v>1009</v>
      </c>
      <c r="O519" t="s">
        <v>657</v>
      </c>
      <c r="P519" t="s">
        <v>657</v>
      </c>
      <c r="Q519">
        <v>1</v>
      </c>
      <c r="X519">
        <v>0.1</v>
      </c>
      <c r="Y519">
        <v>106.87</v>
      </c>
      <c r="Z519">
        <v>0</v>
      </c>
      <c r="AA519">
        <v>0</v>
      </c>
      <c r="AB519">
        <v>0</v>
      </c>
      <c r="AC519">
        <v>0</v>
      </c>
      <c r="AD519">
        <v>1</v>
      </c>
      <c r="AE519">
        <v>0</v>
      </c>
      <c r="AF519" t="s">
        <v>3</v>
      </c>
      <c r="AG519">
        <v>0.1</v>
      </c>
      <c r="AH519">
        <v>3</v>
      </c>
      <c r="AI519">
        <v>-1</v>
      </c>
      <c r="AJ519" t="s">
        <v>3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</row>
    <row r="520" spans="1:44" x14ac:dyDescent="0.2">
      <c r="A520">
        <f>ROW(Source!A614)</f>
        <v>614</v>
      </c>
      <c r="B520">
        <v>1474097067</v>
      </c>
      <c r="C520">
        <v>1472040976</v>
      </c>
      <c r="D520">
        <v>1441819193</v>
      </c>
      <c r="E520">
        <v>15514512</v>
      </c>
      <c r="F520">
        <v>1</v>
      </c>
      <c r="G520">
        <v>15514512</v>
      </c>
      <c r="H520">
        <v>1</v>
      </c>
      <c r="I520" t="s">
        <v>648</v>
      </c>
      <c r="J520" t="s">
        <v>3</v>
      </c>
      <c r="K520" t="s">
        <v>649</v>
      </c>
      <c r="L520">
        <v>1191</v>
      </c>
      <c r="N520">
        <v>1013</v>
      </c>
      <c r="O520" t="s">
        <v>650</v>
      </c>
      <c r="P520" t="s">
        <v>650</v>
      </c>
      <c r="Q520">
        <v>1</v>
      </c>
      <c r="X520">
        <v>0.8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1</v>
      </c>
      <c r="AE520">
        <v>1</v>
      </c>
      <c r="AF520" t="s">
        <v>290</v>
      </c>
      <c r="AG520">
        <v>2.4000000000000004</v>
      </c>
      <c r="AH520">
        <v>3</v>
      </c>
      <c r="AI520">
        <v>-1</v>
      </c>
      <c r="AJ520" t="s">
        <v>3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</row>
    <row r="521" spans="1:44" x14ac:dyDescent="0.2">
      <c r="A521">
        <f>ROW(Source!A614)</f>
        <v>614</v>
      </c>
      <c r="B521">
        <v>1474097068</v>
      </c>
      <c r="C521">
        <v>1472040976</v>
      </c>
      <c r="D521">
        <v>1441822228</v>
      </c>
      <c r="E521">
        <v>15514512</v>
      </c>
      <c r="F521">
        <v>1</v>
      </c>
      <c r="G521">
        <v>15514512</v>
      </c>
      <c r="H521">
        <v>3</v>
      </c>
      <c r="I521" t="s">
        <v>714</v>
      </c>
      <c r="J521" t="s">
        <v>3</v>
      </c>
      <c r="K521" t="s">
        <v>716</v>
      </c>
      <c r="L521">
        <v>1346</v>
      </c>
      <c r="N521">
        <v>1009</v>
      </c>
      <c r="O521" t="s">
        <v>657</v>
      </c>
      <c r="P521" t="s">
        <v>657</v>
      </c>
      <c r="Q521">
        <v>1</v>
      </c>
      <c r="X521">
        <v>0.01</v>
      </c>
      <c r="Y521">
        <v>73.951729999999998</v>
      </c>
      <c r="Z521">
        <v>0</v>
      </c>
      <c r="AA521">
        <v>0</v>
      </c>
      <c r="AB521">
        <v>0</v>
      </c>
      <c r="AC521">
        <v>0</v>
      </c>
      <c r="AD521">
        <v>1</v>
      </c>
      <c r="AE521">
        <v>0</v>
      </c>
      <c r="AF521" t="s">
        <v>290</v>
      </c>
      <c r="AG521">
        <v>0.03</v>
      </c>
      <c r="AH521">
        <v>3</v>
      </c>
      <c r="AI521">
        <v>-1</v>
      </c>
      <c r="AJ521" t="s">
        <v>3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</row>
    <row r="522" spans="1:44" x14ac:dyDescent="0.2">
      <c r="A522">
        <f>ROW(Source!A615)</f>
        <v>615</v>
      </c>
      <c r="B522">
        <v>1474097069</v>
      </c>
      <c r="C522">
        <v>1472040983</v>
      </c>
      <c r="D522">
        <v>1441819193</v>
      </c>
      <c r="E522">
        <v>15514512</v>
      </c>
      <c r="F522">
        <v>1</v>
      </c>
      <c r="G522">
        <v>15514512</v>
      </c>
      <c r="H522">
        <v>1</v>
      </c>
      <c r="I522" t="s">
        <v>648</v>
      </c>
      <c r="J522" t="s">
        <v>3</v>
      </c>
      <c r="K522" t="s">
        <v>649</v>
      </c>
      <c r="L522">
        <v>1191</v>
      </c>
      <c r="N522">
        <v>1013</v>
      </c>
      <c r="O522" t="s">
        <v>650</v>
      </c>
      <c r="P522" t="s">
        <v>650</v>
      </c>
      <c r="Q522">
        <v>1</v>
      </c>
      <c r="X522">
        <v>18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1</v>
      </c>
      <c r="AE522">
        <v>1</v>
      </c>
      <c r="AF522" t="s">
        <v>3</v>
      </c>
      <c r="AG522">
        <v>18</v>
      </c>
      <c r="AH522">
        <v>3</v>
      </c>
      <c r="AI522">
        <v>-1</v>
      </c>
      <c r="AJ522" t="s">
        <v>3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</row>
    <row r="523" spans="1:44" x14ac:dyDescent="0.2">
      <c r="A523">
        <f>ROW(Source!A615)</f>
        <v>615</v>
      </c>
      <c r="B523">
        <v>1474097071</v>
      </c>
      <c r="C523">
        <v>1472040983</v>
      </c>
      <c r="D523">
        <v>1441836237</v>
      </c>
      <c r="E523">
        <v>1</v>
      </c>
      <c r="F523">
        <v>1</v>
      </c>
      <c r="G523">
        <v>15514512</v>
      </c>
      <c r="H523">
        <v>3</v>
      </c>
      <c r="I523" t="s">
        <v>784</v>
      </c>
      <c r="J523" t="s">
        <v>785</v>
      </c>
      <c r="K523" t="s">
        <v>786</v>
      </c>
      <c r="L523">
        <v>1346</v>
      </c>
      <c r="N523">
        <v>1009</v>
      </c>
      <c r="O523" t="s">
        <v>657</v>
      </c>
      <c r="P523" t="s">
        <v>657</v>
      </c>
      <c r="Q523">
        <v>1</v>
      </c>
      <c r="X523">
        <v>0.36</v>
      </c>
      <c r="Y523">
        <v>375.16</v>
      </c>
      <c r="Z523">
        <v>0</v>
      </c>
      <c r="AA523">
        <v>0</v>
      </c>
      <c r="AB523">
        <v>0</v>
      </c>
      <c r="AC523">
        <v>0</v>
      </c>
      <c r="AD523">
        <v>1</v>
      </c>
      <c r="AE523">
        <v>0</v>
      </c>
      <c r="AF523" t="s">
        <v>3</v>
      </c>
      <c r="AG523">
        <v>0.36</v>
      </c>
      <c r="AH523">
        <v>3</v>
      </c>
      <c r="AI523">
        <v>-1</v>
      </c>
      <c r="AJ523" t="s">
        <v>3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</row>
    <row r="524" spans="1:44" x14ac:dyDescent="0.2">
      <c r="A524">
        <f>ROW(Source!A615)</f>
        <v>615</v>
      </c>
      <c r="B524">
        <v>1474097072</v>
      </c>
      <c r="C524">
        <v>1472040983</v>
      </c>
      <c r="D524">
        <v>1441836235</v>
      </c>
      <c r="E524">
        <v>1</v>
      </c>
      <c r="F524">
        <v>1</v>
      </c>
      <c r="G524">
        <v>15514512</v>
      </c>
      <c r="H524">
        <v>3</v>
      </c>
      <c r="I524" t="s">
        <v>683</v>
      </c>
      <c r="J524" t="s">
        <v>684</v>
      </c>
      <c r="K524" t="s">
        <v>685</v>
      </c>
      <c r="L524">
        <v>1346</v>
      </c>
      <c r="N524">
        <v>1009</v>
      </c>
      <c r="O524" t="s">
        <v>657</v>
      </c>
      <c r="P524" t="s">
        <v>657</v>
      </c>
      <c r="Q524">
        <v>1</v>
      </c>
      <c r="X524">
        <v>0.11</v>
      </c>
      <c r="Y524">
        <v>31.49</v>
      </c>
      <c r="Z524">
        <v>0</v>
      </c>
      <c r="AA524">
        <v>0</v>
      </c>
      <c r="AB524">
        <v>0</v>
      </c>
      <c r="AC524">
        <v>0</v>
      </c>
      <c r="AD524">
        <v>1</v>
      </c>
      <c r="AE524">
        <v>0</v>
      </c>
      <c r="AF524" t="s">
        <v>3</v>
      </c>
      <c r="AG524">
        <v>0.11</v>
      </c>
      <c r="AH524">
        <v>3</v>
      </c>
      <c r="AI524">
        <v>-1</v>
      </c>
      <c r="AJ524" t="s">
        <v>3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</row>
    <row r="525" spans="1:44" x14ac:dyDescent="0.2">
      <c r="A525">
        <f>ROW(Source!A615)</f>
        <v>615</v>
      </c>
      <c r="B525">
        <v>1474097070</v>
      </c>
      <c r="C525">
        <v>1472040983</v>
      </c>
      <c r="D525">
        <v>1441822228</v>
      </c>
      <c r="E525">
        <v>15514512</v>
      </c>
      <c r="F525">
        <v>1</v>
      </c>
      <c r="G525">
        <v>15514512</v>
      </c>
      <c r="H525">
        <v>3</v>
      </c>
      <c r="I525" t="s">
        <v>714</v>
      </c>
      <c r="J525" t="s">
        <v>3</v>
      </c>
      <c r="K525" t="s">
        <v>716</v>
      </c>
      <c r="L525">
        <v>1346</v>
      </c>
      <c r="N525">
        <v>1009</v>
      </c>
      <c r="O525" t="s">
        <v>657</v>
      </c>
      <c r="P525" t="s">
        <v>657</v>
      </c>
      <c r="Q525">
        <v>1</v>
      </c>
      <c r="X525">
        <v>0.11</v>
      </c>
      <c r="Y525">
        <v>73.951729999999998</v>
      </c>
      <c r="Z525">
        <v>0</v>
      </c>
      <c r="AA525">
        <v>0</v>
      </c>
      <c r="AB525">
        <v>0</v>
      </c>
      <c r="AC525">
        <v>0</v>
      </c>
      <c r="AD525">
        <v>1</v>
      </c>
      <c r="AE525">
        <v>0</v>
      </c>
      <c r="AF525" t="s">
        <v>3</v>
      </c>
      <c r="AG525">
        <v>0.11</v>
      </c>
      <c r="AH525">
        <v>3</v>
      </c>
      <c r="AI525">
        <v>-1</v>
      </c>
      <c r="AJ525" t="s">
        <v>3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</row>
    <row r="526" spans="1:44" x14ac:dyDescent="0.2">
      <c r="A526">
        <f>ROW(Source!A615)</f>
        <v>615</v>
      </c>
      <c r="B526">
        <v>1474097073</v>
      </c>
      <c r="C526">
        <v>1472040983</v>
      </c>
      <c r="D526">
        <v>1441834920</v>
      </c>
      <c r="E526">
        <v>1</v>
      </c>
      <c r="F526">
        <v>1</v>
      </c>
      <c r="G526">
        <v>15514512</v>
      </c>
      <c r="H526">
        <v>3</v>
      </c>
      <c r="I526" t="s">
        <v>787</v>
      </c>
      <c r="J526" t="s">
        <v>788</v>
      </c>
      <c r="K526" t="s">
        <v>789</v>
      </c>
      <c r="L526">
        <v>1346</v>
      </c>
      <c r="N526">
        <v>1009</v>
      </c>
      <c r="O526" t="s">
        <v>657</v>
      </c>
      <c r="P526" t="s">
        <v>657</v>
      </c>
      <c r="Q526">
        <v>1</v>
      </c>
      <c r="X526">
        <v>7.0000000000000007E-2</v>
      </c>
      <c r="Y526">
        <v>106.87</v>
      </c>
      <c r="Z526">
        <v>0</v>
      </c>
      <c r="AA526">
        <v>0</v>
      </c>
      <c r="AB526">
        <v>0</v>
      </c>
      <c r="AC526">
        <v>0</v>
      </c>
      <c r="AD526">
        <v>1</v>
      </c>
      <c r="AE526">
        <v>0</v>
      </c>
      <c r="AF526" t="s">
        <v>3</v>
      </c>
      <c r="AG526">
        <v>7.0000000000000007E-2</v>
      </c>
      <c r="AH526">
        <v>3</v>
      </c>
      <c r="AI526">
        <v>-1</v>
      </c>
      <c r="AJ526" t="s">
        <v>3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</row>
    <row r="527" spans="1:44" x14ac:dyDescent="0.2">
      <c r="A527">
        <f>ROW(Source!A616)</f>
        <v>616</v>
      </c>
      <c r="B527">
        <v>1474097074</v>
      </c>
      <c r="C527">
        <v>1472040999</v>
      </c>
      <c r="D527">
        <v>1441819193</v>
      </c>
      <c r="E527">
        <v>15514512</v>
      </c>
      <c r="F527">
        <v>1</v>
      </c>
      <c r="G527">
        <v>15514512</v>
      </c>
      <c r="H527">
        <v>1</v>
      </c>
      <c r="I527" t="s">
        <v>648</v>
      </c>
      <c r="J527" t="s">
        <v>3</v>
      </c>
      <c r="K527" t="s">
        <v>649</v>
      </c>
      <c r="L527">
        <v>1191</v>
      </c>
      <c r="N527">
        <v>1013</v>
      </c>
      <c r="O527" t="s">
        <v>650</v>
      </c>
      <c r="P527" t="s">
        <v>650</v>
      </c>
      <c r="Q527">
        <v>1</v>
      </c>
      <c r="X527">
        <v>0.6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1</v>
      </c>
      <c r="AE527">
        <v>1</v>
      </c>
      <c r="AF527" t="s">
        <v>290</v>
      </c>
      <c r="AG527">
        <v>1.7999999999999998</v>
      </c>
      <c r="AH527">
        <v>3</v>
      </c>
      <c r="AI527">
        <v>-1</v>
      </c>
      <c r="AJ527" t="s">
        <v>3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</row>
    <row r="528" spans="1:44" x14ac:dyDescent="0.2">
      <c r="A528">
        <f>ROW(Source!A616)</f>
        <v>616</v>
      </c>
      <c r="B528">
        <v>1474097075</v>
      </c>
      <c r="C528">
        <v>1472040999</v>
      </c>
      <c r="D528">
        <v>1441822228</v>
      </c>
      <c r="E528">
        <v>15514512</v>
      </c>
      <c r="F528">
        <v>1</v>
      </c>
      <c r="G528">
        <v>15514512</v>
      </c>
      <c r="H528">
        <v>3</v>
      </c>
      <c r="I528" t="s">
        <v>714</v>
      </c>
      <c r="J528" t="s">
        <v>3</v>
      </c>
      <c r="K528" t="s">
        <v>716</v>
      </c>
      <c r="L528">
        <v>1346</v>
      </c>
      <c r="N528">
        <v>1009</v>
      </c>
      <c r="O528" t="s">
        <v>657</v>
      </c>
      <c r="P528" t="s">
        <v>657</v>
      </c>
      <c r="Q528">
        <v>1</v>
      </c>
      <c r="X528">
        <v>0.01</v>
      </c>
      <c r="Y528">
        <v>73.951729999999998</v>
      </c>
      <c r="Z528">
        <v>0</v>
      </c>
      <c r="AA528">
        <v>0</v>
      </c>
      <c r="AB528">
        <v>0</v>
      </c>
      <c r="AC528">
        <v>0</v>
      </c>
      <c r="AD528">
        <v>1</v>
      </c>
      <c r="AE528">
        <v>0</v>
      </c>
      <c r="AF528" t="s">
        <v>290</v>
      </c>
      <c r="AG528">
        <v>0.03</v>
      </c>
      <c r="AH528">
        <v>3</v>
      </c>
      <c r="AI528">
        <v>-1</v>
      </c>
      <c r="AJ528" t="s">
        <v>3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</row>
    <row r="529" spans="1:44" x14ac:dyDescent="0.2">
      <c r="A529">
        <f>ROW(Source!A617)</f>
        <v>617</v>
      </c>
      <c r="B529">
        <v>1474097076</v>
      </c>
      <c r="C529">
        <v>1472041006</v>
      </c>
      <c r="D529">
        <v>1441819193</v>
      </c>
      <c r="E529">
        <v>15514512</v>
      </c>
      <c r="F529">
        <v>1</v>
      </c>
      <c r="G529">
        <v>15514512</v>
      </c>
      <c r="H529">
        <v>1</v>
      </c>
      <c r="I529" t="s">
        <v>648</v>
      </c>
      <c r="J529" t="s">
        <v>3</v>
      </c>
      <c r="K529" t="s">
        <v>649</v>
      </c>
      <c r="L529">
        <v>1191</v>
      </c>
      <c r="N529">
        <v>1013</v>
      </c>
      <c r="O529" t="s">
        <v>650</v>
      </c>
      <c r="P529" t="s">
        <v>650</v>
      </c>
      <c r="Q529">
        <v>1</v>
      </c>
      <c r="X529">
        <v>18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1</v>
      </c>
      <c r="AE529">
        <v>1</v>
      </c>
      <c r="AF529" t="s">
        <v>3</v>
      </c>
      <c r="AG529">
        <v>18</v>
      </c>
      <c r="AH529">
        <v>3</v>
      </c>
      <c r="AI529">
        <v>-1</v>
      </c>
      <c r="AJ529" t="s">
        <v>3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</row>
    <row r="530" spans="1:44" x14ac:dyDescent="0.2">
      <c r="A530">
        <f>ROW(Source!A617)</f>
        <v>617</v>
      </c>
      <c r="B530">
        <v>1474097078</v>
      </c>
      <c r="C530">
        <v>1472041006</v>
      </c>
      <c r="D530">
        <v>1441836237</v>
      </c>
      <c r="E530">
        <v>1</v>
      </c>
      <c r="F530">
        <v>1</v>
      </c>
      <c r="G530">
        <v>15514512</v>
      </c>
      <c r="H530">
        <v>3</v>
      </c>
      <c r="I530" t="s">
        <v>784</v>
      </c>
      <c r="J530" t="s">
        <v>785</v>
      </c>
      <c r="K530" t="s">
        <v>786</v>
      </c>
      <c r="L530">
        <v>1346</v>
      </c>
      <c r="N530">
        <v>1009</v>
      </c>
      <c r="O530" t="s">
        <v>657</v>
      </c>
      <c r="P530" t="s">
        <v>657</v>
      </c>
      <c r="Q530">
        <v>1</v>
      </c>
      <c r="X530">
        <v>0.36</v>
      </c>
      <c r="Y530">
        <v>375.16</v>
      </c>
      <c r="Z530">
        <v>0</v>
      </c>
      <c r="AA530">
        <v>0</v>
      </c>
      <c r="AB530">
        <v>0</v>
      </c>
      <c r="AC530">
        <v>0</v>
      </c>
      <c r="AD530">
        <v>1</v>
      </c>
      <c r="AE530">
        <v>0</v>
      </c>
      <c r="AF530" t="s">
        <v>3</v>
      </c>
      <c r="AG530">
        <v>0.36</v>
      </c>
      <c r="AH530">
        <v>3</v>
      </c>
      <c r="AI530">
        <v>-1</v>
      </c>
      <c r="AJ530" t="s">
        <v>3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</row>
    <row r="531" spans="1:44" x14ac:dyDescent="0.2">
      <c r="A531">
        <f>ROW(Source!A617)</f>
        <v>617</v>
      </c>
      <c r="B531">
        <v>1474097079</v>
      </c>
      <c r="C531">
        <v>1472041006</v>
      </c>
      <c r="D531">
        <v>1441836235</v>
      </c>
      <c r="E531">
        <v>1</v>
      </c>
      <c r="F531">
        <v>1</v>
      </c>
      <c r="G531">
        <v>15514512</v>
      </c>
      <c r="H531">
        <v>3</v>
      </c>
      <c r="I531" t="s">
        <v>683</v>
      </c>
      <c r="J531" t="s">
        <v>684</v>
      </c>
      <c r="K531" t="s">
        <v>685</v>
      </c>
      <c r="L531">
        <v>1346</v>
      </c>
      <c r="N531">
        <v>1009</v>
      </c>
      <c r="O531" t="s">
        <v>657</v>
      </c>
      <c r="P531" t="s">
        <v>657</v>
      </c>
      <c r="Q531">
        <v>1</v>
      </c>
      <c r="X531">
        <v>0.11</v>
      </c>
      <c r="Y531">
        <v>31.49</v>
      </c>
      <c r="Z531">
        <v>0</v>
      </c>
      <c r="AA531">
        <v>0</v>
      </c>
      <c r="AB531">
        <v>0</v>
      </c>
      <c r="AC531">
        <v>0</v>
      </c>
      <c r="AD531">
        <v>1</v>
      </c>
      <c r="AE531">
        <v>0</v>
      </c>
      <c r="AF531" t="s">
        <v>3</v>
      </c>
      <c r="AG531">
        <v>0.11</v>
      </c>
      <c r="AH531">
        <v>3</v>
      </c>
      <c r="AI531">
        <v>-1</v>
      </c>
      <c r="AJ531" t="s">
        <v>3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</row>
    <row r="532" spans="1:44" x14ac:dyDescent="0.2">
      <c r="A532">
        <f>ROW(Source!A617)</f>
        <v>617</v>
      </c>
      <c r="B532">
        <v>1474097077</v>
      </c>
      <c r="C532">
        <v>1472041006</v>
      </c>
      <c r="D532">
        <v>1441822228</v>
      </c>
      <c r="E532">
        <v>15514512</v>
      </c>
      <c r="F532">
        <v>1</v>
      </c>
      <c r="G532">
        <v>15514512</v>
      </c>
      <c r="H532">
        <v>3</v>
      </c>
      <c r="I532" t="s">
        <v>714</v>
      </c>
      <c r="J532" t="s">
        <v>3</v>
      </c>
      <c r="K532" t="s">
        <v>716</v>
      </c>
      <c r="L532">
        <v>1346</v>
      </c>
      <c r="N532">
        <v>1009</v>
      </c>
      <c r="O532" t="s">
        <v>657</v>
      </c>
      <c r="P532" t="s">
        <v>657</v>
      </c>
      <c r="Q532">
        <v>1</v>
      </c>
      <c r="X532">
        <v>0.11</v>
      </c>
      <c r="Y532">
        <v>73.951729999999998</v>
      </c>
      <c r="Z532">
        <v>0</v>
      </c>
      <c r="AA532">
        <v>0</v>
      </c>
      <c r="AB532">
        <v>0</v>
      </c>
      <c r="AC532">
        <v>0</v>
      </c>
      <c r="AD532">
        <v>1</v>
      </c>
      <c r="AE532">
        <v>0</v>
      </c>
      <c r="AF532" t="s">
        <v>3</v>
      </c>
      <c r="AG532">
        <v>0.11</v>
      </c>
      <c r="AH532">
        <v>3</v>
      </c>
      <c r="AI532">
        <v>-1</v>
      </c>
      <c r="AJ532" t="s">
        <v>3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</row>
    <row r="533" spans="1:44" x14ac:dyDescent="0.2">
      <c r="A533">
        <f>ROW(Source!A617)</f>
        <v>617</v>
      </c>
      <c r="B533">
        <v>1474097080</v>
      </c>
      <c r="C533">
        <v>1472041006</v>
      </c>
      <c r="D533">
        <v>1441834920</v>
      </c>
      <c r="E533">
        <v>1</v>
      </c>
      <c r="F533">
        <v>1</v>
      </c>
      <c r="G533">
        <v>15514512</v>
      </c>
      <c r="H533">
        <v>3</v>
      </c>
      <c r="I533" t="s">
        <v>787</v>
      </c>
      <c r="J533" t="s">
        <v>788</v>
      </c>
      <c r="K533" t="s">
        <v>789</v>
      </c>
      <c r="L533">
        <v>1346</v>
      </c>
      <c r="N533">
        <v>1009</v>
      </c>
      <c r="O533" t="s">
        <v>657</v>
      </c>
      <c r="P533" t="s">
        <v>657</v>
      </c>
      <c r="Q533">
        <v>1</v>
      </c>
      <c r="X533">
        <v>7.0000000000000007E-2</v>
      </c>
      <c r="Y533">
        <v>106.87</v>
      </c>
      <c r="Z533">
        <v>0</v>
      </c>
      <c r="AA533">
        <v>0</v>
      </c>
      <c r="AB533">
        <v>0</v>
      </c>
      <c r="AC533">
        <v>0</v>
      </c>
      <c r="AD533">
        <v>1</v>
      </c>
      <c r="AE533">
        <v>0</v>
      </c>
      <c r="AF533" t="s">
        <v>3</v>
      </c>
      <c r="AG533">
        <v>7.0000000000000007E-2</v>
      </c>
      <c r="AH533">
        <v>3</v>
      </c>
      <c r="AI533">
        <v>-1</v>
      </c>
      <c r="AJ533" t="s">
        <v>3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</row>
    <row r="534" spans="1:44" x14ac:dyDescent="0.2">
      <c r="A534">
        <f>ROW(Source!A618)</f>
        <v>618</v>
      </c>
      <c r="B534">
        <v>1474097081</v>
      </c>
      <c r="C534">
        <v>1472041022</v>
      </c>
      <c r="D534">
        <v>1441819193</v>
      </c>
      <c r="E534">
        <v>15514512</v>
      </c>
      <c r="F534">
        <v>1</v>
      </c>
      <c r="G534">
        <v>15514512</v>
      </c>
      <c r="H534">
        <v>1</v>
      </c>
      <c r="I534" t="s">
        <v>648</v>
      </c>
      <c r="J534" t="s">
        <v>3</v>
      </c>
      <c r="K534" t="s">
        <v>649</v>
      </c>
      <c r="L534">
        <v>1191</v>
      </c>
      <c r="N534">
        <v>1013</v>
      </c>
      <c r="O534" t="s">
        <v>650</v>
      </c>
      <c r="P534" t="s">
        <v>650</v>
      </c>
      <c r="Q534">
        <v>1</v>
      </c>
      <c r="X534">
        <v>0.6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1</v>
      </c>
      <c r="AE534">
        <v>1</v>
      </c>
      <c r="AF534" t="s">
        <v>437</v>
      </c>
      <c r="AG534">
        <v>9.6</v>
      </c>
      <c r="AH534">
        <v>3</v>
      </c>
      <c r="AI534">
        <v>-1</v>
      </c>
      <c r="AJ534" t="s">
        <v>3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</row>
    <row r="535" spans="1:44" x14ac:dyDescent="0.2">
      <c r="A535">
        <f>ROW(Source!A618)</f>
        <v>618</v>
      </c>
      <c r="B535">
        <v>1474097082</v>
      </c>
      <c r="C535">
        <v>1472041022</v>
      </c>
      <c r="D535">
        <v>1441822228</v>
      </c>
      <c r="E535">
        <v>15514512</v>
      </c>
      <c r="F535">
        <v>1</v>
      </c>
      <c r="G535">
        <v>15514512</v>
      </c>
      <c r="H535">
        <v>3</v>
      </c>
      <c r="I535" t="s">
        <v>714</v>
      </c>
      <c r="J535" t="s">
        <v>3</v>
      </c>
      <c r="K535" t="s">
        <v>716</v>
      </c>
      <c r="L535">
        <v>1346</v>
      </c>
      <c r="N535">
        <v>1009</v>
      </c>
      <c r="O535" t="s">
        <v>657</v>
      </c>
      <c r="P535" t="s">
        <v>657</v>
      </c>
      <c r="Q535">
        <v>1</v>
      </c>
      <c r="X535">
        <v>0.01</v>
      </c>
      <c r="Y535">
        <v>73.951729999999998</v>
      </c>
      <c r="Z535">
        <v>0</v>
      </c>
      <c r="AA535">
        <v>0</v>
      </c>
      <c r="AB535">
        <v>0</v>
      </c>
      <c r="AC535">
        <v>0</v>
      </c>
      <c r="AD535">
        <v>1</v>
      </c>
      <c r="AE535">
        <v>0</v>
      </c>
      <c r="AF535" t="s">
        <v>437</v>
      </c>
      <c r="AG535">
        <v>0.16</v>
      </c>
      <c r="AH535">
        <v>3</v>
      </c>
      <c r="AI535">
        <v>-1</v>
      </c>
      <c r="AJ535" t="s">
        <v>3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</row>
    <row r="536" spans="1:44" x14ac:dyDescent="0.2">
      <c r="A536">
        <f>ROW(Source!A619)</f>
        <v>619</v>
      </c>
      <c r="B536">
        <v>1474097083</v>
      </c>
      <c r="C536">
        <v>1472041029</v>
      </c>
      <c r="D536">
        <v>1441819193</v>
      </c>
      <c r="E536">
        <v>15514512</v>
      </c>
      <c r="F536">
        <v>1</v>
      </c>
      <c r="G536">
        <v>15514512</v>
      </c>
      <c r="H536">
        <v>1</v>
      </c>
      <c r="I536" t="s">
        <v>648</v>
      </c>
      <c r="J536" t="s">
        <v>3</v>
      </c>
      <c r="K536" t="s">
        <v>649</v>
      </c>
      <c r="L536">
        <v>1191</v>
      </c>
      <c r="N536">
        <v>1013</v>
      </c>
      <c r="O536" t="s">
        <v>650</v>
      </c>
      <c r="P536" t="s">
        <v>650</v>
      </c>
      <c r="Q536">
        <v>1</v>
      </c>
      <c r="X536">
        <v>0.6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1</v>
      </c>
      <c r="AE536">
        <v>1</v>
      </c>
      <c r="AF536" t="s">
        <v>3</v>
      </c>
      <c r="AG536">
        <v>0.6</v>
      </c>
      <c r="AH536">
        <v>3</v>
      </c>
      <c r="AI536">
        <v>-1</v>
      </c>
      <c r="AJ536" t="s">
        <v>3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</row>
    <row r="537" spans="1:44" x14ac:dyDescent="0.2">
      <c r="A537">
        <f>ROW(Source!A619)</f>
        <v>619</v>
      </c>
      <c r="B537">
        <v>1474097084</v>
      </c>
      <c r="C537">
        <v>1472041029</v>
      </c>
      <c r="D537">
        <v>1441836235</v>
      </c>
      <c r="E537">
        <v>1</v>
      </c>
      <c r="F537">
        <v>1</v>
      </c>
      <c r="G537">
        <v>15514512</v>
      </c>
      <c r="H537">
        <v>3</v>
      </c>
      <c r="I537" t="s">
        <v>683</v>
      </c>
      <c r="J537" t="s">
        <v>684</v>
      </c>
      <c r="K537" t="s">
        <v>685</v>
      </c>
      <c r="L537">
        <v>1346</v>
      </c>
      <c r="N537">
        <v>1009</v>
      </c>
      <c r="O537" t="s">
        <v>657</v>
      </c>
      <c r="P537" t="s">
        <v>657</v>
      </c>
      <c r="Q537">
        <v>1</v>
      </c>
      <c r="X537">
        <v>0.05</v>
      </c>
      <c r="Y537">
        <v>31.49</v>
      </c>
      <c r="Z537">
        <v>0</v>
      </c>
      <c r="AA537">
        <v>0</v>
      </c>
      <c r="AB537">
        <v>0</v>
      </c>
      <c r="AC537">
        <v>0</v>
      </c>
      <c r="AD537">
        <v>1</v>
      </c>
      <c r="AE537">
        <v>0</v>
      </c>
      <c r="AF537" t="s">
        <v>3</v>
      </c>
      <c r="AG537">
        <v>0.05</v>
      </c>
      <c r="AH537">
        <v>3</v>
      </c>
      <c r="AI537">
        <v>-1</v>
      </c>
      <c r="AJ537" t="s">
        <v>3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</row>
    <row r="538" spans="1:44" x14ac:dyDescent="0.2">
      <c r="A538">
        <f>ROW(Source!A620)</f>
        <v>620</v>
      </c>
      <c r="B538">
        <v>1474097085</v>
      </c>
      <c r="C538">
        <v>1472041036</v>
      </c>
      <c r="D538">
        <v>1441819193</v>
      </c>
      <c r="E538">
        <v>15514512</v>
      </c>
      <c r="F538">
        <v>1</v>
      </c>
      <c r="G538">
        <v>15514512</v>
      </c>
      <c r="H538">
        <v>1</v>
      </c>
      <c r="I538" t="s">
        <v>648</v>
      </c>
      <c r="J538" t="s">
        <v>3</v>
      </c>
      <c r="K538" t="s">
        <v>649</v>
      </c>
      <c r="L538">
        <v>1191</v>
      </c>
      <c r="N538">
        <v>1013</v>
      </c>
      <c r="O538" t="s">
        <v>650</v>
      </c>
      <c r="P538" t="s">
        <v>650</v>
      </c>
      <c r="Q538">
        <v>1</v>
      </c>
      <c r="X538">
        <v>0.14000000000000001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1</v>
      </c>
      <c r="AE538">
        <v>1</v>
      </c>
      <c r="AF538" t="s">
        <v>22</v>
      </c>
      <c r="AG538">
        <v>0.56000000000000005</v>
      </c>
      <c r="AH538">
        <v>3</v>
      </c>
      <c r="AI538">
        <v>-1</v>
      </c>
      <c r="AJ538" t="s">
        <v>3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</row>
    <row r="539" spans="1:44" x14ac:dyDescent="0.2">
      <c r="A539">
        <f>ROW(Source!A621)</f>
        <v>621</v>
      </c>
      <c r="B539">
        <v>1474097086</v>
      </c>
      <c r="C539">
        <v>1472041040</v>
      </c>
      <c r="D539">
        <v>1441819193</v>
      </c>
      <c r="E539">
        <v>15514512</v>
      </c>
      <c r="F539">
        <v>1</v>
      </c>
      <c r="G539">
        <v>15514512</v>
      </c>
      <c r="H539">
        <v>1</v>
      </c>
      <c r="I539" t="s">
        <v>648</v>
      </c>
      <c r="J539" t="s">
        <v>3</v>
      </c>
      <c r="K539" t="s">
        <v>649</v>
      </c>
      <c r="L539">
        <v>1191</v>
      </c>
      <c r="N539">
        <v>1013</v>
      </c>
      <c r="O539" t="s">
        <v>650</v>
      </c>
      <c r="P539" t="s">
        <v>650</v>
      </c>
      <c r="Q539">
        <v>1</v>
      </c>
      <c r="X539">
        <v>0.08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1</v>
      </c>
      <c r="AE539">
        <v>1</v>
      </c>
      <c r="AF539" t="s">
        <v>448</v>
      </c>
      <c r="AG539">
        <v>9.44</v>
      </c>
      <c r="AH539">
        <v>3</v>
      </c>
      <c r="AI539">
        <v>-1</v>
      </c>
      <c r="AJ539" t="s">
        <v>3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</row>
    <row r="540" spans="1:44" x14ac:dyDescent="0.2">
      <c r="A540">
        <f>ROW(Source!A623)</f>
        <v>623</v>
      </c>
      <c r="B540">
        <v>1474097087</v>
      </c>
      <c r="C540">
        <v>1472041045</v>
      </c>
      <c r="D540">
        <v>1441819193</v>
      </c>
      <c r="E540">
        <v>15514512</v>
      </c>
      <c r="F540">
        <v>1</v>
      </c>
      <c r="G540">
        <v>15514512</v>
      </c>
      <c r="H540">
        <v>1</v>
      </c>
      <c r="I540" t="s">
        <v>648</v>
      </c>
      <c r="J540" t="s">
        <v>3</v>
      </c>
      <c r="K540" t="s">
        <v>649</v>
      </c>
      <c r="L540">
        <v>1191</v>
      </c>
      <c r="N540">
        <v>1013</v>
      </c>
      <c r="O540" t="s">
        <v>650</v>
      </c>
      <c r="P540" t="s">
        <v>650</v>
      </c>
      <c r="Q540">
        <v>1</v>
      </c>
      <c r="X540">
        <v>0.4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1</v>
      </c>
      <c r="AE540">
        <v>1</v>
      </c>
      <c r="AF540" t="s">
        <v>3</v>
      </c>
      <c r="AG540">
        <v>0.4</v>
      </c>
      <c r="AH540">
        <v>3</v>
      </c>
      <c r="AI540">
        <v>-1</v>
      </c>
      <c r="AJ540" t="s">
        <v>3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</row>
    <row r="541" spans="1:44" x14ac:dyDescent="0.2">
      <c r="A541">
        <f>ROW(Source!A623)</f>
        <v>623</v>
      </c>
      <c r="B541">
        <v>1474097088</v>
      </c>
      <c r="C541">
        <v>1472041045</v>
      </c>
      <c r="D541">
        <v>1441836235</v>
      </c>
      <c r="E541">
        <v>1</v>
      </c>
      <c r="F541">
        <v>1</v>
      </c>
      <c r="G541">
        <v>15514512</v>
      </c>
      <c r="H541">
        <v>3</v>
      </c>
      <c r="I541" t="s">
        <v>683</v>
      </c>
      <c r="J541" t="s">
        <v>684</v>
      </c>
      <c r="K541" t="s">
        <v>685</v>
      </c>
      <c r="L541">
        <v>1346</v>
      </c>
      <c r="N541">
        <v>1009</v>
      </c>
      <c r="O541" t="s">
        <v>657</v>
      </c>
      <c r="P541" t="s">
        <v>657</v>
      </c>
      <c r="Q541">
        <v>1</v>
      </c>
      <c r="X541">
        <v>0.2</v>
      </c>
      <c r="Y541">
        <v>31.49</v>
      </c>
      <c r="Z541">
        <v>0</v>
      </c>
      <c r="AA541">
        <v>0</v>
      </c>
      <c r="AB541">
        <v>0</v>
      </c>
      <c r="AC541">
        <v>0</v>
      </c>
      <c r="AD541">
        <v>1</v>
      </c>
      <c r="AE541">
        <v>0</v>
      </c>
      <c r="AF541" t="s">
        <v>3</v>
      </c>
      <c r="AG541">
        <v>0.2</v>
      </c>
      <c r="AH541">
        <v>3</v>
      </c>
      <c r="AI541">
        <v>-1</v>
      </c>
      <c r="AJ541" t="s">
        <v>3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</row>
    <row r="542" spans="1:44" x14ac:dyDescent="0.2">
      <c r="A542">
        <f>ROW(Source!A624)</f>
        <v>624</v>
      </c>
      <c r="B542">
        <v>1474097089</v>
      </c>
      <c r="C542">
        <v>1472041052</v>
      </c>
      <c r="D542">
        <v>1441819193</v>
      </c>
      <c r="E542">
        <v>15514512</v>
      </c>
      <c r="F542">
        <v>1</v>
      </c>
      <c r="G542">
        <v>15514512</v>
      </c>
      <c r="H542">
        <v>1</v>
      </c>
      <c r="I542" t="s">
        <v>648</v>
      </c>
      <c r="J542" t="s">
        <v>3</v>
      </c>
      <c r="K542" t="s">
        <v>649</v>
      </c>
      <c r="L542">
        <v>1191</v>
      </c>
      <c r="N542">
        <v>1013</v>
      </c>
      <c r="O542" t="s">
        <v>650</v>
      </c>
      <c r="P542" t="s">
        <v>650</v>
      </c>
      <c r="Q542">
        <v>1</v>
      </c>
      <c r="X542">
        <v>0.18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1</v>
      </c>
      <c r="AE542">
        <v>1</v>
      </c>
      <c r="AF542" t="s">
        <v>3</v>
      </c>
      <c r="AG542">
        <v>0.18</v>
      </c>
      <c r="AH542">
        <v>3</v>
      </c>
      <c r="AI542">
        <v>-1</v>
      </c>
      <c r="AJ542" t="s">
        <v>3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</row>
    <row r="543" spans="1:44" x14ac:dyDescent="0.2">
      <c r="A543">
        <f>ROW(Source!A624)</f>
        <v>624</v>
      </c>
      <c r="B543">
        <v>1474097090</v>
      </c>
      <c r="C543">
        <v>1472041052</v>
      </c>
      <c r="D543">
        <v>1441836235</v>
      </c>
      <c r="E543">
        <v>1</v>
      </c>
      <c r="F543">
        <v>1</v>
      </c>
      <c r="G543">
        <v>15514512</v>
      </c>
      <c r="H543">
        <v>3</v>
      </c>
      <c r="I543" t="s">
        <v>683</v>
      </c>
      <c r="J543" t="s">
        <v>684</v>
      </c>
      <c r="K543" t="s">
        <v>685</v>
      </c>
      <c r="L543">
        <v>1346</v>
      </c>
      <c r="N543">
        <v>1009</v>
      </c>
      <c r="O543" t="s">
        <v>657</v>
      </c>
      <c r="P543" t="s">
        <v>657</v>
      </c>
      <c r="Q543">
        <v>1</v>
      </c>
      <c r="X543">
        <v>0.2</v>
      </c>
      <c r="Y543">
        <v>31.49</v>
      </c>
      <c r="Z543">
        <v>0</v>
      </c>
      <c r="AA543">
        <v>0</v>
      </c>
      <c r="AB543">
        <v>0</v>
      </c>
      <c r="AC543">
        <v>0</v>
      </c>
      <c r="AD543">
        <v>1</v>
      </c>
      <c r="AE543">
        <v>0</v>
      </c>
      <c r="AF543" t="s">
        <v>3</v>
      </c>
      <c r="AG543">
        <v>0.2</v>
      </c>
      <c r="AH543">
        <v>3</v>
      </c>
      <c r="AI543">
        <v>-1</v>
      </c>
      <c r="AJ543" t="s">
        <v>3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</row>
    <row r="544" spans="1:44" x14ac:dyDescent="0.2">
      <c r="A544">
        <f>ROW(Source!A625)</f>
        <v>625</v>
      </c>
      <c r="B544">
        <v>1474097091</v>
      </c>
      <c r="C544">
        <v>1472041059</v>
      </c>
      <c r="D544">
        <v>1441819193</v>
      </c>
      <c r="E544">
        <v>15514512</v>
      </c>
      <c r="F544">
        <v>1</v>
      </c>
      <c r="G544">
        <v>15514512</v>
      </c>
      <c r="H544">
        <v>1</v>
      </c>
      <c r="I544" t="s">
        <v>648</v>
      </c>
      <c r="J544" t="s">
        <v>3</v>
      </c>
      <c r="K544" t="s">
        <v>649</v>
      </c>
      <c r="L544">
        <v>1191</v>
      </c>
      <c r="N544">
        <v>1013</v>
      </c>
      <c r="O544" t="s">
        <v>650</v>
      </c>
      <c r="P544" t="s">
        <v>650</v>
      </c>
      <c r="Q544">
        <v>1</v>
      </c>
      <c r="X544">
        <v>0.24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1</v>
      </c>
      <c r="AE544">
        <v>1</v>
      </c>
      <c r="AF544" t="s">
        <v>290</v>
      </c>
      <c r="AG544">
        <v>0.72</v>
      </c>
      <c r="AH544">
        <v>3</v>
      </c>
      <c r="AI544">
        <v>-1</v>
      </c>
      <c r="AJ544" t="s">
        <v>3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</row>
    <row r="545" spans="1:44" x14ac:dyDescent="0.2">
      <c r="A545">
        <f>ROW(Source!A626)</f>
        <v>626</v>
      </c>
      <c r="B545">
        <v>1474097092</v>
      </c>
      <c r="C545">
        <v>1472041063</v>
      </c>
      <c r="D545">
        <v>1441819193</v>
      </c>
      <c r="E545">
        <v>15514512</v>
      </c>
      <c r="F545">
        <v>1</v>
      </c>
      <c r="G545">
        <v>15514512</v>
      </c>
      <c r="H545">
        <v>1</v>
      </c>
      <c r="I545" t="s">
        <v>648</v>
      </c>
      <c r="J545" t="s">
        <v>3</v>
      </c>
      <c r="K545" t="s">
        <v>649</v>
      </c>
      <c r="L545">
        <v>1191</v>
      </c>
      <c r="N545">
        <v>1013</v>
      </c>
      <c r="O545" t="s">
        <v>650</v>
      </c>
      <c r="P545" t="s">
        <v>650</v>
      </c>
      <c r="Q545">
        <v>1</v>
      </c>
      <c r="X545">
        <v>0.95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1</v>
      </c>
      <c r="AE545">
        <v>1</v>
      </c>
      <c r="AF545" t="s">
        <v>3</v>
      </c>
      <c r="AG545">
        <v>0.95</v>
      </c>
      <c r="AH545">
        <v>3</v>
      </c>
      <c r="AI545">
        <v>-1</v>
      </c>
      <c r="AJ545" t="s">
        <v>3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</row>
    <row r="546" spans="1:44" x14ac:dyDescent="0.2">
      <c r="A546">
        <f>ROW(Source!A626)</f>
        <v>626</v>
      </c>
      <c r="B546">
        <v>1474097093</v>
      </c>
      <c r="C546">
        <v>1472041063</v>
      </c>
      <c r="D546">
        <v>1441836187</v>
      </c>
      <c r="E546">
        <v>1</v>
      </c>
      <c r="F546">
        <v>1</v>
      </c>
      <c r="G546">
        <v>15514512</v>
      </c>
      <c r="H546">
        <v>3</v>
      </c>
      <c r="I546" t="s">
        <v>692</v>
      </c>
      <c r="J546" t="s">
        <v>693</v>
      </c>
      <c r="K546" t="s">
        <v>694</v>
      </c>
      <c r="L546">
        <v>1346</v>
      </c>
      <c r="N546">
        <v>1009</v>
      </c>
      <c r="O546" t="s">
        <v>657</v>
      </c>
      <c r="P546" t="s">
        <v>657</v>
      </c>
      <c r="Q546">
        <v>1</v>
      </c>
      <c r="X546">
        <v>2.9299999999999999E-3</v>
      </c>
      <c r="Y546">
        <v>424.66</v>
      </c>
      <c r="Z546">
        <v>0</v>
      </c>
      <c r="AA546">
        <v>0</v>
      </c>
      <c r="AB546">
        <v>0</v>
      </c>
      <c r="AC546">
        <v>0</v>
      </c>
      <c r="AD546">
        <v>1</v>
      </c>
      <c r="AE546">
        <v>0</v>
      </c>
      <c r="AF546" t="s">
        <v>3</v>
      </c>
      <c r="AG546">
        <v>2.9299999999999999E-3</v>
      </c>
      <c r="AH546">
        <v>3</v>
      </c>
      <c r="AI546">
        <v>-1</v>
      </c>
      <c r="AJ546" t="s">
        <v>3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</row>
    <row r="547" spans="1:44" x14ac:dyDescent="0.2">
      <c r="A547">
        <f>ROW(Source!A626)</f>
        <v>626</v>
      </c>
      <c r="B547">
        <v>1474097094</v>
      </c>
      <c r="C547">
        <v>1472041063</v>
      </c>
      <c r="D547">
        <v>1441836235</v>
      </c>
      <c r="E547">
        <v>1</v>
      </c>
      <c r="F547">
        <v>1</v>
      </c>
      <c r="G547">
        <v>15514512</v>
      </c>
      <c r="H547">
        <v>3</v>
      </c>
      <c r="I547" t="s">
        <v>683</v>
      </c>
      <c r="J547" t="s">
        <v>684</v>
      </c>
      <c r="K547" t="s">
        <v>685</v>
      </c>
      <c r="L547">
        <v>1346</v>
      </c>
      <c r="N547">
        <v>1009</v>
      </c>
      <c r="O547" t="s">
        <v>657</v>
      </c>
      <c r="P547" t="s">
        <v>657</v>
      </c>
      <c r="Q547">
        <v>1</v>
      </c>
      <c r="X547">
        <v>3.7999999999999999E-2</v>
      </c>
      <c r="Y547">
        <v>31.49</v>
      </c>
      <c r="Z547">
        <v>0</v>
      </c>
      <c r="AA547">
        <v>0</v>
      </c>
      <c r="AB547">
        <v>0</v>
      </c>
      <c r="AC547">
        <v>0</v>
      </c>
      <c r="AD547">
        <v>1</v>
      </c>
      <c r="AE547">
        <v>0</v>
      </c>
      <c r="AF547" t="s">
        <v>3</v>
      </c>
      <c r="AG547">
        <v>3.7999999999999999E-2</v>
      </c>
      <c r="AH547">
        <v>3</v>
      </c>
      <c r="AI547">
        <v>-1</v>
      </c>
      <c r="AJ547" t="s">
        <v>3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</row>
    <row r="548" spans="1:44" x14ac:dyDescent="0.2">
      <c r="A548">
        <f>ROW(Source!A628)</f>
        <v>628</v>
      </c>
      <c r="B548">
        <v>1474097095</v>
      </c>
      <c r="C548">
        <v>1472041074</v>
      </c>
      <c r="D548">
        <v>1441819193</v>
      </c>
      <c r="E548">
        <v>15514512</v>
      </c>
      <c r="F548">
        <v>1</v>
      </c>
      <c r="G548">
        <v>15514512</v>
      </c>
      <c r="H548">
        <v>1</v>
      </c>
      <c r="I548" t="s">
        <v>648</v>
      </c>
      <c r="J548" t="s">
        <v>3</v>
      </c>
      <c r="K548" t="s">
        <v>649</v>
      </c>
      <c r="L548">
        <v>1191</v>
      </c>
      <c r="N548">
        <v>1013</v>
      </c>
      <c r="O548" t="s">
        <v>650</v>
      </c>
      <c r="P548" t="s">
        <v>650</v>
      </c>
      <c r="Q548">
        <v>1</v>
      </c>
      <c r="X548">
        <v>10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1</v>
      </c>
      <c r="AE548">
        <v>1</v>
      </c>
      <c r="AF548" t="s">
        <v>3</v>
      </c>
      <c r="AG548">
        <v>10</v>
      </c>
      <c r="AH548">
        <v>3</v>
      </c>
      <c r="AI548">
        <v>-1</v>
      </c>
      <c r="AJ548" t="s">
        <v>3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</row>
    <row r="549" spans="1:44" x14ac:dyDescent="0.2">
      <c r="A549">
        <f>ROW(Source!A628)</f>
        <v>628</v>
      </c>
      <c r="B549">
        <v>1474097096</v>
      </c>
      <c r="C549">
        <v>1472041074</v>
      </c>
      <c r="D549">
        <v>1441836237</v>
      </c>
      <c r="E549">
        <v>1</v>
      </c>
      <c r="F549">
        <v>1</v>
      </c>
      <c r="G549">
        <v>15514512</v>
      </c>
      <c r="H549">
        <v>3</v>
      </c>
      <c r="I549" t="s">
        <v>784</v>
      </c>
      <c r="J549" t="s">
        <v>785</v>
      </c>
      <c r="K549" t="s">
        <v>786</v>
      </c>
      <c r="L549">
        <v>1346</v>
      </c>
      <c r="N549">
        <v>1009</v>
      </c>
      <c r="O549" t="s">
        <v>657</v>
      </c>
      <c r="P549" t="s">
        <v>657</v>
      </c>
      <c r="Q549">
        <v>1</v>
      </c>
      <c r="X549">
        <v>0.06</v>
      </c>
      <c r="Y549">
        <v>375.16</v>
      </c>
      <c r="Z549">
        <v>0</v>
      </c>
      <c r="AA549">
        <v>0</v>
      </c>
      <c r="AB549">
        <v>0</v>
      </c>
      <c r="AC549">
        <v>0</v>
      </c>
      <c r="AD549">
        <v>1</v>
      </c>
      <c r="AE549">
        <v>0</v>
      </c>
      <c r="AF549" t="s">
        <v>3</v>
      </c>
      <c r="AG549">
        <v>0.06</v>
      </c>
      <c r="AH549">
        <v>3</v>
      </c>
      <c r="AI549">
        <v>-1</v>
      </c>
      <c r="AJ549" t="s">
        <v>3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</row>
    <row r="550" spans="1:44" x14ac:dyDescent="0.2">
      <c r="A550">
        <f>ROW(Source!A629)</f>
        <v>629</v>
      </c>
      <c r="B550">
        <v>1474097097</v>
      </c>
      <c r="C550">
        <v>1472041081</v>
      </c>
      <c r="D550">
        <v>1441819193</v>
      </c>
      <c r="E550">
        <v>15514512</v>
      </c>
      <c r="F550">
        <v>1</v>
      </c>
      <c r="G550">
        <v>15514512</v>
      </c>
      <c r="H550">
        <v>1</v>
      </c>
      <c r="I550" t="s">
        <v>648</v>
      </c>
      <c r="J550" t="s">
        <v>3</v>
      </c>
      <c r="K550" t="s">
        <v>649</v>
      </c>
      <c r="L550">
        <v>1191</v>
      </c>
      <c r="N550">
        <v>1013</v>
      </c>
      <c r="O550" t="s">
        <v>650</v>
      </c>
      <c r="P550" t="s">
        <v>650</v>
      </c>
      <c r="Q550">
        <v>1</v>
      </c>
      <c r="X550">
        <v>0.33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1</v>
      </c>
      <c r="AE550">
        <v>1</v>
      </c>
      <c r="AF550" t="s">
        <v>3</v>
      </c>
      <c r="AG550">
        <v>0.33</v>
      </c>
      <c r="AH550">
        <v>3</v>
      </c>
      <c r="AI550">
        <v>-1</v>
      </c>
      <c r="AJ550" t="s">
        <v>3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</row>
    <row r="551" spans="1:44" x14ac:dyDescent="0.2">
      <c r="A551">
        <f>ROW(Source!A630)</f>
        <v>630</v>
      </c>
      <c r="B551">
        <v>1474097098</v>
      </c>
      <c r="C551">
        <v>1472041085</v>
      </c>
      <c r="D551">
        <v>1441819193</v>
      </c>
      <c r="E551">
        <v>15514512</v>
      </c>
      <c r="F551">
        <v>1</v>
      </c>
      <c r="G551">
        <v>15514512</v>
      </c>
      <c r="H551">
        <v>1</v>
      </c>
      <c r="I551" t="s">
        <v>648</v>
      </c>
      <c r="J551" t="s">
        <v>3</v>
      </c>
      <c r="K551" t="s">
        <v>649</v>
      </c>
      <c r="L551">
        <v>1191</v>
      </c>
      <c r="N551">
        <v>1013</v>
      </c>
      <c r="O551" t="s">
        <v>650</v>
      </c>
      <c r="P551" t="s">
        <v>650</v>
      </c>
      <c r="Q551">
        <v>1</v>
      </c>
      <c r="X551">
        <v>14.58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1</v>
      </c>
      <c r="AE551">
        <v>1</v>
      </c>
      <c r="AF551" t="s">
        <v>3</v>
      </c>
      <c r="AG551">
        <v>14.58</v>
      </c>
      <c r="AH551">
        <v>3</v>
      </c>
      <c r="AI551">
        <v>-1</v>
      </c>
      <c r="AJ551" t="s">
        <v>3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</row>
    <row r="552" spans="1:44" x14ac:dyDescent="0.2">
      <c r="A552">
        <f>ROW(Source!A630)</f>
        <v>630</v>
      </c>
      <c r="B552">
        <v>1474097099</v>
      </c>
      <c r="C552">
        <v>1472041085</v>
      </c>
      <c r="D552">
        <v>1441836237</v>
      </c>
      <c r="E552">
        <v>1</v>
      </c>
      <c r="F552">
        <v>1</v>
      </c>
      <c r="G552">
        <v>15514512</v>
      </c>
      <c r="H552">
        <v>3</v>
      </c>
      <c r="I552" t="s">
        <v>784</v>
      </c>
      <c r="J552" t="s">
        <v>785</v>
      </c>
      <c r="K552" t="s">
        <v>786</v>
      </c>
      <c r="L552">
        <v>1346</v>
      </c>
      <c r="N552">
        <v>1009</v>
      </c>
      <c r="O552" t="s">
        <v>657</v>
      </c>
      <c r="P552" t="s">
        <v>657</v>
      </c>
      <c r="Q552">
        <v>1</v>
      </c>
      <c r="X552">
        <v>5.0999999999999997E-2</v>
      </c>
      <c r="Y552">
        <v>375.16</v>
      </c>
      <c r="Z552">
        <v>0</v>
      </c>
      <c r="AA552">
        <v>0</v>
      </c>
      <c r="AB552">
        <v>0</v>
      </c>
      <c r="AC552">
        <v>0</v>
      </c>
      <c r="AD552">
        <v>1</v>
      </c>
      <c r="AE552">
        <v>0</v>
      </c>
      <c r="AF552" t="s">
        <v>3</v>
      </c>
      <c r="AG552">
        <v>5.0999999999999997E-2</v>
      </c>
      <c r="AH552">
        <v>3</v>
      </c>
      <c r="AI552">
        <v>-1</v>
      </c>
      <c r="AJ552" t="s">
        <v>3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</row>
    <row r="553" spans="1:44" x14ac:dyDescent="0.2">
      <c r="A553">
        <f>ROW(Source!A631)</f>
        <v>631</v>
      </c>
      <c r="B553">
        <v>1474097100</v>
      </c>
      <c r="C553">
        <v>1472041092</v>
      </c>
      <c r="D553">
        <v>1441819193</v>
      </c>
      <c r="E553">
        <v>15514512</v>
      </c>
      <c r="F553">
        <v>1</v>
      </c>
      <c r="G553">
        <v>15514512</v>
      </c>
      <c r="H553">
        <v>1</v>
      </c>
      <c r="I553" t="s">
        <v>648</v>
      </c>
      <c r="J553" t="s">
        <v>3</v>
      </c>
      <c r="K553" t="s">
        <v>649</v>
      </c>
      <c r="L553">
        <v>1191</v>
      </c>
      <c r="N553">
        <v>1013</v>
      </c>
      <c r="O553" t="s">
        <v>650</v>
      </c>
      <c r="P553" t="s">
        <v>650</v>
      </c>
      <c r="Q553">
        <v>1</v>
      </c>
      <c r="X553">
        <v>3.24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1</v>
      </c>
      <c r="AE553">
        <v>1</v>
      </c>
      <c r="AF553" t="s">
        <v>3</v>
      </c>
      <c r="AG553">
        <v>3.24</v>
      </c>
      <c r="AH553">
        <v>3</v>
      </c>
      <c r="AI553">
        <v>-1</v>
      </c>
      <c r="AJ553" t="s">
        <v>3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</row>
    <row r="554" spans="1:44" x14ac:dyDescent="0.2">
      <c r="A554">
        <f>ROW(Source!A631)</f>
        <v>631</v>
      </c>
      <c r="B554">
        <v>1474097101</v>
      </c>
      <c r="C554">
        <v>1472041092</v>
      </c>
      <c r="D554">
        <v>1441836237</v>
      </c>
      <c r="E554">
        <v>1</v>
      </c>
      <c r="F554">
        <v>1</v>
      </c>
      <c r="G554">
        <v>15514512</v>
      </c>
      <c r="H554">
        <v>3</v>
      </c>
      <c r="I554" t="s">
        <v>784</v>
      </c>
      <c r="J554" t="s">
        <v>785</v>
      </c>
      <c r="K554" t="s">
        <v>786</v>
      </c>
      <c r="L554">
        <v>1346</v>
      </c>
      <c r="N554">
        <v>1009</v>
      </c>
      <c r="O554" t="s">
        <v>657</v>
      </c>
      <c r="P554" t="s">
        <v>657</v>
      </c>
      <c r="Q554">
        <v>1</v>
      </c>
      <c r="X554">
        <v>1.0999999999999999E-2</v>
      </c>
      <c r="Y554">
        <v>375.16</v>
      </c>
      <c r="Z554">
        <v>0</v>
      </c>
      <c r="AA554">
        <v>0</v>
      </c>
      <c r="AB554">
        <v>0</v>
      </c>
      <c r="AC554">
        <v>0</v>
      </c>
      <c r="AD554">
        <v>1</v>
      </c>
      <c r="AE554">
        <v>0</v>
      </c>
      <c r="AF554" t="s">
        <v>3</v>
      </c>
      <c r="AG554">
        <v>1.0999999999999999E-2</v>
      </c>
      <c r="AH554">
        <v>3</v>
      </c>
      <c r="AI554">
        <v>-1</v>
      </c>
      <c r="AJ554" t="s">
        <v>3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</row>
    <row r="555" spans="1:44" x14ac:dyDescent="0.2">
      <c r="A555">
        <f>ROW(Source!A632)</f>
        <v>632</v>
      </c>
      <c r="B555">
        <v>1474097102</v>
      </c>
      <c r="C555">
        <v>1472041099</v>
      </c>
      <c r="D555">
        <v>1441819193</v>
      </c>
      <c r="E555">
        <v>15514512</v>
      </c>
      <c r="F555">
        <v>1</v>
      </c>
      <c r="G555">
        <v>15514512</v>
      </c>
      <c r="H555">
        <v>1</v>
      </c>
      <c r="I555" t="s">
        <v>648</v>
      </c>
      <c r="J555" t="s">
        <v>3</v>
      </c>
      <c r="K555" t="s">
        <v>649</v>
      </c>
      <c r="L555">
        <v>1191</v>
      </c>
      <c r="N555">
        <v>1013</v>
      </c>
      <c r="O555" t="s">
        <v>650</v>
      </c>
      <c r="P555" t="s">
        <v>650</v>
      </c>
      <c r="Q555">
        <v>1</v>
      </c>
      <c r="X555">
        <v>3.24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1</v>
      </c>
      <c r="AE555">
        <v>1</v>
      </c>
      <c r="AF555" t="s">
        <v>3</v>
      </c>
      <c r="AG555">
        <v>3.24</v>
      </c>
      <c r="AH555">
        <v>3</v>
      </c>
      <c r="AI555">
        <v>-1</v>
      </c>
      <c r="AJ555" t="s">
        <v>3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</row>
    <row r="556" spans="1:44" x14ac:dyDescent="0.2">
      <c r="A556">
        <f>ROW(Source!A632)</f>
        <v>632</v>
      </c>
      <c r="B556">
        <v>1474097103</v>
      </c>
      <c r="C556">
        <v>1472041099</v>
      </c>
      <c r="D556">
        <v>1441836237</v>
      </c>
      <c r="E556">
        <v>1</v>
      </c>
      <c r="F556">
        <v>1</v>
      </c>
      <c r="G556">
        <v>15514512</v>
      </c>
      <c r="H556">
        <v>3</v>
      </c>
      <c r="I556" t="s">
        <v>784</v>
      </c>
      <c r="J556" t="s">
        <v>785</v>
      </c>
      <c r="K556" t="s">
        <v>786</v>
      </c>
      <c r="L556">
        <v>1346</v>
      </c>
      <c r="N556">
        <v>1009</v>
      </c>
      <c r="O556" t="s">
        <v>657</v>
      </c>
      <c r="P556" t="s">
        <v>657</v>
      </c>
      <c r="Q556">
        <v>1</v>
      </c>
      <c r="X556">
        <v>1.0999999999999999E-2</v>
      </c>
      <c r="Y556">
        <v>375.16</v>
      </c>
      <c r="Z556">
        <v>0</v>
      </c>
      <c r="AA556">
        <v>0</v>
      </c>
      <c r="AB556">
        <v>0</v>
      </c>
      <c r="AC556">
        <v>0</v>
      </c>
      <c r="AD556">
        <v>1</v>
      </c>
      <c r="AE556">
        <v>0</v>
      </c>
      <c r="AF556" t="s">
        <v>3</v>
      </c>
      <c r="AG556">
        <v>1.0999999999999999E-2</v>
      </c>
      <c r="AH556">
        <v>3</v>
      </c>
      <c r="AI556">
        <v>-1</v>
      </c>
      <c r="AJ556" t="s">
        <v>3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</row>
    <row r="557" spans="1:44" x14ac:dyDescent="0.2">
      <c r="A557">
        <f>ROW(Source!A633)</f>
        <v>633</v>
      </c>
      <c r="B557">
        <v>1474097104</v>
      </c>
      <c r="C557">
        <v>1472041106</v>
      </c>
      <c r="D557">
        <v>1441819193</v>
      </c>
      <c r="E557">
        <v>15514512</v>
      </c>
      <c r="F557">
        <v>1</v>
      </c>
      <c r="G557">
        <v>15514512</v>
      </c>
      <c r="H557">
        <v>1</v>
      </c>
      <c r="I557" t="s">
        <v>648</v>
      </c>
      <c r="J557" t="s">
        <v>3</v>
      </c>
      <c r="K557" t="s">
        <v>649</v>
      </c>
      <c r="L557">
        <v>1191</v>
      </c>
      <c r="N557">
        <v>1013</v>
      </c>
      <c r="O557" t="s">
        <v>650</v>
      </c>
      <c r="P557" t="s">
        <v>650</v>
      </c>
      <c r="Q557">
        <v>1</v>
      </c>
      <c r="X557">
        <v>0.49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1</v>
      </c>
      <c r="AE557">
        <v>1</v>
      </c>
      <c r="AF557" t="s">
        <v>3</v>
      </c>
      <c r="AG557">
        <v>0.49</v>
      </c>
      <c r="AH557">
        <v>3</v>
      </c>
      <c r="AI557">
        <v>-1</v>
      </c>
      <c r="AJ557" t="s">
        <v>3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</row>
    <row r="558" spans="1:44" x14ac:dyDescent="0.2">
      <c r="A558">
        <f>ROW(Source!A633)</f>
        <v>633</v>
      </c>
      <c r="B558">
        <v>1474097105</v>
      </c>
      <c r="C558">
        <v>1472041106</v>
      </c>
      <c r="D558">
        <v>1441836237</v>
      </c>
      <c r="E558">
        <v>1</v>
      </c>
      <c r="F558">
        <v>1</v>
      </c>
      <c r="G558">
        <v>15514512</v>
      </c>
      <c r="H558">
        <v>3</v>
      </c>
      <c r="I558" t="s">
        <v>784</v>
      </c>
      <c r="J558" t="s">
        <v>785</v>
      </c>
      <c r="K558" t="s">
        <v>786</v>
      </c>
      <c r="L558">
        <v>1346</v>
      </c>
      <c r="N558">
        <v>1009</v>
      </c>
      <c r="O558" t="s">
        <v>657</v>
      </c>
      <c r="P558" t="s">
        <v>657</v>
      </c>
      <c r="Q558">
        <v>1</v>
      </c>
      <c r="X558">
        <v>2E-3</v>
      </c>
      <c r="Y558">
        <v>375.16</v>
      </c>
      <c r="Z558">
        <v>0</v>
      </c>
      <c r="AA558">
        <v>0</v>
      </c>
      <c r="AB558">
        <v>0</v>
      </c>
      <c r="AC558">
        <v>0</v>
      </c>
      <c r="AD558">
        <v>1</v>
      </c>
      <c r="AE558">
        <v>0</v>
      </c>
      <c r="AF558" t="s">
        <v>3</v>
      </c>
      <c r="AG558">
        <v>2E-3</v>
      </c>
      <c r="AH558">
        <v>3</v>
      </c>
      <c r="AI558">
        <v>-1</v>
      </c>
      <c r="AJ558" t="s">
        <v>3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</row>
    <row r="559" spans="1:44" x14ac:dyDescent="0.2">
      <c r="A559">
        <f>ROW(Source!A634)</f>
        <v>634</v>
      </c>
      <c r="B559">
        <v>1474097106</v>
      </c>
      <c r="C559">
        <v>1472041113</v>
      </c>
      <c r="D559">
        <v>1441819193</v>
      </c>
      <c r="E559">
        <v>15514512</v>
      </c>
      <c r="F559">
        <v>1</v>
      </c>
      <c r="G559">
        <v>15514512</v>
      </c>
      <c r="H559">
        <v>1</v>
      </c>
      <c r="I559" t="s">
        <v>648</v>
      </c>
      <c r="J559" t="s">
        <v>3</v>
      </c>
      <c r="K559" t="s">
        <v>649</v>
      </c>
      <c r="L559">
        <v>1191</v>
      </c>
      <c r="N559">
        <v>1013</v>
      </c>
      <c r="O559" t="s">
        <v>650</v>
      </c>
      <c r="P559" t="s">
        <v>650</v>
      </c>
      <c r="Q559">
        <v>1</v>
      </c>
      <c r="X559">
        <v>11.88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1</v>
      </c>
      <c r="AE559">
        <v>1</v>
      </c>
      <c r="AF559" t="s">
        <v>3</v>
      </c>
      <c r="AG559">
        <v>11.88</v>
      </c>
      <c r="AH559">
        <v>3</v>
      </c>
      <c r="AI559">
        <v>-1</v>
      </c>
      <c r="AJ559" t="s">
        <v>3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</row>
    <row r="560" spans="1:44" x14ac:dyDescent="0.2">
      <c r="A560">
        <f>ROW(Source!A634)</f>
        <v>634</v>
      </c>
      <c r="B560">
        <v>1474097107</v>
      </c>
      <c r="C560">
        <v>1472041113</v>
      </c>
      <c r="D560">
        <v>1441836237</v>
      </c>
      <c r="E560">
        <v>1</v>
      </c>
      <c r="F560">
        <v>1</v>
      </c>
      <c r="G560">
        <v>15514512</v>
      </c>
      <c r="H560">
        <v>3</v>
      </c>
      <c r="I560" t="s">
        <v>784</v>
      </c>
      <c r="J560" t="s">
        <v>785</v>
      </c>
      <c r="K560" t="s">
        <v>786</v>
      </c>
      <c r="L560">
        <v>1346</v>
      </c>
      <c r="N560">
        <v>1009</v>
      </c>
      <c r="O560" t="s">
        <v>657</v>
      </c>
      <c r="P560" t="s">
        <v>657</v>
      </c>
      <c r="Q560">
        <v>1</v>
      </c>
      <c r="X560">
        <v>4.2000000000000003E-2</v>
      </c>
      <c r="Y560">
        <v>375.16</v>
      </c>
      <c r="Z560">
        <v>0</v>
      </c>
      <c r="AA560">
        <v>0</v>
      </c>
      <c r="AB560">
        <v>0</v>
      </c>
      <c r="AC560">
        <v>0</v>
      </c>
      <c r="AD560">
        <v>1</v>
      </c>
      <c r="AE560">
        <v>0</v>
      </c>
      <c r="AF560" t="s">
        <v>3</v>
      </c>
      <c r="AG560">
        <v>4.2000000000000003E-2</v>
      </c>
      <c r="AH560">
        <v>3</v>
      </c>
      <c r="AI560">
        <v>-1</v>
      </c>
      <c r="AJ560" t="s">
        <v>3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</row>
    <row r="561" spans="1:44" x14ac:dyDescent="0.2">
      <c r="A561">
        <f>ROW(Source!A635)</f>
        <v>635</v>
      </c>
      <c r="B561">
        <v>1474097108</v>
      </c>
      <c r="C561">
        <v>1472041120</v>
      </c>
      <c r="D561">
        <v>1441819193</v>
      </c>
      <c r="E561">
        <v>15514512</v>
      </c>
      <c r="F561">
        <v>1</v>
      </c>
      <c r="G561">
        <v>15514512</v>
      </c>
      <c r="H561">
        <v>1</v>
      </c>
      <c r="I561" t="s">
        <v>648</v>
      </c>
      <c r="J561" t="s">
        <v>3</v>
      </c>
      <c r="K561" t="s">
        <v>649</v>
      </c>
      <c r="L561">
        <v>1191</v>
      </c>
      <c r="N561">
        <v>1013</v>
      </c>
      <c r="O561" t="s">
        <v>650</v>
      </c>
      <c r="P561" t="s">
        <v>650</v>
      </c>
      <c r="Q561">
        <v>1</v>
      </c>
      <c r="X561">
        <v>2.64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1</v>
      </c>
      <c r="AE561">
        <v>1</v>
      </c>
      <c r="AF561" t="s">
        <v>3</v>
      </c>
      <c r="AG561">
        <v>2.64</v>
      </c>
      <c r="AH561">
        <v>3</v>
      </c>
      <c r="AI561">
        <v>-1</v>
      </c>
      <c r="AJ561" t="s">
        <v>3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</row>
    <row r="562" spans="1:44" x14ac:dyDescent="0.2">
      <c r="A562">
        <f>ROW(Source!A635)</f>
        <v>635</v>
      </c>
      <c r="B562">
        <v>1474097109</v>
      </c>
      <c r="C562">
        <v>1472041120</v>
      </c>
      <c r="D562">
        <v>1441836237</v>
      </c>
      <c r="E562">
        <v>1</v>
      </c>
      <c r="F562">
        <v>1</v>
      </c>
      <c r="G562">
        <v>15514512</v>
      </c>
      <c r="H562">
        <v>3</v>
      </c>
      <c r="I562" t="s">
        <v>784</v>
      </c>
      <c r="J562" t="s">
        <v>785</v>
      </c>
      <c r="K562" t="s">
        <v>786</v>
      </c>
      <c r="L562">
        <v>1346</v>
      </c>
      <c r="N562">
        <v>1009</v>
      </c>
      <c r="O562" t="s">
        <v>657</v>
      </c>
      <c r="P562" t="s">
        <v>657</v>
      </c>
      <c r="Q562">
        <v>1</v>
      </c>
      <c r="X562">
        <v>8.9999999999999993E-3</v>
      </c>
      <c r="Y562">
        <v>375.16</v>
      </c>
      <c r="Z562">
        <v>0</v>
      </c>
      <c r="AA562">
        <v>0</v>
      </c>
      <c r="AB562">
        <v>0</v>
      </c>
      <c r="AC562">
        <v>0</v>
      </c>
      <c r="AD562">
        <v>1</v>
      </c>
      <c r="AE562">
        <v>0</v>
      </c>
      <c r="AF562" t="s">
        <v>3</v>
      </c>
      <c r="AG562">
        <v>8.9999999999999993E-3</v>
      </c>
      <c r="AH562">
        <v>3</v>
      </c>
      <c r="AI562">
        <v>-1</v>
      </c>
      <c r="AJ562" t="s">
        <v>3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</row>
    <row r="563" spans="1:44" x14ac:dyDescent="0.2">
      <c r="A563">
        <f>ROW(Source!A636)</f>
        <v>636</v>
      </c>
      <c r="B563">
        <v>1474097110</v>
      </c>
      <c r="C563">
        <v>1472041127</v>
      </c>
      <c r="D563">
        <v>1441819193</v>
      </c>
      <c r="E563">
        <v>15514512</v>
      </c>
      <c r="F563">
        <v>1</v>
      </c>
      <c r="G563">
        <v>15514512</v>
      </c>
      <c r="H563">
        <v>1</v>
      </c>
      <c r="I563" t="s">
        <v>648</v>
      </c>
      <c r="J563" t="s">
        <v>3</v>
      </c>
      <c r="K563" t="s">
        <v>649</v>
      </c>
      <c r="L563">
        <v>1191</v>
      </c>
      <c r="N563">
        <v>1013</v>
      </c>
      <c r="O563" t="s">
        <v>650</v>
      </c>
      <c r="P563" t="s">
        <v>650</v>
      </c>
      <c r="Q563">
        <v>1</v>
      </c>
      <c r="X563">
        <v>0.4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1</v>
      </c>
      <c r="AE563">
        <v>1</v>
      </c>
      <c r="AF563" t="s">
        <v>3</v>
      </c>
      <c r="AG563">
        <v>0.4</v>
      </c>
      <c r="AH563">
        <v>3</v>
      </c>
      <c r="AI563">
        <v>-1</v>
      </c>
      <c r="AJ563" t="s">
        <v>3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</row>
    <row r="564" spans="1:44" x14ac:dyDescent="0.2">
      <c r="A564">
        <f>ROW(Source!A636)</f>
        <v>636</v>
      </c>
      <c r="B564">
        <v>1474097111</v>
      </c>
      <c r="C564">
        <v>1472041127</v>
      </c>
      <c r="D564">
        <v>1441836237</v>
      </c>
      <c r="E564">
        <v>1</v>
      </c>
      <c r="F564">
        <v>1</v>
      </c>
      <c r="G564">
        <v>15514512</v>
      </c>
      <c r="H564">
        <v>3</v>
      </c>
      <c r="I564" t="s">
        <v>784</v>
      </c>
      <c r="J564" t="s">
        <v>785</v>
      </c>
      <c r="K564" t="s">
        <v>786</v>
      </c>
      <c r="L564">
        <v>1346</v>
      </c>
      <c r="N564">
        <v>1009</v>
      </c>
      <c r="O564" t="s">
        <v>657</v>
      </c>
      <c r="P564" t="s">
        <v>657</v>
      </c>
      <c r="Q564">
        <v>1</v>
      </c>
      <c r="X564">
        <v>1E-3</v>
      </c>
      <c r="Y564">
        <v>375.16</v>
      </c>
      <c r="Z564">
        <v>0</v>
      </c>
      <c r="AA564">
        <v>0</v>
      </c>
      <c r="AB564">
        <v>0</v>
      </c>
      <c r="AC564">
        <v>0</v>
      </c>
      <c r="AD564">
        <v>1</v>
      </c>
      <c r="AE564">
        <v>0</v>
      </c>
      <c r="AF564" t="s">
        <v>3</v>
      </c>
      <c r="AG564">
        <v>1E-3</v>
      </c>
      <c r="AH564">
        <v>3</v>
      </c>
      <c r="AI564">
        <v>-1</v>
      </c>
      <c r="AJ564" t="s">
        <v>3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</row>
    <row r="565" spans="1:44" x14ac:dyDescent="0.2">
      <c r="A565">
        <f>ROW(Source!A637)</f>
        <v>637</v>
      </c>
      <c r="B565">
        <v>1474097112</v>
      </c>
      <c r="C565">
        <v>1472041134</v>
      </c>
      <c r="D565">
        <v>1441819193</v>
      </c>
      <c r="E565">
        <v>15514512</v>
      </c>
      <c r="F565">
        <v>1</v>
      </c>
      <c r="G565">
        <v>15514512</v>
      </c>
      <c r="H565">
        <v>1</v>
      </c>
      <c r="I565" t="s">
        <v>648</v>
      </c>
      <c r="J565" t="s">
        <v>3</v>
      </c>
      <c r="K565" t="s">
        <v>649</v>
      </c>
      <c r="L565">
        <v>1191</v>
      </c>
      <c r="N565">
        <v>1013</v>
      </c>
      <c r="O565" t="s">
        <v>650</v>
      </c>
      <c r="P565" t="s">
        <v>650</v>
      </c>
      <c r="Q565">
        <v>1</v>
      </c>
      <c r="X565">
        <v>11.22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1</v>
      </c>
      <c r="AE565">
        <v>1</v>
      </c>
      <c r="AF565" t="s">
        <v>3</v>
      </c>
      <c r="AG565">
        <v>11.22</v>
      </c>
      <c r="AH565">
        <v>3</v>
      </c>
      <c r="AI565">
        <v>-1</v>
      </c>
      <c r="AJ565" t="s">
        <v>3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</row>
    <row r="566" spans="1:44" x14ac:dyDescent="0.2">
      <c r="A566">
        <f>ROW(Source!A637)</f>
        <v>637</v>
      </c>
      <c r="B566">
        <v>1474097113</v>
      </c>
      <c r="C566">
        <v>1472041134</v>
      </c>
      <c r="D566">
        <v>1441836237</v>
      </c>
      <c r="E566">
        <v>1</v>
      </c>
      <c r="F566">
        <v>1</v>
      </c>
      <c r="G566">
        <v>15514512</v>
      </c>
      <c r="H566">
        <v>3</v>
      </c>
      <c r="I566" t="s">
        <v>784</v>
      </c>
      <c r="J566" t="s">
        <v>785</v>
      </c>
      <c r="K566" t="s">
        <v>786</v>
      </c>
      <c r="L566">
        <v>1346</v>
      </c>
      <c r="N566">
        <v>1009</v>
      </c>
      <c r="O566" t="s">
        <v>657</v>
      </c>
      <c r="P566" t="s">
        <v>657</v>
      </c>
      <c r="Q566">
        <v>1</v>
      </c>
      <c r="X566">
        <v>3.9E-2</v>
      </c>
      <c r="Y566">
        <v>375.16</v>
      </c>
      <c r="Z566">
        <v>0</v>
      </c>
      <c r="AA566">
        <v>0</v>
      </c>
      <c r="AB566">
        <v>0</v>
      </c>
      <c r="AC566">
        <v>0</v>
      </c>
      <c r="AD566">
        <v>1</v>
      </c>
      <c r="AE566">
        <v>0</v>
      </c>
      <c r="AF566" t="s">
        <v>3</v>
      </c>
      <c r="AG566">
        <v>3.9E-2</v>
      </c>
      <c r="AH566">
        <v>3</v>
      </c>
      <c r="AI566">
        <v>-1</v>
      </c>
      <c r="AJ566" t="s">
        <v>3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</row>
    <row r="567" spans="1:44" x14ac:dyDescent="0.2">
      <c r="A567">
        <f>ROW(Source!A638)</f>
        <v>638</v>
      </c>
      <c r="B567">
        <v>1474097114</v>
      </c>
      <c r="C567">
        <v>1472041141</v>
      </c>
      <c r="D567">
        <v>1441819193</v>
      </c>
      <c r="E567">
        <v>15514512</v>
      </c>
      <c r="F567">
        <v>1</v>
      </c>
      <c r="G567">
        <v>15514512</v>
      </c>
      <c r="H567">
        <v>1</v>
      </c>
      <c r="I567" t="s">
        <v>648</v>
      </c>
      <c r="J567" t="s">
        <v>3</v>
      </c>
      <c r="K567" t="s">
        <v>649</v>
      </c>
      <c r="L567">
        <v>1191</v>
      </c>
      <c r="N567">
        <v>1013</v>
      </c>
      <c r="O567" t="s">
        <v>650</v>
      </c>
      <c r="P567" t="s">
        <v>650</v>
      </c>
      <c r="Q567">
        <v>1</v>
      </c>
      <c r="X567">
        <v>2.04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1</v>
      </c>
      <c r="AE567">
        <v>1</v>
      </c>
      <c r="AF567" t="s">
        <v>3</v>
      </c>
      <c r="AG567">
        <v>2.04</v>
      </c>
      <c r="AH567">
        <v>3</v>
      </c>
      <c r="AI567">
        <v>-1</v>
      </c>
      <c r="AJ567" t="s">
        <v>3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</row>
    <row r="568" spans="1:44" x14ac:dyDescent="0.2">
      <c r="A568">
        <f>ROW(Source!A639)</f>
        <v>639</v>
      </c>
      <c r="B568">
        <v>1474097115</v>
      </c>
      <c r="C568">
        <v>1472041145</v>
      </c>
      <c r="D568">
        <v>1441819193</v>
      </c>
      <c r="E568">
        <v>15514512</v>
      </c>
      <c r="F568">
        <v>1</v>
      </c>
      <c r="G568">
        <v>15514512</v>
      </c>
      <c r="H568">
        <v>1</v>
      </c>
      <c r="I568" t="s">
        <v>648</v>
      </c>
      <c r="J568" t="s">
        <v>3</v>
      </c>
      <c r="K568" t="s">
        <v>649</v>
      </c>
      <c r="L568">
        <v>1191</v>
      </c>
      <c r="N568">
        <v>1013</v>
      </c>
      <c r="O568" t="s">
        <v>650</v>
      </c>
      <c r="P568" t="s">
        <v>650</v>
      </c>
      <c r="Q568">
        <v>1</v>
      </c>
      <c r="X568">
        <v>0.38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1</v>
      </c>
      <c r="AE568">
        <v>1</v>
      </c>
      <c r="AF568" t="s">
        <v>3</v>
      </c>
      <c r="AG568">
        <v>0.38</v>
      </c>
      <c r="AH568">
        <v>3</v>
      </c>
      <c r="AI568">
        <v>-1</v>
      </c>
      <c r="AJ568" t="s">
        <v>3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</row>
    <row r="569" spans="1:44" x14ac:dyDescent="0.2">
      <c r="A569">
        <f>ROW(Source!A639)</f>
        <v>639</v>
      </c>
      <c r="B569">
        <v>1474097116</v>
      </c>
      <c r="C569">
        <v>1472041145</v>
      </c>
      <c r="D569">
        <v>1441836237</v>
      </c>
      <c r="E569">
        <v>1</v>
      </c>
      <c r="F569">
        <v>1</v>
      </c>
      <c r="G569">
        <v>15514512</v>
      </c>
      <c r="H569">
        <v>3</v>
      </c>
      <c r="I569" t="s">
        <v>784</v>
      </c>
      <c r="J569" t="s">
        <v>785</v>
      </c>
      <c r="K569" t="s">
        <v>786</v>
      </c>
      <c r="L569">
        <v>1346</v>
      </c>
      <c r="N569">
        <v>1009</v>
      </c>
      <c r="O569" t="s">
        <v>657</v>
      </c>
      <c r="P569" t="s">
        <v>657</v>
      </c>
      <c r="Q569">
        <v>1</v>
      </c>
      <c r="X569">
        <v>1E-3</v>
      </c>
      <c r="Y569">
        <v>375.16</v>
      </c>
      <c r="Z569">
        <v>0</v>
      </c>
      <c r="AA569">
        <v>0</v>
      </c>
      <c r="AB569">
        <v>0</v>
      </c>
      <c r="AC569">
        <v>0</v>
      </c>
      <c r="AD569">
        <v>1</v>
      </c>
      <c r="AE569">
        <v>0</v>
      </c>
      <c r="AF569" t="s">
        <v>3</v>
      </c>
      <c r="AG569">
        <v>1E-3</v>
      </c>
      <c r="AH569">
        <v>3</v>
      </c>
      <c r="AI569">
        <v>-1</v>
      </c>
      <c r="AJ569" t="s">
        <v>3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</row>
    <row r="570" spans="1:44" x14ac:dyDescent="0.2">
      <c r="A570">
        <f>ROW(Source!A676)</f>
        <v>676</v>
      </c>
      <c r="B570">
        <v>1474097117</v>
      </c>
      <c r="C570">
        <v>1472041153</v>
      </c>
      <c r="D570">
        <v>1441819193</v>
      </c>
      <c r="E570">
        <v>15514512</v>
      </c>
      <c r="F570">
        <v>1</v>
      </c>
      <c r="G570">
        <v>15514512</v>
      </c>
      <c r="H570">
        <v>1</v>
      </c>
      <c r="I570" t="s">
        <v>648</v>
      </c>
      <c r="J570" t="s">
        <v>3</v>
      </c>
      <c r="K570" t="s">
        <v>649</v>
      </c>
      <c r="L570">
        <v>1191</v>
      </c>
      <c r="N570">
        <v>1013</v>
      </c>
      <c r="O570" t="s">
        <v>650</v>
      </c>
      <c r="P570" t="s">
        <v>650</v>
      </c>
      <c r="Q570">
        <v>1</v>
      </c>
      <c r="X570">
        <v>0.18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1</v>
      </c>
      <c r="AE570">
        <v>1</v>
      </c>
      <c r="AF570" t="s">
        <v>523</v>
      </c>
      <c r="AG570">
        <v>0.18720000000000001</v>
      </c>
      <c r="AH570">
        <v>3</v>
      </c>
      <c r="AI570">
        <v>-1</v>
      </c>
      <c r="AJ570" t="s">
        <v>3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</row>
    <row r="571" spans="1:44" x14ac:dyDescent="0.2">
      <c r="A571">
        <f>ROW(Source!A676)</f>
        <v>676</v>
      </c>
      <c r="B571">
        <v>1474097118</v>
      </c>
      <c r="C571">
        <v>1472041153</v>
      </c>
      <c r="D571">
        <v>1441836235</v>
      </c>
      <c r="E571">
        <v>1</v>
      </c>
      <c r="F571">
        <v>1</v>
      </c>
      <c r="G571">
        <v>15514512</v>
      </c>
      <c r="H571">
        <v>3</v>
      </c>
      <c r="I571" t="s">
        <v>683</v>
      </c>
      <c r="J571" t="s">
        <v>684</v>
      </c>
      <c r="K571" t="s">
        <v>685</v>
      </c>
      <c r="L571">
        <v>1346</v>
      </c>
      <c r="N571">
        <v>1009</v>
      </c>
      <c r="O571" t="s">
        <v>657</v>
      </c>
      <c r="P571" t="s">
        <v>657</v>
      </c>
      <c r="Q571">
        <v>1</v>
      </c>
      <c r="X571">
        <v>0.04</v>
      </c>
      <c r="Y571">
        <v>31.49</v>
      </c>
      <c r="Z571">
        <v>0</v>
      </c>
      <c r="AA571">
        <v>0</v>
      </c>
      <c r="AB571">
        <v>0</v>
      </c>
      <c r="AC571">
        <v>0</v>
      </c>
      <c r="AD571">
        <v>1</v>
      </c>
      <c r="AE571">
        <v>0</v>
      </c>
      <c r="AF571" t="s">
        <v>3</v>
      </c>
      <c r="AG571">
        <v>0.04</v>
      </c>
      <c r="AH571">
        <v>3</v>
      </c>
      <c r="AI571">
        <v>-1</v>
      </c>
      <c r="AJ571" t="s">
        <v>3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</row>
    <row r="572" spans="1:44" x14ac:dyDescent="0.2">
      <c r="A572">
        <f>ROW(Source!A677)</f>
        <v>677</v>
      </c>
      <c r="B572">
        <v>1474097119</v>
      </c>
      <c r="C572">
        <v>1472041160</v>
      </c>
      <c r="D572">
        <v>1441819193</v>
      </c>
      <c r="E572">
        <v>15514512</v>
      </c>
      <c r="F572">
        <v>1</v>
      </c>
      <c r="G572">
        <v>15514512</v>
      </c>
      <c r="H572">
        <v>1</v>
      </c>
      <c r="I572" t="s">
        <v>648</v>
      </c>
      <c r="J572" t="s">
        <v>3</v>
      </c>
      <c r="K572" t="s">
        <v>649</v>
      </c>
      <c r="L572">
        <v>1191</v>
      </c>
      <c r="N572">
        <v>1013</v>
      </c>
      <c r="O572" t="s">
        <v>650</v>
      </c>
      <c r="P572" t="s">
        <v>650</v>
      </c>
      <c r="Q572">
        <v>1</v>
      </c>
      <c r="X572">
        <v>0.4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1</v>
      </c>
      <c r="AE572">
        <v>1</v>
      </c>
      <c r="AF572" t="s">
        <v>523</v>
      </c>
      <c r="AG572">
        <v>0.41600000000000004</v>
      </c>
      <c r="AH572">
        <v>3</v>
      </c>
      <c r="AI572">
        <v>-1</v>
      </c>
      <c r="AJ572" t="s">
        <v>3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</row>
    <row r="573" spans="1:44" x14ac:dyDescent="0.2">
      <c r="A573">
        <f>ROW(Source!A677)</f>
        <v>677</v>
      </c>
      <c r="B573">
        <v>1474097120</v>
      </c>
      <c r="C573">
        <v>1472041160</v>
      </c>
      <c r="D573">
        <v>1441836235</v>
      </c>
      <c r="E573">
        <v>1</v>
      </c>
      <c r="F573">
        <v>1</v>
      </c>
      <c r="G573">
        <v>15514512</v>
      </c>
      <c r="H573">
        <v>3</v>
      </c>
      <c r="I573" t="s">
        <v>683</v>
      </c>
      <c r="J573" t="s">
        <v>684</v>
      </c>
      <c r="K573" t="s">
        <v>685</v>
      </c>
      <c r="L573">
        <v>1346</v>
      </c>
      <c r="N573">
        <v>1009</v>
      </c>
      <c r="O573" t="s">
        <v>657</v>
      </c>
      <c r="P573" t="s">
        <v>657</v>
      </c>
      <c r="Q573">
        <v>1</v>
      </c>
      <c r="X573">
        <v>0.04</v>
      </c>
      <c r="Y573">
        <v>31.49</v>
      </c>
      <c r="Z573">
        <v>0</v>
      </c>
      <c r="AA573">
        <v>0</v>
      </c>
      <c r="AB573">
        <v>0</v>
      </c>
      <c r="AC573">
        <v>0</v>
      </c>
      <c r="AD573">
        <v>1</v>
      </c>
      <c r="AE573">
        <v>0</v>
      </c>
      <c r="AF573" t="s">
        <v>3</v>
      </c>
      <c r="AG573">
        <v>0.04</v>
      </c>
      <c r="AH573">
        <v>3</v>
      </c>
      <c r="AI573">
        <v>-1</v>
      </c>
      <c r="AJ573" t="s">
        <v>3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</row>
    <row r="574" spans="1:44" x14ac:dyDescent="0.2">
      <c r="A574">
        <f>ROW(Source!A678)</f>
        <v>678</v>
      </c>
      <c r="B574">
        <v>1474097121</v>
      </c>
      <c r="C574">
        <v>1472041167</v>
      </c>
      <c r="D574">
        <v>1441819193</v>
      </c>
      <c r="E574">
        <v>15514512</v>
      </c>
      <c r="F574">
        <v>1</v>
      </c>
      <c r="G574">
        <v>15514512</v>
      </c>
      <c r="H574">
        <v>1</v>
      </c>
      <c r="I574" t="s">
        <v>648</v>
      </c>
      <c r="J574" t="s">
        <v>3</v>
      </c>
      <c r="K574" t="s">
        <v>649</v>
      </c>
      <c r="L574">
        <v>1191</v>
      </c>
      <c r="N574">
        <v>1013</v>
      </c>
      <c r="O574" t="s">
        <v>650</v>
      </c>
      <c r="P574" t="s">
        <v>650</v>
      </c>
      <c r="Q574">
        <v>1</v>
      </c>
      <c r="X574">
        <v>0.3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1</v>
      </c>
      <c r="AE574">
        <v>1</v>
      </c>
      <c r="AF574" t="s">
        <v>523</v>
      </c>
      <c r="AG574">
        <v>0.312</v>
      </c>
      <c r="AH574">
        <v>3</v>
      </c>
      <c r="AI574">
        <v>-1</v>
      </c>
      <c r="AJ574" t="s">
        <v>3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</row>
    <row r="575" spans="1:44" x14ac:dyDescent="0.2">
      <c r="A575">
        <f>ROW(Source!A678)</f>
        <v>678</v>
      </c>
      <c r="B575">
        <v>1474097122</v>
      </c>
      <c r="C575">
        <v>1472041167</v>
      </c>
      <c r="D575">
        <v>1441836235</v>
      </c>
      <c r="E575">
        <v>1</v>
      </c>
      <c r="F575">
        <v>1</v>
      </c>
      <c r="G575">
        <v>15514512</v>
      </c>
      <c r="H575">
        <v>3</v>
      </c>
      <c r="I575" t="s">
        <v>683</v>
      </c>
      <c r="J575" t="s">
        <v>684</v>
      </c>
      <c r="K575" t="s">
        <v>685</v>
      </c>
      <c r="L575">
        <v>1346</v>
      </c>
      <c r="N575">
        <v>1009</v>
      </c>
      <c r="O575" t="s">
        <v>657</v>
      </c>
      <c r="P575" t="s">
        <v>657</v>
      </c>
      <c r="Q575">
        <v>1</v>
      </c>
      <c r="X575">
        <v>0.02</v>
      </c>
      <c r="Y575">
        <v>31.49</v>
      </c>
      <c r="Z575">
        <v>0</v>
      </c>
      <c r="AA575">
        <v>0</v>
      </c>
      <c r="AB575">
        <v>0</v>
      </c>
      <c r="AC575">
        <v>0</v>
      </c>
      <c r="AD575">
        <v>1</v>
      </c>
      <c r="AE575">
        <v>0</v>
      </c>
      <c r="AF575" t="s">
        <v>3</v>
      </c>
      <c r="AG575">
        <v>0.02</v>
      </c>
      <c r="AH575">
        <v>3</v>
      </c>
      <c r="AI575">
        <v>-1</v>
      </c>
      <c r="AJ575" t="s">
        <v>3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</row>
    <row r="576" spans="1:44" x14ac:dyDescent="0.2">
      <c r="A576">
        <f>ROW(Source!A679)</f>
        <v>679</v>
      </c>
      <c r="B576">
        <v>1474097123</v>
      </c>
      <c r="C576">
        <v>1472041174</v>
      </c>
      <c r="D576">
        <v>1441819193</v>
      </c>
      <c r="E576">
        <v>15514512</v>
      </c>
      <c r="F576">
        <v>1</v>
      </c>
      <c r="G576">
        <v>15514512</v>
      </c>
      <c r="H576">
        <v>1</v>
      </c>
      <c r="I576" t="s">
        <v>648</v>
      </c>
      <c r="J576" t="s">
        <v>3</v>
      </c>
      <c r="K576" t="s">
        <v>649</v>
      </c>
      <c r="L576">
        <v>1191</v>
      </c>
      <c r="N576">
        <v>1013</v>
      </c>
      <c r="O576" t="s">
        <v>650</v>
      </c>
      <c r="P576" t="s">
        <v>650</v>
      </c>
      <c r="Q576">
        <v>1</v>
      </c>
      <c r="X576">
        <v>0.22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1</v>
      </c>
      <c r="AE576">
        <v>1</v>
      </c>
      <c r="AF576" t="s">
        <v>523</v>
      </c>
      <c r="AG576">
        <v>0.2288</v>
      </c>
      <c r="AH576">
        <v>3</v>
      </c>
      <c r="AI576">
        <v>-1</v>
      </c>
      <c r="AJ576" t="s">
        <v>3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</row>
    <row r="577" spans="1:44" x14ac:dyDescent="0.2">
      <c r="A577">
        <f>ROW(Source!A679)</f>
        <v>679</v>
      </c>
      <c r="B577">
        <v>1474097124</v>
      </c>
      <c r="C577">
        <v>1472041174</v>
      </c>
      <c r="D577">
        <v>1441836235</v>
      </c>
      <c r="E577">
        <v>1</v>
      </c>
      <c r="F577">
        <v>1</v>
      </c>
      <c r="G577">
        <v>15514512</v>
      </c>
      <c r="H577">
        <v>3</v>
      </c>
      <c r="I577" t="s">
        <v>683</v>
      </c>
      <c r="J577" t="s">
        <v>684</v>
      </c>
      <c r="K577" t="s">
        <v>685</v>
      </c>
      <c r="L577">
        <v>1346</v>
      </c>
      <c r="N577">
        <v>1009</v>
      </c>
      <c r="O577" t="s">
        <v>657</v>
      </c>
      <c r="P577" t="s">
        <v>657</v>
      </c>
      <c r="Q577">
        <v>1</v>
      </c>
      <c r="X577">
        <v>0.05</v>
      </c>
      <c r="Y577">
        <v>31.49</v>
      </c>
      <c r="Z577">
        <v>0</v>
      </c>
      <c r="AA577">
        <v>0</v>
      </c>
      <c r="AB577">
        <v>0</v>
      </c>
      <c r="AC577">
        <v>0</v>
      </c>
      <c r="AD577">
        <v>1</v>
      </c>
      <c r="AE577">
        <v>0</v>
      </c>
      <c r="AF577" t="s">
        <v>3</v>
      </c>
      <c r="AG577">
        <v>0.05</v>
      </c>
      <c r="AH577">
        <v>3</v>
      </c>
      <c r="AI577">
        <v>-1</v>
      </c>
      <c r="AJ577" t="s">
        <v>3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</row>
    <row r="578" spans="1:44" x14ac:dyDescent="0.2">
      <c r="A578">
        <f>ROW(Source!A680)</f>
        <v>680</v>
      </c>
      <c r="B578">
        <v>1474097125</v>
      </c>
      <c r="C578">
        <v>1472041181</v>
      </c>
      <c r="D578">
        <v>1441819193</v>
      </c>
      <c r="E578">
        <v>15514512</v>
      </c>
      <c r="F578">
        <v>1</v>
      </c>
      <c r="G578">
        <v>15514512</v>
      </c>
      <c r="H578">
        <v>1</v>
      </c>
      <c r="I578" t="s">
        <v>648</v>
      </c>
      <c r="J578" t="s">
        <v>3</v>
      </c>
      <c r="K578" t="s">
        <v>649</v>
      </c>
      <c r="L578">
        <v>1191</v>
      </c>
      <c r="N578">
        <v>1013</v>
      </c>
      <c r="O578" t="s">
        <v>650</v>
      </c>
      <c r="P578" t="s">
        <v>650</v>
      </c>
      <c r="Q578">
        <v>1</v>
      </c>
      <c r="X578">
        <v>0.18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1</v>
      </c>
      <c r="AE578">
        <v>1</v>
      </c>
      <c r="AF578" t="s">
        <v>523</v>
      </c>
      <c r="AG578">
        <v>0.18720000000000001</v>
      </c>
      <c r="AH578">
        <v>3</v>
      </c>
      <c r="AI578">
        <v>-1</v>
      </c>
      <c r="AJ578" t="s">
        <v>3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</row>
    <row r="579" spans="1:44" x14ac:dyDescent="0.2">
      <c r="A579">
        <f>ROW(Source!A680)</f>
        <v>680</v>
      </c>
      <c r="B579">
        <v>1474097126</v>
      </c>
      <c r="C579">
        <v>1472041181</v>
      </c>
      <c r="D579">
        <v>1441836235</v>
      </c>
      <c r="E579">
        <v>1</v>
      </c>
      <c r="F579">
        <v>1</v>
      </c>
      <c r="G579">
        <v>15514512</v>
      </c>
      <c r="H579">
        <v>3</v>
      </c>
      <c r="I579" t="s">
        <v>683</v>
      </c>
      <c r="J579" t="s">
        <v>684</v>
      </c>
      <c r="K579" t="s">
        <v>685</v>
      </c>
      <c r="L579">
        <v>1346</v>
      </c>
      <c r="N579">
        <v>1009</v>
      </c>
      <c r="O579" t="s">
        <v>657</v>
      </c>
      <c r="P579" t="s">
        <v>657</v>
      </c>
      <c r="Q579">
        <v>1</v>
      </c>
      <c r="X579">
        <v>0.04</v>
      </c>
      <c r="Y579">
        <v>31.49</v>
      </c>
      <c r="Z579">
        <v>0</v>
      </c>
      <c r="AA579">
        <v>0</v>
      </c>
      <c r="AB579">
        <v>0</v>
      </c>
      <c r="AC579">
        <v>0</v>
      </c>
      <c r="AD579">
        <v>1</v>
      </c>
      <c r="AE579">
        <v>0</v>
      </c>
      <c r="AF579" t="s">
        <v>3</v>
      </c>
      <c r="AG579">
        <v>0.04</v>
      </c>
      <c r="AH579">
        <v>3</v>
      </c>
      <c r="AI579">
        <v>-1</v>
      </c>
      <c r="AJ579" t="s">
        <v>3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</row>
    <row r="580" spans="1:44" x14ac:dyDescent="0.2">
      <c r="A580">
        <f>ROW(Source!A681)</f>
        <v>681</v>
      </c>
      <c r="B580">
        <v>1474097127</v>
      </c>
      <c r="C580">
        <v>1472041188</v>
      </c>
      <c r="D580">
        <v>1441819193</v>
      </c>
      <c r="E580">
        <v>15514512</v>
      </c>
      <c r="F580">
        <v>1</v>
      </c>
      <c r="G580">
        <v>15514512</v>
      </c>
      <c r="H580">
        <v>1</v>
      </c>
      <c r="I580" t="s">
        <v>648</v>
      </c>
      <c r="J580" t="s">
        <v>3</v>
      </c>
      <c r="K580" t="s">
        <v>649</v>
      </c>
      <c r="L580">
        <v>1191</v>
      </c>
      <c r="N580">
        <v>1013</v>
      </c>
      <c r="O580" t="s">
        <v>650</v>
      </c>
      <c r="P580" t="s">
        <v>650</v>
      </c>
      <c r="Q580">
        <v>1</v>
      </c>
      <c r="X580">
        <v>0.3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1</v>
      </c>
      <c r="AE580">
        <v>1</v>
      </c>
      <c r="AF580" t="s">
        <v>523</v>
      </c>
      <c r="AG580">
        <v>0.312</v>
      </c>
      <c r="AH580">
        <v>3</v>
      </c>
      <c r="AI580">
        <v>-1</v>
      </c>
      <c r="AJ580" t="s">
        <v>3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</row>
    <row r="581" spans="1:44" x14ac:dyDescent="0.2">
      <c r="A581">
        <f>ROW(Source!A681)</f>
        <v>681</v>
      </c>
      <c r="B581">
        <v>1474097128</v>
      </c>
      <c r="C581">
        <v>1472041188</v>
      </c>
      <c r="D581">
        <v>1441836235</v>
      </c>
      <c r="E581">
        <v>1</v>
      </c>
      <c r="F581">
        <v>1</v>
      </c>
      <c r="G581">
        <v>15514512</v>
      </c>
      <c r="H581">
        <v>3</v>
      </c>
      <c r="I581" t="s">
        <v>683</v>
      </c>
      <c r="J581" t="s">
        <v>684</v>
      </c>
      <c r="K581" t="s">
        <v>685</v>
      </c>
      <c r="L581">
        <v>1346</v>
      </c>
      <c r="N581">
        <v>1009</v>
      </c>
      <c r="O581" t="s">
        <v>657</v>
      </c>
      <c r="P581" t="s">
        <v>657</v>
      </c>
      <c r="Q581">
        <v>1</v>
      </c>
      <c r="X581">
        <v>0.02</v>
      </c>
      <c r="Y581">
        <v>31.49</v>
      </c>
      <c r="Z581">
        <v>0</v>
      </c>
      <c r="AA581">
        <v>0</v>
      </c>
      <c r="AB581">
        <v>0</v>
      </c>
      <c r="AC581">
        <v>0</v>
      </c>
      <c r="AD581">
        <v>1</v>
      </c>
      <c r="AE581">
        <v>0</v>
      </c>
      <c r="AF581" t="s">
        <v>3</v>
      </c>
      <c r="AG581">
        <v>0.02</v>
      </c>
      <c r="AH581">
        <v>3</v>
      </c>
      <c r="AI581">
        <v>-1</v>
      </c>
      <c r="AJ581" t="s">
        <v>3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</row>
    <row r="582" spans="1:44" x14ac:dyDescent="0.2">
      <c r="A582">
        <f>ROW(Source!A682)</f>
        <v>682</v>
      </c>
      <c r="B582">
        <v>1474097129</v>
      </c>
      <c r="C582">
        <v>1472041195</v>
      </c>
      <c r="D582">
        <v>1441819193</v>
      </c>
      <c r="E582">
        <v>15514512</v>
      </c>
      <c r="F582">
        <v>1</v>
      </c>
      <c r="G582">
        <v>15514512</v>
      </c>
      <c r="H582">
        <v>1</v>
      </c>
      <c r="I582" t="s">
        <v>648</v>
      </c>
      <c r="J582" t="s">
        <v>3</v>
      </c>
      <c r="K582" t="s">
        <v>649</v>
      </c>
      <c r="L582">
        <v>1191</v>
      </c>
      <c r="N582">
        <v>1013</v>
      </c>
      <c r="O582" t="s">
        <v>650</v>
      </c>
      <c r="P582" t="s">
        <v>650</v>
      </c>
      <c r="Q582">
        <v>1</v>
      </c>
      <c r="X582">
        <v>0.18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1</v>
      </c>
      <c r="AE582">
        <v>1</v>
      </c>
      <c r="AF582" t="s">
        <v>523</v>
      </c>
      <c r="AG582">
        <v>0.18720000000000001</v>
      </c>
      <c r="AH582">
        <v>3</v>
      </c>
      <c r="AI582">
        <v>-1</v>
      </c>
      <c r="AJ582" t="s">
        <v>3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0</v>
      </c>
    </row>
    <row r="583" spans="1:44" x14ac:dyDescent="0.2">
      <c r="A583">
        <f>ROW(Source!A682)</f>
        <v>682</v>
      </c>
      <c r="B583">
        <v>1474097130</v>
      </c>
      <c r="C583">
        <v>1472041195</v>
      </c>
      <c r="D583">
        <v>1441836235</v>
      </c>
      <c r="E583">
        <v>1</v>
      </c>
      <c r="F583">
        <v>1</v>
      </c>
      <c r="G583">
        <v>15514512</v>
      </c>
      <c r="H583">
        <v>3</v>
      </c>
      <c r="I583" t="s">
        <v>683</v>
      </c>
      <c r="J583" t="s">
        <v>684</v>
      </c>
      <c r="K583" t="s">
        <v>685</v>
      </c>
      <c r="L583">
        <v>1346</v>
      </c>
      <c r="N583">
        <v>1009</v>
      </c>
      <c r="O583" t="s">
        <v>657</v>
      </c>
      <c r="P583" t="s">
        <v>657</v>
      </c>
      <c r="Q583">
        <v>1</v>
      </c>
      <c r="X583">
        <v>0.04</v>
      </c>
      <c r="Y583">
        <v>31.49</v>
      </c>
      <c r="Z583">
        <v>0</v>
      </c>
      <c r="AA583">
        <v>0</v>
      </c>
      <c r="AB583">
        <v>0</v>
      </c>
      <c r="AC583">
        <v>0</v>
      </c>
      <c r="AD583">
        <v>1</v>
      </c>
      <c r="AE583">
        <v>0</v>
      </c>
      <c r="AF583" t="s">
        <v>3</v>
      </c>
      <c r="AG583">
        <v>0.04</v>
      </c>
      <c r="AH583">
        <v>3</v>
      </c>
      <c r="AI583">
        <v>-1</v>
      </c>
      <c r="AJ583" t="s">
        <v>3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</row>
    <row r="584" spans="1:44" x14ac:dyDescent="0.2">
      <c r="A584">
        <f>ROW(Source!A683)</f>
        <v>683</v>
      </c>
      <c r="B584">
        <v>1474097131</v>
      </c>
      <c r="C584">
        <v>1472041202</v>
      </c>
      <c r="D584">
        <v>1441819193</v>
      </c>
      <c r="E584">
        <v>15514512</v>
      </c>
      <c r="F584">
        <v>1</v>
      </c>
      <c r="G584">
        <v>15514512</v>
      </c>
      <c r="H584">
        <v>1</v>
      </c>
      <c r="I584" t="s">
        <v>648</v>
      </c>
      <c r="J584" t="s">
        <v>3</v>
      </c>
      <c r="K584" t="s">
        <v>649</v>
      </c>
      <c r="L584">
        <v>1191</v>
      </c>
      <c r="N584">
        <v>1013</v>
      </c>
      <c r="O584" t="s">
        <v>650</v>
      </c>
      <c r="P584" t="s">
        <v>650</v>
      </c>
      <c r="Q584">
        <v>1</v>
      </c>
      <c r="X584">
        <v>0.3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1</v>
      </c>
      <c r="AE584">
        <v>1</v>
      </c>
      <c r="AF584" t="s">
        <v>523</v>
      </c>
      <c r="AG584">
        <v>0.312</v>
      </c>
      <c r="AH584">
        <v>3</v>
      </c>
      <c r="AI584">
        <v>-1</v>
      </c>
      <c r="AJ584" t="s">
        <v>3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</row>
    <row r="585" spans="1:44" x14ac:dyDescent="0.2">
      <c r="A585">
        <f>ROW(Source!A683)</f>
        <v>683</v>
      </c>
      <c r="B585">
        <v>1474097132</v>
      </c>
      <c r="C585">
        <v>1472041202</v>
      </c>
      <c r="D585">
        <v>1441836235</v>
      </c>
      <c r="E585">
        <v>1</v>
      </c>
      <c r="F585">
        <v>1</v>
      </c>
      <c r="G585">
        <v>15514512</v>
      </c>
      <c r="H585">
        <v>3</v>
      </c>
      <c r="I585" t="s">
        <v>683</v>
      </c>
      <c r="J585" t="s">
        <v>684</v>
      </c>
      <c r="K585" t="s">
        <v>685</v>
      </c>
      <c r="L585">
        <v>1346</v>
      </c>
      <c r="N585">
        <v>1009</v>
      </c>
      <c r="O585" t="s">
        <v>657</v>
      </c>
      <c r="P585" t="s">
        <v>657</v>
      </c>
      <c r="Q585">
        <v>1</v>
      </c>
      <c r="X585">
        <v>0.02</v>
      </c>
      <c r="Y585">
        <v>31.49</v>
      </c>
      <c r="Z585">
        <v>0</v>
      </c>
      <c r="AA585">
        <v>0</v>
      </c>
      <c r="AB585">
        <v>0</v>
      </c>
      <c r="AC585">
        <v>0</v>
      </c>
      <c r="AD585">
        <v>1</v>
      </c>
      <c r="AE585">
        <v>0</v>
      </c>
      <c r="AF585" t="s">
        <v>3</v>
      </c>
      <c r="AG585">
        <v>0.02</v>
      </c>
      <c r="AH585">
        <v>3</v>
      </c>
      <c r="AI585">
        <v>-1</v>
      </c>
      <c r="AJ585" t="s">
        <v>3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</row>
    <row r="586" spans="1:44" x14ac:dyDescent="0.2">
      <c r="A586">
        <f>ROW(Source!A684)</f>
        <v>684</v>
      </c>
      <c r="B586">
        <v>1474097133</v>
      </c>
      <c r="C586">
        <v>1472041209</v>
      </c>
      <c r="D586">
        <v>1441819193</v>
      </c>
      <c r="E586">
        <v>15514512</v>
      </c>
      <c r="F586">
        <v>1</v>
      </c>
      <c r="G586">
        <v>15514512</v>
      </c>
      <c r="H586">
        <v>1</v>
      </c>
      <c r="I586" t="s">
        <v>648</v>
      </c>
      <c r="J586" t="s">
        <v>3</v>
      </c>
      <c r="K586" t="s">
        <v>649</v>
      </c>
      <c r="L586">
        <v>1191</v>
      </c>
      <c r="N586">
        <v>1013</v>
      </c>
      <c r="O586" t="s">
        <v>650</v>
      </c>
      <c r="P586" t="s">
        <v>650</v>
      </c>
      <c r="Q586">
        <v>1</v>
      </c>
      <c r="X586">
        <v>0.22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1</v>
      </c>
      <c r="AE586">
        <v>1</v>
      </c>
      <c r="AF586" t="s">
        <v>523</v>
      </c>
      <c r="AG586">
        <v>0.2288</v>
      </c>
      <c r="AH586">
        <v>3</v>
      </c>
      <c r="AI586">
        <v>-1</v>
      </c>
      <c r="AJ586" t="s">
        <v>3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</row>
    <row r="587" spans="1:44" x14ac:dyDescent="0.2">
      <c r="A587">
        <f>ROW(Source!A684)</f>
        <v>684</v>
      </c>
      <c r="B587">
        <v>1474097134</v>
      </c>
      <c r="C587">
        <v>1472041209</v>
      </c>
      <c r="D587">
        <v>1441836235</v>
      </c>
      <c r="E587">
        <v>1</v>
      </c>
      <c r="F587">
        <v>1</v>
      </c>
      <c r="G587">
        <v>15514512</v>
      </c>
      <c r="H587">
        <v>3</v>
      </c>
      <c r="I587" t="s">
        <v>683</v>
      </c>
      <c r="J587" t="s">
        <v>684</v>
      </c>
      <c r="K587" t="s">
        <v>685</v>
      </c>
      <c r="L587">
        <v>1346</v>
      </c>
      <c r="N587">
        <v>1009</v>
      </c>
      <c r="O587" t="s">
        <v>657</v>
      </c>
      <c r="P587" t="s">
        <v>657</v>
      </c>
      <c r="Q587">
        <v>1</v>
      </c>
      <c r="X587">
        <v>0.05</v>
      </c>
      <c r="Y587">
        <v>31.49</v>
      </c>
      <c r="Z587">
        <v>0</v>
      </c>
      <c r="AA587">
        <v>0</v>
      </c>
      <c r="AB587">
        <v>0</v>
      </c>
      <c r="AC587">
        <v>0</v>
      </c>
      <c r="AD587">
        <v>1</v>
      </c>
      <c r="AE587">
        <v>0</v>
      </c>
      <c r="AF587" t="s">
        <v>3</v>
      </c>
      <c r="AG587">
        <v>0.05</v>
      </c>
      <c r="AH587">
        <v>3</v>
      </c>
      <c r="AI587">
        <v>-1</v>
      </c>
      <c r="AJ587" t="s">
        <v>3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</row>
    <row r="588" spans="1:44" x14ac:dyDescent="0.2">
      <c r="A588">
        <f>ROW(Source!A685)</f>
        <v>685</v>
      </c>
      <c r="B588">
        <v>1474097135</v>
      </c>
      <c r="C588">
        <v>1472041216</v>
      </c>
      <c r="D588">
        <v>1441819193</v>
      </c>
      <c r="E588">
        <v>15514512</v>
      </c>
      <c r="F588">
        <v>1</v>
      </c>
      <c r="G588">
        <v>15514512</v>
      </c>
      <c r="H588">
        <v>1</v>
      </c>
      <c r="I588" t="s">
        <v>648</v>
      </c>
      <c r="J588" t="s">
        <v>3</v>
      </c>
      <c r="K588" t="s">
        <v>649</v>
      </c>
      <c r="L588">
        <v>1191</v>
      </c>
      <c r="N588">
        <v>1013</v>
      </c>
      <c r="O588" t="s">
        <v>650</v>
      </c>
      <c r="P588" t="s">
        <v>650</v>
      </c>
      <c r="Q588">
        <v>1</v>
      </c>
      <c r="X588">
        <v>0.22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1</v>
      </c>
      <c r="AE588">
        <v>1</v>
      </c>
      <c r="AF588" t="s">
        <v>523</v>
      </c>
      <c r="AG588">
        <v>0.2288</v>
      </c>
      <c r="AH588">
        <v>3</v>
      </c>
      <c r="AI588">
        <v>-1</v>
      </c>
      <c r="AJ588" t="s">
        <v>3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</row>
    <row r="589" spans="1:44" x14ac:dyDescent="0.2">
      <c r="A589">
        <f>ROW(Source!A685)</f>
        <v>685</v>
      </c>
      <c r="B589">
        <v>1474097136</v>
      </c>
      <c r="C589">
        <v>1472041216</v>
      </c>
      <c r="D589">
        <v>1441836235</v>
      </c>
      <c r="E589">
        <v>1</v>
      </c>
      <c r="F589">
        <v>1</v>
      </c>
      <c r="G589">
        <v>15514512</v>
      </c>
      <c r="H589">
        <v>3</v>
      </c>
      <c r="I589" t="s">
        <v>683</v>
      </c>
      <c r="J589" t="s">
        <v>684</v>
      </c>
      <c r="K589" t="s">
        <v>685</v>
      </c>
      <c r="L589">
        <v>1346</v>
      </c>
      <c r="N589">
        <v>1009</v>
      </c>
      <c r="O589" t="s">
        <v>657</v>
      </c>
      <c r="P589" t="s">
        <v>657</v>
      </c>
      <c r="Q589">
        <v>1</v>
      </c>
      <c r="X589">
        <v>0.05</v>
      </c>
      <c r="Y589">
        <v>31.49</v>
      </c>
      <c r="Z589">
        <v>0</v>
      </c>
      <c r="AA589">
        <v>0</v>
      </c>
      <c r="AB589">
        <v>0</v>
      </c>
      <c r="AC589">
        <v>0</v>
      </c>
      <c r="AD589">
        <v>1</v>
      </c>
      <c r="AE589">
        <v>0</v>
      </c>
      <c r="AF589" t="s">
        <v>3</v>
      </c>
      <c r="AG589">
        <v>0.05</v>
      </c>
      <c r="AH589">
        <v>3</v>
      </c>
      <c r="AI589">
        <v>-1</v>
      </c>
      <c r="AJ589" t="s">
        <v>3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</row>
    <row r="590" spans="1:44" x14ac:dyDescent="0.2">
      <c r="A590">
        <f>ROW(Source!A722)</f>
        <v>722</v>
      </c>
      <c r="B590">
        <v>1474097137</v>
      </c>
      <c r="C590">
        <v>1472041224</v>
      </c>
      <c r="D590">
        <v>1441819193</v>
      </c>
      <c r="E590">
        <v>15514512</v>
      </c>
      <c r="F590">
        <v>1</v>
      </c>
      <c r="G590">
        <v>15514512</v>
      </c>
      <c r="H590">
        <v>1</v>
      </c>
      <c r="I590" t="s">
        <v>648</v>
      </c>
      <c r="J590" t="s">
        <v>3</v>
      </c>
      <c r="K590" t="s">
        <v>649</v>
      </c>
      <c r="L590">
        <v>1191</v>
      </c>
      <c r="N590">
        <v>1013</v>
      </c>
      <c r="O590" t="s">
        <v>650</v>
      </c>
      <c r="P590" t="s">
        <v>650</v>
      </c>
      <c r="Q590">
        <v>1</v>
      </c>
      <c r="X590">
        <v>0.82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1</v>
      </c>
      <c r="AE590">
        <v>1</v>
      </c>
      <c r="AF590" t="s">
        <v>164</v>
      </c>
      <c r="AG590">
        <v>1.64</v>
      </c>
      <c r="AH590">
        <v>3</v>
      </c>
      <c r="AI590">
        <v>-1</v>
      </c>
      <c r="AJ590" t="s">
        <v>3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</row>
    <row r="591" spans="1:44" x14ac:dyDescent="0.2">
      <c r="A591">
        <f>ROW(Source!A723)</f>
        <v>723</v>
      </c>
      <c r="B591">
        <v>1474097138</v>
      </c>
      <c r="C591">
        <v>1472041228</v>
      </c>
      <c r="D591">
        <v>1441819193</v>
      </c>
      <c r="E591">
        <v>15514512</v>
      </c>
      <c r="F591">
        <v>1</v>
      </c>
      <c r="G591">
        <v>15514512</v>
      </c>
      <c r="H591">
        <v>1</v>
      </c>
      <c r="I591" t="s">
        <v>648</v>
      </c>
      <c r="J591" t="s">
        <v>3</v>
      </c>
      <c r="K591" t="s">
        <v>649</v>
      </c>
      <c r="L591">
        <v>1191</v>
      </c>
      <c r="N591">
        <v>1013</v>
      </c>
      <c r="O591" t="s">
        <v>650</v>
      </c>
      <c r="P591" t="s">
        <v>650</v>
      </c>
      <c r="Q591">
        <v>1</v>
      </c>
      <c r="X591">
        <v>0.92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1</v>
      </c>
      <c r="AE591">
        <v>1</v>
      </c>
      <c r="AF591" t="s">
        <v>164</v>
      </c>
      <c r="AG591">
        <v>1.84</v>
      </c>
      <c r="AH591">
        <v>3</v>
      </c>
      <c r="AI591">
        <v>-1</v>
      </c>
      <c r="AJ591" t="s">
        <v>3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</row>
    <row r="592" spans="1:44" x14ac:dyDescent="0.2">
      <c r="A592">
        <f>ROW(Source!A723)</f>
        <v>723</v>
      </c>
      <c r="B592">
        <v>1474097139</v>
      </c>
      <c r="C592">
        <v>1472041228</v>
      </c>
      <c r="D592">
        <v>1441836187</v>
      </c>
      <c r="E592">
        <v>1</v>
      </c>
      <c r="F592">
        <v>1</v>
      </c>
      <c r="G592">
        <v>15514512</v>
      </c>
      <c r="H592">
        <v>3</v>
      </c>
      <c r="I592" t="s">
        <v>692</v>
      </c>
      <c r="J592" t="s">
        <v>693</v>
      </c>
      <c r="K592" t="s">
        <v>694</v>
      </c>
      <c r="L592">
        <v>1346</v>
      </c>
      <c r="N592">
        <v>1009</v>
      </c>
      <c r="O592" t="s">
        <v>657</v>
      </c>
      <c r="P592" t="s">
        <v>657</v>
      </c>
      <c r="Q592">
        <v>1</v>
      </c>
      <c r="X592">
        <v>1.6E-2</v>
      </c>
      <c r="Y592">
        <v>424.66</v>
      </c>
      <c r="Z592">
        <v>0</v>
      </c>
      <c r="AA592">
        <v>0</v>
      </c>
      <c r="AB592">
        <v>0</v>
      </c>
      <c r="AC592">
        <v>0</v>
      </c>
      <c r="AD592">
        <v>1</v>
      </c>
      <c r="AE592">
        <v>0</v>
      </c>
      <c r="AF592" t="s">
        <v>164</v>
      </c>
      <c r="AG592">
        <v>3.2000000000000001E-2</v>
      </c>
      <c r="AH592">
        <v>3</v>
      </c>
      <c r="AI592">
        <v>-1</v>
      </c>
      <c r="AJ592" t="s">
        <v>3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0</v>
      </c>
      <c r="AR592">
        <v>0</v>
      </c>
    </row>
    <row r="593" spans="1:44" x14ac:dyDescent="0.2">
      <c r="A593">
        <f>ROW(Source!A723)</f>
        <v>723</v>
      </c>
      <c r="B593">
        <v>1474097140</v>
      </c>
      <c r="C593">
        <v>1472041228</v>
      </c>
      <c r="D593">
        <v>1441836235</v>
      </c>
      <c r="E593">
        <v>1</v>
      </c>
      <c r="F593">
        <v>1</v>
      </c>
      <c r="G593">
        <v>15514512</v>
      </c>
      <c r="H593">
        <v>3</v>
      </c>
      <c r="I593" t="s">
        <v>683</v>
      </c>
      <c r="J593" t="s">
        <v>684</v>
      </c>
      <c r="K593" t="s">
        <v>685</v>
      </c>
      <c r="L593">
        <v>1346</v>
      </c>
      <c r="N593">
        <v>1009</v>
      </c>
      <c r="O593" t="s">
        <v>657</v>
      </c>
      <c r="P593" t="s">
        <v>657</v>
      </c>
      <c r="Q593">
        <v>1</v>
      </c>
      <c r="X593">
        <v>0.5</v>
      </c>
      <c r="Y593">
        <v>31.49</v>
      </c>
      <c r="Z593">
        <v>0</v>
      </c>
      <c r="AA593">
        <v>0</v>
      </c>
      <c r="AB593">
        <v>0</v>
      </c>
      <c r="AC593">
        <v>0</v>
      </c>
      <c r="AD593">
        <v>1</v>
      </c>
      <c r="AE593">
        <v>0</v>
      </c>
      <c r="AF593" t="s">
        <v>164</v>
      </c>
      <c r="AG593">
        <v>1</v>
      </c>
      <c r="AH593">
        <v>3</v>
      </c>
      <c r="AI593">
        <v>-1</v>
      </c>
      <c r="AJ593" t="s">
        <v>3</v>
      </c>
      <c r="AK593">
        <v>0</v>
      </c>
      <c r="AL593">
        <v>0</v>
      </c>
      <c r="AM593">
        <v>0</v>
      </c>
      <c r="AN593">
        <v>0</v>
      </c>
      <c r="AO593">
        <v>0</v>
      </c>
      <c r="AP593">
        <v>0</v>
      </c>
      <c r="AQ593">
        <v>0</v>
      </c>
      <c r="AR593">
        <v>0</v>
      </c>
    </row>
    <row r="594" spans="1:44" x14ac:dyDescent="0.2">
      <c r="A594">
        <f>ROW(Source!A724)</f>
        <v>724</v>
      </c>
      <c r="B594">
        <v>1474097141</v>
      </c>
      <c r="C594">
        <v>1472041238</v>
      </c>
      <c r="D594">
        <v>1441819193</v>
      </c>
      <c r="E594">
        <v>15514512</v>
      </c>
      <c r="F594">
        <v>1</v>
      </c>
      <c r="G594">
        <v>15514512</v>
      </c>
      <c r="H594">
        <v>1</v>
      </c>
      <c r="I594" t="s">
        <v>648</v>
      </c>
      <c r="J594" t="s">
        <v>3</v>
      </c>
      <c r="K594" t="s">
        <v>649</v>
      </c>
      <c r="L594">
        <v>1191</v>
      </c>
      <c r="N594">
        <v>1013</v>
      </c>
      <c r="O594" t="s">
        <v>650</v>
      </c>
      <c r="P594" t="s">
        <v>650</v>
      </c>
      <c r="Q594">
        <v>1</v>
      </c>
      <c r="X594">
        <v>10</v>
      </c>
      <c r="Y594">
        <v>0</v>
      </c>
      <c r="Z594">
        <v>0</v>
      </c>
      <c r="AA594">
        <v>0</v>
      </c>
      <c r="AB594">
        <v>0</v>
      </c>
      <c r="AC594">
        <v>0</v>
      </c>
      <c r="AD594">
        <v>1</v>
      </c>
      <c r="AE594">
        <v>1</v>
      </c>
      <c r="AF594" t="s">
        <v>3</v>
      </c>
      <c r="AG594">
        <v>10</v>
      </c>
      <c r="AH594">
        <v>3</v>
      </c>
      <c r="AI594">
        <v>-1</v>
      </c>
      <c r="AJ594" t="s">
        <v>3</v>
      </c>
      <c r="AK594">
        <v>0</v>
      </c>
      <c r="AL594">
        <v>0</v>
      </c>
      <c r="AM594">
        <v>0</v>
      </c>
      <c r="AN594">
        <v>0</v>
      </c>
      <c r="AO594">
        <v>0</v>
      </c>
      <c r="AP594">
        <v>0</v>
      </c>
      <c r="AQ594">
        <v>0</v>
      </c>
      <c r="AR594">
        <v>0</v>
      </c>
    </row>
    <row r="595" spans="1:44" x14ac:dyDescent="0.2">
      <c r="A595">
        <f>ROW(Source!A724)</f>
        <v>724</v>
      </c>
      <c r="B595">
        <v>1474097142</v>
      </c>
      <c r="C595">
        <v>1472041238</v>
      </c>
      <c r="D595">
        <v>1441836237</v>
      </c>
      <c r="E595">
        <v>1</v>
      </c>
      <c r="F595">
        <v>1</v>
      </c>
      <c r="G595">
        <v>15514512</v>
      </c>
      <c r="H595">
        <v>3</v>
      </c>
      <c r="I595" t="s">
        <v>784</v>
      </c>
      <c r="J595" t="s">
        <v>785</v>
      </c>
      <c r="K595" t="s">
        <v>786</v>
      </c>
      <c r="L595">
        <v>1346</v>
      </c>
      <c r="N595">
        <v>1009</v>
      </c>
      <c r="O595" t="s">
        <v>657</v>
      </c>
      <c r="P595" t="s">
        <v>657</v>
      </c>
      <c r="Q595">
        <v>1</v>
      </c>
      <c r="X595">
        <v>0.06</v>
      </c>
      <c r="Y595">
        <v>375.16</v>
      </c>
      <c r="Z595">
        <v>0</v>
      </c>
      <c r="AA595">
        <v>0</v>
      </c>
      <c r="AB595">
        <v>0</v>
      </c>
      <c r="AC595">
        <v>0</v>
      </c>
      <c r="AD595">
        <v>1</v>
      </c>
      <c r="AE595">
        <v>0</v>
      </c>
      <c r="AF595" t="s">
        <v>3</v>
      </c>
      <c r="AG595">
        <v>0.06</v>
      </c>
      <c r="AH595">
        <v>3</v>
      </c>
      <c r="AI595">
        <v>-1</v>
      </c>
      <c r="AJ595" t="s">
        <v>3</v>
      </c>
      <c r="AK595">
        <v>0</v>
      </c>
      <c r="AL595">
        <v>0</v>
      </c>
      <c r="AM595">
        <v>0</v>
      </c>
      <c r="AN595">
        <v>0</v>
      </c>
      <c r="AO595">
        <v>0</v>
      </c>
      <c r="AP595">
        <v>0</v>
      </c>
      <c r="AQ595">
        <v>0</v>
      </c>
      <c r="AR595">
        <v>0</v>
      </c>
    </row>
    <row r="596" spans="1:44" x14ac:dyDescent="0.2">
      <c r="A596">
        <f>ROW(Source!A725)</f>
        <v>725</v>
      </c>
      <c r="B596">
        <v>1474097143</v>
      </c>
      <c r="C596">
        <v>1472041245</v>
      </c>
      <c r="D596">
        <v>1441819193</v>
      </c>
      <c r="E596">
        <v>15514512</v>
      </c>
      <c r="F596">
        <v>1</v>
      </c>
      <c r="G596">
        <v>15514512</v>
      </c>
      <c r="H596">
        <v>1</v>
      </c>
      <c r="I596" t="s">
        <v>648</v>
      </c>
      <c r="J596" t="s">
        <v>3</v>
      </c>
      <c r="K596" t="s">
        <v>649</v>
      </c>
      <c r="L596">
        <v>1191</v>
      </c>
      <c r="N596">
        <v>1013</v>
      </c>
      <c r="O596" t="s">
        <v>650</v>
      </c>
      <c r="P596" t="s">
        <v>650</v>
      </c>
      <c r="Q596">
        <v>1</v>
      </c>
      <c r="X596">
        <v>0.33</v>
      </c>
      <c r="Y596">
        <v>0</v>
      </c>
      <c r="Z596">
        <v>0</v>
      </c>
      <c r="AA596">
        <v>0</v>
      </c>
      <c r="AB596">
        <v>0</v>
      </c>
      <c r="AC596">
        <v>0</v>
      </c>
      <c r="AD596">
        <v>1</v>
      </c>
      <c r="AE596">
        <v>1</v>
      </c>
      <c r="AF596" t="s">
        <v>3</v>
      </c>
      <c r="AG596">
        <v>0.33</v>
      </c>
      <c r="AH596">
        <v>3</v>
      </c>
      <c r="AI596">
        <v>-1</v>
      </c>
      <c r="AJ596" t="s">
        <v>3</v>
      </c>
      <c r="AK596">
        <v>0</v>
      </c>
      <c r="AL596">
        <v>0</v>
      </c>
      <c r="AM596">
        <v>0</v>
      </c>
      <c r="AN596">
        <v>0</v>
      </c>
      <c r="AO596">
        <v>0</v>
      </c>
      <c r="AP596">
        <v>0</v>
      </c>
      <c r="AQ596">
        <v>0</v>
      </c>
      <c r="AR596">
        <v>0</v>
      </c>
    </row>
    <row r="597" spans="1:44" x14ac:dyDescent="0.2">
      <c r="A597">
        <f>ROW(Source!A726)</f>
        <v>726</v>
      </c>
      <c r="B597">
        <v>1474097144</v>
      </c>
      <c r="C597">
        <v>1472041249</v>
      </c>
      <c r="D597">
        <v>1441819193</v>
      </c>
      <c r="E597">
        <v>15514512</v>
      </c>
      <c r="F597">
        <v>1</v>
      </c>
      <c r="G597">
        <v>15514512</v>
      </c>
      <c r="H597">
        <v>1</v>
      </c>
      <c r="I597" t="s">
        <v>648</v>
      </c>
      <c r="J597" t="s">
        <v>3</v>
      </c>
      <c r="K597" t="s">
        <v>649</v>
      </c>
      <c r="L597">
        <v>1191</v>
      </c>
      <c r="N597">
        <v>1013</v>
      </c>
      <c r="O597" t="s">
        <v>650</v>
      </c>
      <c r="P597" t="s">
        <v>650</v>
      </c>
      <c r="Q597">
        <v>1</v>
      </c>
      <c r="X597">
        <v>10</v>
      </c>
      <c r="Y597">
        <v>0</v>
      </c>
      <c r="Z597">
        <v>0</v>
      </c>
      <c r="AA597">
        <v>0</v>
      </c>
      <c r="AB597">
        <v>0</v>
      </c>
      <c r="AC597">
        <v>0</v>
      </c>
      <c r="AD597">
        <v>1</v>
      </c>
      <c r="AE597">
        <v>1</v>
      </c>
      <c r="AF597" t="s">
        <v>3</v>
      </c>
      <c r="AG597">
        <v>10</v>
      </c>
      <c r="AH597">
        <v>3</v>
      </c>
      <c r="AI597">
        <v>-1</v>
      </c>
      <c r="AJ597" t="s">
        <v>3</v>
      </c>
      <c r="AK597">
        <v>0</v>
      </c>
      <c r="AL597">
        <v>0</v>
      </c>
      <c r="AM597">
        <v>0</v>
      </c>
      <c r="AN597">
        <v>0</v>
      </c>
      <c r="AO597">
        <v>0</v>
      </c>
      <c r="AP597">
        <v>0</v>
      </c>
      <c r="AQ597">
        <v>0</v>
      </c>
      <c r="AR597">
        <v>0</v>
      </c>
    </row>
    <row r="598" spans="1:44" x14ac:dyDescent="0.2">
      <c r="A598">
        <f>ROW(Source!A726)</f>
        <v>726</v>
      </c>
      <c r="B598">
        <v>1474097145</v>
      </c>
      <c r="C598">
        <v>1472041249</v>
      </c>
      <c r="D598">
        <v>1441836237</v>
      </c>
      <c r="E598">
        <v>1</v>
      </c>
      <c r="F598">
        <v>1</v>
      </c>
      <c r="G598">
        <v>15514512</v>
      </c>
      <c r="H598">
        <v>3</v>
      </c>
      <c r="I598" t="s">
        <v>784</v>
      </c>
      <c r="J598" t="s">
        <v>785</v>
      </c>
      <c r="K598" t="s">
        <v>786</v>
      </c>
      <c r="L598">
        <v>1346</v>
      </c>
      <c r="N598">
        <v>1009</v>
      </c>
      <c r="O598" t="s">
        <v>657</v>
      </c>
      <c r="P598" t="s">
        <v>657</v>
      </c>
      <c r="Q598">
        <v>1</v>
      </c>
      <c r="X598">
        <v>0.06</v>
      </c>
      <c r="Y598">
        <v>375.16</v>
      </c>
      <c r="Z598">
        <v>0</v>
      </c>
      <c r="AA598">
        <v>0</v>
      </c>
      <c r="AB598">
        <v>0</v>
      </c>
      <c r="AC598">
        <v>0</v>
      </c>
      <c r="AD598">
        <v>1</v>
      </c>
      <c r="AE598">
        <v>0</v>
      </c>
      <c r="AF598" t="s">
        <v>3</v>
      </c>
      <c r="AG598">
        <v>0.06</v>
      </c>
      <c r="AH598">
        <v>3</v>
      </c>
      <c r="AI598">
        <v>-1</v>
      </c>
      <c r="AJ598" t="s">
        <v>3</v>
      </c>
      <c r="AK598">
        <v>0</v>
      </c>
      <c r="AL598">
        <v>0</v>
      </c>
      <c r="AM598">
        <v>0</v>
      </c>
      <c r="AN598">
        <v>0</v>
      </c>
      <c r="AO598">
        <v>0</v>
      </c>
      <c r="AP598">
        <v>0</v>
      </c>
      <c r="AQ598">
        <v>0</v>
      </c>
      <c r="AR598">
        <v>0</v>
      </c>
    </row>
    <row r="599" spans="1:44" x14ac:dyDescent="0.2">
      <c r="A599">
        <f>ROW(Source!A727)</f>
        <v>727</v>
      </c>
      <c r="B599">
        <v>1474097146</v>
      </c>
      <c r="C599">
        <v>1472041256</v>
      </c>
      <c r="D599">
        <v>1441819193</v>
      </c>
      <c r="E599">
        <v>15514512</v>
      </c>
      <c r="F599">
        <v>1</v>
      </c>
      <c r="G599">
        <v>15514512</v>
      </c>
      <c r="H599">
        <v>1</v>
      </c>
      <c r="I599" t="s">
        <v>648</v>
      </c>
      <c r="J599" t="s">
        <v>3</v>
      </c>
      <c r="K599" t="s">
        <v>649</v>
      </c>
      <c r="L599">
        <v>1191</v>
      </c>
      <c r="N599">
        <v>1013</v>
      </c>
      <c r="O599" t="s">
        <v>650</v>
      </c>
      <c r="P599" t="s">
        <v>650</v>
      </c>
      <c r="Q599">
        <v>1</v>
      </c>
      <c r="X599">
        <v>0.33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1</v>
      </c>
      <c r="AE599">
        <v>1</v>
      </c>
      <c r="AF599" t="s">
        <v>3</v>
      </c>
      <c r="AG599">
        <v>0.33</v>
      </c>
      <c r="AH599">
        <v>3</v>
      </c>
      <c r="AI599">
        <v>-1</v>
      </c>
      <c r="AJ599" t="s">
        <v>3</v>
      </c>
      <c r="AK599">
        <v>0</v>
      </c>
      <c r="AL599">
        <v>0</v>
      </c>
      <c r="AM599">
        <v>0</v>
      </c>
      <c r="AN599">
        <v>0</v>
      </c>
      <c r="AO599">
        <v>0</v>
      </c>
      <c r="AP599">
        <v>0</v>
      </c>
      <c r="AQ599">
        <v>0</v>
      </c>
      <c r="AR599">
        <v>0</v>
      </c>
    </row>
    <row r="600" spans="1:44" x14ac:dyDescent="0.2">
      <c r="A600">
        <f>ROW(Source!A764)</f>
        <v>764</v>
      </c>
      <c r="B600">
        <v>1474097147</v>
      </c>
      <c r="C600">
        <v>1472041261</v>
      </c>
      <c r="D600">
        <v>1441819193</v>
      </c>
      <c r="E600">
        <v>15514512</v>
      </c>
      <c r="F600">
        <v>1</v>
      </c>
      <c r="G600">
        <v>15514512</v>
      </c>
      <c r="H600">
        <v>1</v>
      </c>
      <c r="I600" t="s">
        <v>648</v>
      </c>
      <c r="J600" t="s">
        <v>3</v>
      </c>
      <c r="K600" t="s">
        <v>649</v>
      </c>
      <c r="L600">
        <v>1191</v>
      </c>
      <c r="N600">
        <v>1013</v>
      </c>
      <c r="O600" t="s">
        <v>650</v>
      </c>
      <c r="P600" t="s">
        <v>650</v>
      </c>
      <c r="Q600">
        <v>1</v>
      </c>
      <c r="X600">
        <v>11.1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1</v>
      </c>
      <c r="AE600">
        <v>1</v>
      </c>
      <c r="AF600" t="s">
        <v>3</v>
      </c>
      <c r="AG600">
        <v>11.1</v>
      </c>
      <c r="AH600">
        <v>3</v>
      </c>
      <c r="AI600">
        <v>-1</v>
      </c>
      <c r="AJ600" t="s">
        <v>3</v>
      </c>
      <c r="AK600">
        <v>0</v>
      </c>
      <c r="AL600">
        <v>0</v>
      </c>
      <c r="AM600">
        <v>0</v>
      </c>
      <c r="AN600">
        <v>0</v>
      </c>
      <c r="AO600">
        <v>0</v>
      </c>
      <c r="AP600">
        <v>0</v>
      </c>
      <c r="AQ600">
        <v>0</v>
      </c>
      <c r="AR600">
        <v>0</v>
      </c>
    </row>
    <row r="601" spans="1:44" x14ac:dyDescent="0.2">
      <c r="A601">
        <f>ROW(Source!A764)</f>
        <v>764</v>
      </c>
      <c r="B601">
        <v>1474097148</v>
      </c>
      <c r="C601">
        <v>1472041261</v>
      </c>
      <c r="D601">
        <v>1441836237</v>
      </c>
      <c r="E601">
        <v>1</v>
      </c>
      <c r="F601">
        <v>1</v>
      </c>
      <c r="G601">
        <v>15514512</v>
      </c>
      <c r="H601">
        <v>3</v>
      </c>
      <c r="I601" t="s">
        <v>784</v>
      </c>
      <c r="J601" t="s">
        <v>785</v>
      </c>
      <c r="K601" t="s">
        <v>786</v>
      </c>
      <c r="L601">
        <v>1346</v>
      </c>
      <c r="N601">
        <v>1009</v>
      </c>
      <c r="O601" t="s">
        <v>657</v>
      </c>
      <c r="P601" t="s">
        <v>657</v>
      </c>
      <c r="Q601">
        <v>1</v>
      </c>
      <c r="X601">
        <v>0.06</v>
      </c>
      <c r="Y601">
        <v>375.16</v>
      </c>
      <c r="Z601">
        <v>0</v>
      </c>
      <c r="AA601">
        <v>0</v>
      </c>
      <c r="AB601">
        <v>0</v>
      </c>
      <c r="AC601">
        <v>0</v>
      </c>
      <c r="AD601">
        <v>1</v>
      </c>
      <c r="AE601">
        <v>0</v>
      </c>
      <c r="AF601" t="s">
        <v>3</v>
      </c>
      <c r="AG601">
        <v>0.06</v>
      </c>
      <c r="AH601">
        <v>3</v>
      </c>
      <c r="AI601">
        <v>-1</v>
      </c>
      <c r="AJ601" t="s">
        <v>3</v>
      </c>
      <c r="AK601">
        <v>0</v>
      </c>
      <c r="AL601">
        <v>0</v>
      </c>
      <c r="AM601">
        <v>0</v>
      </c>
      <c r="AN601">
        <v>0</v>
      </c>
      <c r="AO601">
        <v>0</v>
      </c>
      <c r="AP601">
        <v>0</v>
      </c>
      <c r="AQ601">
        <v>0</v>
      </c>
      <c r="AR601">
        <v>0</v>
      </c>
    </row>
    <row r="602" spans="1:44" x14ac:dyDescent="0.2">
      <c r="A602">
        <f>ROW(Source!A765)</f>
        <v>765</v>
      </c>
      <c r="B602">
        <v>1474097149</v>
      </c>
      <c r="C602">
        <v>1472041268</v>
      </c>
      <c r="D602">
        <v>1441819193</v>
      </c>
      <c r="E602">
        <v>15514512</v>
      </c>
      <c r="F602">
        <v>1</v>
      </c>
      <c r="G602">
        <v>15514512</v>
      </c>
      <c r="H602">
        <v>1</v>
      </c>
      <c r="I602" t="s">
        <v>648</v>
      </c>
      <c r="J602" t="s">
        <v>3</v>
      </c>
      <c r="K602" t="s">
        <v>649</v>
      </c>
      <c r="L602">
        <v>1191</v>
      </c>
      <c r="N602">
        <v>1013</v>
      </c>
      <c r="O602" t="s">
        <v>650</v>
      </c>
      <c r="P602" t="s">
        <v>650</v>
      </c>
      <c r="Q602">
        <v>1</v>
      </c>
      <c r="X602">
        <v>0.38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1</v>
      </c>
      <c r="AE602">
        <v>1</v>
      </c>
      <c r="AF602" t="s">
        <v>3</v>
      </c>
      <c r="AG602">
        <v>0.38</v>
      </c>
      <c r="AH602">
        <v>3</v>
      </c>
      <c r="AI602">
        <v>-1</v>
      </c>
      <c r="AJ602" t="s">
        <v>3</v>
      </c>
      <c r="AK602">
        <v>0</v>
      </c>
      <c r="AL602">
        <v>0</v>
      </c>
      <c r="AM602">
        <v>0</v>
      </c>
      <c r="AN602">
        <v>0</v>
      </c>
      <c r="AO602">
        <v>0</v>
      </c>
      <c r="AP602">
        <v>0</v>
      </c>
      <c r="AQ602">
        <v>0</v>
      </c>
      <c r="AR602">
        <v>0</v>
      </c>
    </row>
    <row r="603" spans="1:44" x14ac:dyDescent="0.2">
      <c r="A603">
        <f>ROW(Source!A766)</f>
        <v>766</v>
      </c>
      <c r="B603">
        <v>1474097150</v>
      </c>
      <c r="C603">
        <v>1472041272</v>
      </c>
      <c r="D603">
        <v>1441819193</v>
      </c>
      <c r="E603">
        <v>15514512</v>
      </c>
      <c r="F603">
        <v>1</v>
      </c>
      <c r="G603">
        <v>15514512</v>
      </c>
      <c r="H603">
        <v>1</v>
      </c>
      <c r="I603" t="s">
        <v>648</v>
      </c>
      <c r="J603" t="s">
        <v>3</v>
      </c>
      <c r="K603" t="s">
        <v>649</v>
      </c>
      <c r="L603">
        <v>1191</v>
      </c>
      <c r="N603">
        <v>1013</v>
      </c>
      <c r="O603" t="s">
        <v>650</v>
      </c>
      <c r="P603" t="s">
        <v>650</v>
      </c>
      <c r="Q603">
        <v>1</v>
      </c>
      <c r="X603">
        <v>0.96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1</v>
      </c>
      <c r="AE603">
        <v>1</v>
      </c>
      <c r="AF603" t="s">
        <v>3</v>
      </c>
      <c r="AG603">
        <v>0.96</v>
      </c>
      <c r="AH603">
        <v>3</v>
      </c>
      <c r="AI603">
        <v>-1</v>
      </c>
      <c r="AJ603" t="s">
        <v>3</v>
      </c>
      <c r="AK603">
        <v>0</v>
      </c>
      <c r="AL603">
        <v>0</v>
      </c>
      <c r="AM603">
        <v>0</v>
      </c>
      <c r="AN603">
        <v>0</v>
      </c>
      <c r="AO603">
        <v>0</v>
      </c>
      <c r="AP603">
        <v>0</v>
      </c>
      <c r="AQ603">
        <v>0</v>
      </c>
      <c r="AR603">
        <v>0</v>
      </c>
    </row>
    <row r="604" spans="1:44" x14ac:dyDescent="0.2">
      <c r="A604">
        <f>ROW(Source!A766)</f>
        <v>766</v>
      </c>
      <c r="B604">
        <v>1474097151</v>
      </c>
      <c r="C604">
        <v>1472041272</v>
      </c>
      <c r="D604">
        <v>1441836235</v>
      </c>
      <c r="E604">
        <v>1</v>
      </c>
      <c r="F604">
        <v>1</v>
      </c>
      <c r="G604">
        <v>15514512</v>
      </c>
      <c r="H604">
        <v>3</v>
      </c>
      <c r="I604" t="s">
        <v>683</v>
      </c>
      <c r="J604" t="s">
        <v>684</v>
      </c>
      <c r="K604" t="s">
        <v>685</v>
      </c>
      <c r="L604">
        <v>1346</v>
      </c>
      <c r="N604">
        <v>1009</v>
      </c>
      <c r="O604" t="s">
        <v>657</v>
      </c>
      <c r="P604" t="s">
        <v>657</v>
      </c>
      <c r="Q604">
        <v>1</v>
      </c>
      <c r="X604">
        <v>0.05</v>
      </c>
      <c r="Y604">
        <v>31.49</v>
      </c>
      <c r="Z604">
        <v>0</v>
      </c>
      <c r="AA604">
        <v>0</v>
      </c>
      <c r="AB604">
        <v>0</v>
      </c>
      <c r="AC604">
        <v>0</v>
      </c>
      <c r="AD604">
        <v>1</v>
      </c>
      <c r="AE604">
        <v>0</v>
      </c>
      <c r="AF604" t="s">
        <v>3</v>
      </c>
      <c r="AG604">
        <v>0.05</v>
      </c>
      <c r="AH604">
        <v>3</v>
      </c>
      <c r="AI604">
        <v>-1</v>
      </c>
      <c r="AJ604" t="s">
        <v>3</v>
      </c>
      <c r="AK604">
        <v>0</v>
      </c>
      <c r="AL604">
        <v>0</v>
      </c>
      <c r="AM604">
        <v>0</v>
      </c>
      <c r="AN604">
        <v>0</v>
      </c>
      <c r="AO604">
        <v>0</v>
      </c>
      <c r="AP604">
        <v>0</v>
      </c>
      <c r="AQ604">
        <v>0</v>
      </c>
      <c r="AR604">
        <v>0</v>
      </c>
    </row>
    <row r="605" spans="1:44" x14ac:dyDescent="0.2">
      <c r="A605">
        <f>ROW(Source!A766)</f>
        <v>766</v>
      </c>
      <c r="B605">
        <v>1474097152</v>
      </c>
      <c r="C605">
        <v>1472041272</v>
      </c>
      <c r="D605">
        <v>1441834628</v>
      </c>
      <c r="E605">
        <v>1</v>
      </c>
      <c r="F605">
        <v>1</v>
      </c>
      <c r="G605">
        <v>15514512</v>
      </c>
      <c r="H605">
        <v>3</v>
      </c>
      <c r="I605" t="s">
        <v>714</v>
      </c>
      <c r="J605" t="s">
        <v>715</v>
      </c>
      <c r="K605" t="s">
        <v>716</v>
      </c>
      <c r="L605">
        <v>1348</v>
      </c>
      <c r="N605">
        <v>1009</v>
      </c>
      <c r="O605" t="s">
        <v>675</v>
      </c>
      <c r="P605" t="s">
        <v>675</v>
      </c>
      <c r="Q605">
        <v>1000</v>
      </c>
      <c r="X605">
        <v>3.0000000000000001E-5</v>
      </c>
      <c r="Y605">
        <v>73951.73</v>
      </c>
      <c r="Z605">
        <v>0</v>
      </c>
      <c r="AA605">
        <v>0</v>
      </c>
      <c r="AB605">
        <v>0</v>
      </c>
      <c r="AC605">
        <v>0</v>
      </c>
      <c r="AD605">
        <v>1</v>
      </c>
      <c r="AE605">
        <v>0</v>
      </c>
      <c r="AF605" t="s">
        <v>3</v>
      </c>
      <c r="AG605">
        <v>3.0000000000000001E-5</v>
      </c>
      <c r="AH605">
        <v>3</v>
      </c>
      <c r="AI605">
        <v>-1</v>
      </c>
      <c r="AJ605" t="s">
        <v>3</v>
      </c>
      <c r="AK605">
        <v>0</v>
      </c>
      <c r="AL605">
        <v>0</v>
      </c>
      <c r="AM605">
        <v>0</v>
      </c>
      <c r="AN605">
        <v>0</v>
      </c>
      <c r="AO605">
        <v>0</v>
      </c>
      <c r="AP605">
        <v>0</v>
      </c>
      <c r="AQ605">
        <v>0</v>
      </c>
      <c r="AR605">
        <v>0</v>
      </c>
    </row>
    <row r="606" spans="1:44" x14ac:dyDescent="0.2">
      <c r="A606">
        <f>ROW(Source!A766)</f>
        <v>766</v>
      </c>
      <c r="B606">
        <v>1474097153</v>
      </c>
      <c r="C606">
        <v>1472041272</v>
      </c>
      <c r="D606">
        <v>1441834669</v>
      </c>
      <c r="E606">
        <v>1</v>
      </c>
      <c r="F606">
        <v>1</v>
      </c>
      <c r="G606">
        <v>15514512</v>
      </c>
      <c r="H606">
        <v>3</v>
      </c>
      <c r="I606" t="s">
        <v>790</v>
      </c>
      <c r="J606" t="s">
        <v>791</v>
      </c>
      <c r="K606" t="s">
        <v>792</v>
      </c>
      <c r="L606">
        <v>1346</v>
      </c>
      <c r="N606">
        <v>1009</v>
      </c>
      <c r="O606" t="s">
        <v>657</v>
      </c>
      <c r="P606" t="s">
        <v>657</v>
      </c>
      <c r="Q606">
        <v>1</v>
      </c>
      <c r="X606">
        <v>0.01</v>
      </c>
      <c r="Y606">
        <v>222.28</v>
      </c>
      <c r="Z606">
        <v>0</v>
      </c>
      <c r="AA606">
        <v>0</v>
      </c>
      <c r="AB606">
        <v>0</v>
      </c>
      <c r="AC606">
        <v>0</v>
      </c>
      <c r="AD606">
        <v>1</v>
      </c>
      <c r="AE606">
        <v>0</v>
      </c>
      <c r="AF606" t="s">
        <v>3</v>
      </c>
      <c r="AG606">
        <v>0.01</v>
      </c>
      <c r="AH606">
        <v>3</v>
      </c>
      <c r="AI606">
        <v>-1</v>
      </c>
      <c r="AJ606" t="s">
        <v>3</v>
      </c>
      <c r="AK606">
        <v>0</v>
      </c>
      <c r="AL606">
        <v>0</v>
      </c>
      <c r="AM606">
        <v>0</v>
      </c>
      <c r="AN606">
        <v>0</v>
      </c>
      <c r="AO606">
        <v>0</v>
      </c>
      <c r="AP606">
        <v>0</v>
      </c>
      <c r="AQ606">
        <v>0</v>
      </c>
      <c r="AR606">
        <v>0</v>
      </c>
    </row>
    <row r="607" spans="1:44" x14ac:dyDescent="0.2">
      <c r="A607">
        <f>ROW(Source!A803)</f>
        <v>803</v>
      </c>
      <c r="B607">
        <v>1474097154</v>
      </c>
      <c r="C607">
        <v>1472041286</v>
      </c>
      <c r="D607">
        <v>1441819193</v>
      </c>
      <c r="E607">
        <v>15514512</v>
      </c>
      <c r="F607">
        <v>1</v>
      </c>
      <c r="G607">
        <v>15514512</v>
      </c>
      <c r="H607">
        <v>1</v>
      </c>
      <c r="I607" t="s">
        <v>648</v>
      </c>
      <c r="J607" t="s">
        <v>3</v>
      </c>
      <c r="K607" t="s">
        <v>649</v>
      </c>
      <c r="L607">
        <v>1191</v>
      </c>
      <c r="N607">
        <v>1013</v>
      </c>
      <c r="O607" t="s">
        <v>650</v>
      </c>
      <c r="P607" t="s">
        <v>650</v>
      </c>
      <c r="Q607">
        <v>1</v>
      </c>
      <c r="X607">
        <v>6</v>
      </c>
      <c r="Y607">
        <v>0</v>
      </c>
      <c r="Z607">
        <v>0</v>
      </c>
      <c r="AA607">
        <v>0</v>
      </c>
      <c r="AB607">
        <v>0</v>
      </c>
      <c r="AC607">
        <v>0</v>
      </c>
      <c r="AD607">
        <v>1</v>
      </c>
      <c r="AE607">
        <v>1</v>
      </c>
      <c r="AF607" t="s">
        <v>3</v>
      </c>
      <c r="AG607">
        <v>6</v>
      </c>
      <c r="AH607">
        <v>3</v>
      </c>
      <c r="AI607">
        <v>-1</v>
      </c>
      <c r="AJ607" t="s">
        <v>3</v>
      </c>
      <c r="AK607">
        <v>0</v>
      </c>
      <c r="AL607">
        <v>0</v>
      </c>
      <c r="AM607">
        <v>0</v>
      </c>
      <c r="AN607">
        <v>0</v>
      </c>
      <c r="AO607">
        <v>0</v>
      </c>
      <c r="AP607">
        <v>0</v>
      </c>
      <c r="AQ607">
        <v>0</v>
      </c>
      <c r="AR607">
        <v>0</v>
      </c>
    </row>
    <row r="608" spans="1:44" x14ac:dyDescent="0.2">
      <c r="A608">
        <f>ROW(Source!A803)</f>
        <v>803</v>
      </c>
      <c r="B608">
        <v>1474097156</v>
      </c>
      <c r="C608">
        <v>1472041286</v>
      </c>
      <c r="D608">
        <v>1441836237</v>
      </c>
      <c r="E608">
        <v>1</v>
      </c>
      <c r="F608">
        <v>1</v>
      </c>
      <c r="G608">
        <v>15514512</v>
      </c>
      <c r="H608">
        <v>3</v>
      </c>
      <c r="I608" t="s">
        <v>784</v>
      </c>
      <c r="J608" t="s">
        <v>785</v>
      </c>
      <c r="K608" t="s">
        <v>786</v>
      </c>
      <c r="L608">
        <v>1346</v>
      </c>
      <c r="N608">
        <v>1009</v>
      </c>
      <c r="O608" t="s">
        <v>657</v>
      </c>
      <c r="P608" t="s">
        <v>657</v>
      </c>
      <c r="Q608">
        <v>1</v>
      </c>
      <c r="X608">
        <v>0.12</v>
      </c>
      <c r="Y608">
        <v>375.16</v>
      </c>
      <c r="Z608">
        <v>0</v>
      </c>
      <c r="AA608">
        <v>0</v>
      </c>
      <c r="AB608">
        <v>0</v>
      </c>
      <c r="AC608">
        <v>0</v>
      </c>
      <c r="AD608">
        <v>1</v>
      </c>
      <c r="AE608">
        <v>0</v>
      </c>
      <c r="AF608" t="s">
        <v>3</v>
      </c>
      <c r="AG608">
        <v>0.12</v>
      </c>
      <c r="AH608">
        <v>3</v>
      </c>
      <c r="AI608">
        <v>-1</v>
      </c>
      <c r="AJ608" t="s">
        <v>3</v>
      </c>
      <c r="AK608">
        <v>0</v>
      </c>
      <c r="AL608">
        <v>0</v>
      </c>
      <c r="AM608">
        <v>0</v>
      </c>
      <c r="AN608">
        <v>0</v>
      </c>
      <c r="AO608">
        <v>0</v>
      </c>
      <c r="AP608">
        <v>0</v>
      </c>
      <c r="AQ608">
        <v>0</v>
      </c>
      <c r="AR608">
        <v>0</v>
      </c>
    </row>
    <row r="609" spans="1:44" x14ac:dyDescent="0.2">
      <c r="A609">
        <f>ROW(Source!A803)</f>
        <v>803</v>
      </c>
      <c r="B609">
        <v>1474097157</v>
      </c>
      <c r="C609">
        <v>1472041286</v>
      </c>
      <c r="D609">
        <v>1441836235</v>
      </c>
      <c r="E609">
        <v>1</v>
      </c>
      <c r="F609">
        <v>1</v>
      </c>
      <c r="G609">
        <v>15514512</v>
      </c>
      <c r="H609">
        <v>3</v>
      </c>
      <c r="I609" t="s">
        <v>683</v>
      </c>
      <c r="J609" t="s">
        <v>684</v>
      </c>
      <c r="K609" t="s">
        <v>685</v>
      </c>
      <c r="L609">
        <v>1346</v>
      </c>
      <c r="N609">
        <v>1009</v>
      </c>
      <c r="O609" t="s">
        <v>657</v>
      </c>
      <c r="P609" t="s">
        <v>657</v>
      </c>
      <c r="Q609">
        <v>1</v>
      </c>
      <c r="X609">
        <v>0.04</v>
      </c>
      <c r="Y609">
        <v>31.49</v>
      </c>
      <c r="Z609">
        <v>0</v>
      </c>
      <c r="AA609">
        <v>0</v>
      </c>
      <c r="AB609">
        <v>0</v>
      </c>
      <c r="AC609">
        <v>0</v>
      </c>
      <c r="AD609">
        <v>1</v>
      </c>
      <c r="AE609">
        <v>0</v>
      </c>
      <c r="AF609" t="s">
        <v>3</v>
      </c>
      <c r="AG609">
        <v>0.04</v>
      </c>
      <c r="AH609">
        <v>3</v>
      </c>
      <c r="AI609">
        <v>-1</v>
      </c>
      <c r="AJ609" t="s">
        <v>3</v>
      </c>
      <c r="AK609">
        <v>0</v>
      </c>
      <c r="AL609">
        <v>0</v>
      </c>
      <c r="AM609">
        <v>0</v>
      </c>
      <c r="AN609">
        <v>0</v>
      </c>
      <c r="AO609">
        <v>0</v>
      </c>
      <c r="AP609">
        <v>0</v>
      </c>
      <c r="AQ609">
        <v>0</v>
      </c>
      <c r="AR609">
        <v>0</v>
      </c>
    </row>
    <row r="610" spans="1:44" x14ac:dyDescent="0.2">
      <c r="A610">
        <f>ROW(Source!A803)</f>
        <v>803</v>
      </c>
      <c r="B610">
        <v>1474097155</v>
      </c>
      <c r="C610">
        <v>1472041286</v>
      </c>
      <c r="D610">
        <v>1441822228</v>
      </c>
      <c r="E610">
        <v>15514512</v>
      </c>
      <c r="F610">
        <v>1</v>
      </c>
      <c r="G610">
        <v>15514512</v>
      </c>
      <c r="H610">
        <v>3</v>
      </c>
      <c r="I610" t="s">
        <v>714</v>
      </c>
      <c r="J610" t="s">
        <v>3</v>
      </c>
      <c r="K610" t="s">
        <v>716</v>
      </c>
      <c r="L610">
        <v>1346</v>
      </c>
      <c r="N610">
        <v>1009</v>
      </c>
      <c r="O610" t="s">
        <v>657</v>
      </c>
      <c r="P610" t="s">
        <v>657</v>
      </c>
      <c r="Q610">
        <v>1</v>
      </c>
      <c r="X610">
        <v>0.09</v>
      </c>
      <c r="Y610">
        <v>73.951729999999998</v>
      </c>
      <c r="Z610">
        <v>0</v>
      </c>
      <c r="AA610">
        <v>0</v>
      </c>
      <c r="AB610">
        <v>0</v>
      </c>
      <c r="AC610">
        <v>0</v>
      </c>
      <c r="AD610">
        <v>1</v>
      </c>
      <c r="AE610">
        <v>0</v>
      </c>
      <c r="AF610" t="s">
        <v>3</v>
      </c>
      <c r="AG610">
        <v>0.09</v>
      </c>
      <c r="AH610">
        <v>3</v>
      </c>
      <c r="AI610">
        <v>-1</v>
      </c>
      <c r="AJ610" t="s">
        <v>3</v>
      </c>
      <c r="AK610">
        <v>0</v>
      </c>
      <c r="AL610">
        <v>0</v>
      </c>
      <c r="AM610">
        <v>0</v>
      </c>
      <c r="AN610">
        <v>0</v>
      </c>
      <c r="AO610">
        <v>0</v>
      </c>
      <c r="AP610">
        <v>0</v>
      </c>
      <c r="AQ610">
        <v>0</v>
      </c>
      <c r="AR610">
        <v>0</v>
      </c>
    </row>
    <row r="611" spans="1:44" x14ac:dyDescent="0.2">
      <c r="A611">
        <f>ROW(Source!A803)</f>
        <v>803</v>
      </c>
      <c r="B611">
        <v>1474097158</v>
      </c>
      <c r="C611">
        <v>1472041286</v>
      </c>
      <c r="D611">
        <v>1441834920</v>
      </c>
      <c r="E611">
        <v>1</v>
      </c>
      <c r="F611">
        <v>1</v>
      </c>
      <c r="G611">
        <v>15514512</v>
      </c>
      <c r="H611">
        <v>3</v>
      </c>
      <c r="I611" t="s">
        <v>787</v>
      </c>
      <c r="J611" t="s">
        <v>788</v>
      </c>
      <c r="K611" t="s">
        <v>789</v>
      </c>
      <c r="L611">
        <v>1346</v>
      </c>
      <c r="N611">
        <v>1009</v>
      </c>
      <c r="O611" t="s">
        <v>657</v>
      </c>
      <c r="P611" t="s">
        <v>657</v>
      </c>
      <c r="Q611">
        <v>1</v>
      </c>
      <c r="X611">
        <v>0.02</v>
      </c>
      <c r="Y611">
        <v>106.87</v>
      </c>
      <c r="Z611">
        <v>0</v>
      </c>
      <c r="AA611">
        <v>0</v>
      </c>
      <c r="AB611">
        <v>0</v>
      </c>
      <c r="AC611">
        <v>0</v>
      </c>
      <c r="AD611">
        <v>1</v>
      </c>
      <c r="AE611">
        <v>0</v>
      </c>
      <c r="AF611" t="s">
        <v>3</v>
      </c>
      <c r="AG611">
        <v>0.02</v>
      </c>
      <c r="AH611">
        <v>3</v>
      </c>
      <c r="AI611">
        <v>-1</v>
      </c>
      <c r="AJ611" t="s">
        <v>3</v>
      </c>
      <c r="AK611">
        <v>0</v>
      </c>
      <c r="AL611">
        <v>0</v>
      </c>
      <c r="AM611">
        <v>0</v>
      </c>
      <c r="AN611">
        <v>0</v>
      </c>
      <c r="AO611">
        <v>0</v>
      </c>
      <c r="AP611">
        <v>0</v>
      </c>
      <c r="AQ611">
        <v>0</v>
      </c>
      <c r="AR611">
        <v>0</v>
      </c>
    </row>
    <row r="612" spans="1:44" x14ac:dyDescent="0.2">
      <c r="A612">
        <f>ROW(Source!A804)</f>
        <v>804</v>
      </c>
      <c r="B612">
        <v>1474097159</v>
      </c>
      <c r="C612">
        <v>1472041302</v>
      </c>
      <c r="D612">
        <v>1441819193</v>
      </c>
      <c r="E612">
        <v>15514512</v>
      </c>
      <c r="F612">
        <v>1</v>
      </c>
      <c r="G612">
        <v>15514512</v>
      </c>
      <c r="H612">
        <v>1</v>
      </c>
      <c r="I612" t="s">
        <v>648</v>
      </c>
      <c r="J612" t="s">
        <v>3</v>
      </c>
      <c r="K612" t="s">
        <v>649</v>
      </c>
      <c r="L612">
        <v>1191</v>
      </c>
      <c r="N612">
        <v>1013</v>
      </c>
      <c r="O612" t="s">
        <v>650</v>
      </c>
      <c r="P612" t="s">
        <v>650</v>
      </c>
      <c r="Q612">
        <v>1</v>
      </c>
      <c r="X612">
        <v>0.2</v>
      </c>
      <c r="Y612">
        <v>0</v>
      </c>
      <c r="Z612">
        <v>0</v>
      </c>
      <c r="AA612">
        <v>0</v>
      </c>
      <c r="AB612">
        <v>0</v>
      </c>
      <c r="AC612">
        <v>0</v>
      </c>
      <c r="AD612">
        <v>1</v>
      </c>
      <c r="AE612">
        <v>1</v>
      </c>
      <c r="AF612" t="s">
        <v>290</v>
      </c>
      <c r="AG612">
        <v>0.60000000000000009</v>
      </c>
      <c r="AH612">
        <v>3</v>
      </c>
      <c r="AI612">
        <v>-1</v>
      </c>
      <c r="AJ612" t="s">
        <v>3</v>
      </c>
      <c r="AK612">
        <v>0</v>
      </c>
      <c r="AL612">
        <v>0</v>
      </c>
      <c r="AM612">
        <v>0</v>
      </c>
      <c r="AN612">
        <v>0</v>
      </c>
      <c r="AO612">
        <v>0</v>
      </c>
      <c r="AP612">
        <v>0</v>
      </c>
      <c r="AQ612">
        <v>0</v>
      </c>
      <c r="AR612">
        <v>0</v>
      </c>
    </row>
    <row r="613" spans="1:44" x14ac:dyDescent="0.2">
      <c r="A613">
        <f>ROW(Source!A804)</f>
        <v>804</v>
      </c>
      <c r="B613">
        <v>1474097161</v>
      </c>
      <c r="C613">
        <v>1472041302</v>
      </c>
      <c r="D613">
        <v>1441836235</v>
      </c>
      <c r="E613">
        <v>1</v>
      </c>
      <c r="F613">
        <v>1</v>
      </c>
      <c r="G613">
        <v>15514512</v>
      </c>
      <c r="H613">
        <v>3</v>
      </c>
      <c r="I613" t="s">
        <v>683</v>
      </c>
      <c r="J613" t="s">
        <v>684</v>
      </c>
      <c r="K613" t="s">
        <v>685</v>
      </c>
      <c r="L613">
        <v>1346</v>
      </c>
      <c r="N613">
        <v>1009</v>
      </c>
      <c r="O613" t="s">
        <v>657</v>
      </c>
      <c r="P613" t="s">
        <v>657</v>
      </c>
      <c r="Q613">
        <v>1</v>
      </c>
      <c r="X613">
        <v>0.01</v>
      </c>
      <c r="Y613">
        <v>31.49</v>
      </c>
      <c r="Z613">
        <v>0</v>
      </c>
      <c r="AA613">
        <v>0</v>
      </c>
      <c r="AB613">
        <v>0</v>
      </c>
      <c r="AC613">
        <v>0</v>
      </c>
      <c r="AD613">
        <v>1</v>
      </c>
      <c r="AE613">
        <v>0</v>
      </c>
      <c r="AF613" t="s">
        <v>290</v>
      </c>
      <c r="AG613">
        <v>0.03</v>
      </c>
      <c r="AH613">
        <v>3</v>
      </c>
      <c r="AI613">
        <v>-1</v>
      </c>
      <c r="AJ613" t="s">
        <v>3</v>
      </c>
      <c r="AK613">
        <v>0</v>
      </c>
      <c r="AL613">
        <v>0</v>
      </c>
      <c r="AM613">
        <v>0</v>
      </c>
      <c r="AN613">
        <v>0</v>
      </c>
      <c r="AO613">
        <v>0</v>
      </c>
      <c r="AP613">
        <v>0</v>
      </c>
      <c r="AQ613">
        <v>0</v>
      </c>
      <c r="AR613">
        <v>0</v>
      </c>
    </row>
    <row r="614" spans="1:44" x14ac:dyDescent="0.2">
      <c r="A614">
        <f>ROW(Source!A804)</f>
        <v>804</v>
      </c>
      <c r="B614">
        <v>1474097160</v>
      </c>
      <c r="C614">
        <v>1472041302</v>
      </c>
      <c r="D614">
        <v>1441822228</v>
      </c>
      <c r="E614">
        <v>15514512</v>
      </c>
      <c r="F614">
        <v>1</v>
      </c>
      <c r="G614">
        <v>15514512</v>
      </c>
      <c r="H614">
        <v>3</v>
      </c>
      <c r="I614" t="s">
        <v>714</v>
      </c>
      <c r="J614" t="s">
        <v>3</v>
      </c>
      <c r="K614" t="s">
        <v>716</v>
      </c>
      <c r="L614">
        <v>1346</v>
      </c>
      <c r="N614">
        <v>1009</v>
      </c>
      <c r="O614" t="s">
        <v>657</v>
      </c>
      <c r="P614" t="s">
        <v>657</v>
      </c>
      <c r="Q614">
        <v>1</v>
      </c>
      <c r="X614">
        <v>0.01</v>
      </c>
      <c r="Y614">
        <v>73.951729999999998</v>
      </c>
      <c r="Z614">
        <v>0</v>
      </c>
      <c r="AA614">
        <v>0</v>
      </c>
      <c r="AB614">
        <v>0</v>
      </c>
      <c r="AC614">
        <v>0</v>
      </c>
      <c r="AD614">
        <v>1</v>
      </c>
      <c r="AE614">
        <v>0</v>
      </c>
      <c r="AF614" t="s">
        <v>290</v>
      </c>
      <c r="AG614">
        <v>0.03</v>
      </c>
      <c r="AH614">
        <v>3</v>
      </c>
      <c r="AI614">
        <v>-1</v>
      </c>
      <c r="AJ614" t="s">
        <v>3</v>
      </c>
      <c r="AK614">
        <v>0</v>
      </c>
      <c r="AL614">
        <v>0</v>
      </c>
      <c r="AM614">
        <v>0</v>
      </c>
      <c r="AN614">
        <v>0</v>
      </c>
      <c r="AO614">
        <v>0</v>
      </c>
      <c r="AP614">
        <v>0</v>
      </c>
      <c r="AQ614">
        <v>0</v>
      </c>
      <c r="AR614">
        <v>0</v>
      </c>
    </row>
    <row r="615" spans="1:44" x14ac:dyDescent="0.2">
      <c r="A615">
        <f>ROW(Source!A805)</f>
        <v>805</v>
      </c>
      <c r="B615">
        <v>1474097162</v>
      </c>
      <c r="C615">
        <v>1472041312</v>
      </c>
      <c r="D615">
        <v>1441819193</v>
      </c>
      <c r="E615">
        <v>15514512</v>
      </c>
      <c r="F615">
        <v>1</v>
      </c>
      <c r="G615">
        <v>15514512</v>
      </c>
      <c r="H615">
        <v>1</v>
      </c>
      <c r="I615" t="s">
        <v>648</v>
      </c>
      <c r="J615" t="s">
        <v>3</v>
      </c>
      <c r="K615" t="s">
        <v>649</v>
      </c>
      <c r="L615">
        <v>1191</v>
      </c>
      <c r="N615">
        <v>1013</v>
      </c>
      <c r="O615" t="s">
        <v>650</v>
      </c>
      <c r="P615" t="s">
        <v>650</v>
      </c>
      <c r="Q615">
        <v>1</v>
      </c>
      <c r="X615">
        <v>1.2</v>
      </c>
      <c r="Y615">
        <v>0</v>
      </c>
      <c r="Z615">
        <v>0</v>
      </c>
      <c r="AA615">
        <v>0</v>
      </c>
      <c r="AB615">
        <v>0</v>
      </c>
      <c r="AC615">
        <v>0</v>
      </c>
      <c r="AD615">
        <v>1</v>
      </c>
      <c r="AE615">
        <v>1</v>
      </c>
      <c r="AF615" t="s">
        <v>164</v>
      </c>
      <c r="AG615">
        <v>2.4</v>
      </c>
      <c r="AH615">
        <v>3</v>
      </c>
      <c r="AI615">
        <v>-1</v>
      </c>
      <c r="AJ615" t="s">
        <v>3</v>
      </c>
      <c r="AK615">
        <v>0</v>
      </c>
      <c r="AL615">
        <v>0</v>
      </c>
      <c r="AM615">
        <v>0</v>
      </c>
      <c r="AN615">
        <v>0</v>
      </c>
      <c r="AO615">
        <v>0</v>
      </c>
      <c r="AP615">
        <v>0</v>
      </c>
      <c r="AQ615">
        <v>0</v>
      </c>
      <c r="AR615">
        <v>0</v>
      </c>
    </row>
    <row r="616" spans="1:44" x14ac:dyDescent="0.2">
      <c r="A616">
        <f>ROW(Source!A805)</f>
        <v>805</v>
      </c>
      <c r="B616">
        <v>1474097163</v>
      </c>
      <c r="C616">
        <v>1472041312</v>
      </c>
      <c r="D616">
        <v>1441836235</v>
      </c>
      <c r="E616">
        <v>1</v>
      </c>
      <c r="F616">
        <v>1</v>
      </c>
      <c r="G616">
        <v>15514512</v>
      </c>
      <c r="H616">
        <v>3</v>
      </c>
      <c r="I616" t="s">
        <v>683</v>
      </c>
      <c r="J616" t="s">
        <v>684</v>
      </c>
      <c r="K616" t="s">
        <v>685</v>
      </c>
      <c r="L616">
        <v>1346</v>
      </c>
      <c r="N616">
        <v>1009</v>
      </c>
      <c r="O616" t="s">
        <v>657</v>
      </c>
      <c r="P616" t="s">
        <v>657</v>
      </c>
      <c r="Q616">
        <v>1</v>
      </c>
      <c r="X616">
        <v>0.01</v>
      </c>
      <c r="Y616">
        <v>31.49</v>
      </c>
      <c r="Z616">
        <v>0</v>
      </c>
      <c r="AA616">
        <v>0</v>
      </c>
      <c r="AB616">
        <v>0</v>
      </c>
      <c r="AC616">
        <v>0</v>
      </c>
      <c r="AD616">
        <v>1</v>
      </c>
      <c r="AE616">
        <v>0</v>
      </c>
      <c r="AF616" t="s">
        <v>164</v>
      </c>
      <c r="AG616">
        <v>0.02</v>
      </c>
      <c r="AH616">
        <v>3</v>
      </c>
      <c r="AI616">
        <v>-1</v>
      </c>
      <c r="AJ616" t="s">
        <v>3</v>
      </c>
      <c r="AK616">
        <v>0</v>
      </c>
      <c r="AL616">
        <v>0</v>
      </c>
      <c r="AM616">
        <v>0</v>
      </c>
      <c r="AN616">
        <v>0</v>
      </c>
      <c r="AO616">
        <v>0</v>
      </c>
      <c r="AP616">
        <v>0</v>
      </c>
      <c r="AQ616">
        <v>0</v>
      </c>
      <c r="AR616">
        <v>0</v>
      </c>
    </row>
    <row r="617" spans="1:44" x14ac:dyDescent="0.2">
      <c r="A617">
        <f>ROW(Source!A805)</f>
        <v>805</v>
      </c>
      <c r="B617">
        <v>1474097164</v>
      </c>
      <c r="C617">
        <v>1472041312</v>
      </c>
      <c r="D617">
        <v>1441834628</v>
      </c>
      <c r="E617">
        <v>1</v>
      </c>
      <c r="F617">
        <v>1</v>
      </c>
      <c r="G617">
        <v>15514512</v>
      </c>
      <c r="H617">
        <v>3</v>
      </c>
      <c r="I617" t="s">
        <v>714</v>
      </c>
      <c r="J617" t="s">
        <v>715</v>
      </c>
      <c r="K617" t="s">
        <v>716</v>
      </c>
      <c r="L617">
        <v>1348</v>
      </c>
      <c r="N617">
        <v>1009</v>
      </c>
      <c r="O617" t="s">
        <v>675</v>
      </c>
      <c r="P617" t="s">
        <v>675</v>
      </c>
      <c r="Q617">
        <v>1000</v>
      </c>
      <c r="X617">
        <v>2.0000000000000002E-5</v>
      </c>
      <c r="Y617">
        <v>73951.73</v>
      </c>
      <c r="Z617">
        <v>0</v>
      </c>
      <c r="AA617">
        <v>0</v>
      </c>
      <c r="AB617">
        <v>0</v>
      </c>
      <c r="AC617">
        <v>0</v>
      </c>
      <c r="AD617">
        <v>1</v>
      </c>
      <c r="AE617">
        <v>0</v>
      </c>
      <c r="AF617" t="s">
        <v>164</v>
      </c>
      <c r="AG617">
        <v>4.0000000000000003E-5</v>
      </c>
      <c r="AH617">
        <v>3</v>
      </c>
      <c r="AI617">
        <v>-1</v>
      </c>
      <c r="AJ617" t="s">
        <v>3</v>
      </c>
      <c r="AK617">
        <v>0</v>
      </c>
      <c r="AL617">
        <v>0</v>
      </c>
      <c r="AM617">
        <v>0</v>
      </c>
      <c r="AN617">
        <v>0</v>
      </c>
      <c r="AO617">
        <v>0</v>
      </c>
      <c r="AP617">
        <v>0</v>
      </c>
      <c r="AQ617">
        <v>0</v>
      </c>
      <c r="AR617">
        <v>0</v>
      </c>
    </row>
    <row r="618" spans="1:44" x14ac:dyDescent="0.2">
      <c r="A618">
        <f>ROW(Source!A806)</f>
        <v>806</v>
      </c>
      <c r="B618">
        <v>1474097165</v>
      </c>
      <c r="C618">
        <v>1472041322</v>
      </c>
      <c r="D618">
        <v>1441819193</v>
      </c>
      <c r="E618">
        <v>15514512</v>
      </c>
      <c r="F618">
        <v>1</v>
      </c>
      <c r="G618">
        <v>15514512</v>
      </c>
      <c r="H618">
        <v>1</v>
      </c>
      <c r="I618" t="s">
        <v>648</v>
      </c>
      <c r="J618" t="s">
        <v>3</v>
      </c>
      <c r="K618" t="s">
        <v>649</v>
      </c>
      <c r="L618">
        <v>1191</v>
      </c>
      <c r="N618">
        <v>1013</v>
      </c>
      <c r="O618" t="s">
        <v>650</v>
      </c>
      <c r="P618" t="s">
        <v>650</v>
      </c>
      <c r="Q618">
        <v>1</v>
      </c>
      <c r="X618">
        <v>0.04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1</v>
      </c>
      <c r="AE618">
        <v>1</v>
      </c>
      <c r="AF618" t="s">
        <v>164</v>
      </c>
      <c r="AG618">
        <v>0.08</v>
      </c>
      <c r="AH618">
        <v>3</v>
      </c>
      <c r="AI618">
        <v>-1</v>
      </c>
      <c r="AJ618" t="s">
        <v>3</v>
      </c>
      <c r="AK618">
        <v>0</v>
      </c>
      <c r="AL618">
        <v>0</v>
      </c>
      <c r="AM618">
        <v>0</v>
      </c>
      <c r="AN618">
        <v>0</v>
      </c>
      <c r="AO618">
        <v>0</v>
      </c>
      <c r="AP618">
        <v>0</v>
      </c>
      <c r="AQ618">
        <v>0</v>
      </c>
      <c r="AR618">
        <v>0</v>
      </c>
    </row>
    <row r="619" spans="1:44" x14ac:dyDescent="0.2">
      <c r="A619">
        <f>ROW(Source!A806)</f>
        <v>806</v>
      </c>
      <c r="B619">
        <v>1474097166</v>
      </c>
      <c r="C619">
        <v>1472041322</v>
      </c>
      <c r="D619">
        <v>1441836235</v>
      </c>
      <c r="E619">
        <v>1</v>
      </c>
      <c r="F619">
        <v>1</v>
      </c>
      <c r="G619">
        <v>15514512</v>
      </c>
      <c r="H619">
        <v>3</v>
      </c>
      <c r="I619" t="s">
        <v>683</v>
      </c>
      <c r="J619" t="s">
        <v>684</v>
      </c>
      <c r="K619" t="s">
        <v>685</v>
      </c>
      <c r="L619">
        <v>1346</v>
      </c>
      <c r="N619">
        <v>1009</v>
      </c>
      <c r="O619" t="s">
        <v>657</v>
      </c>
      <c r="P619" t="s">
        <v>657</v>
      </c>
      <c r="Q619">
        <v>1</v>
      </c>
      <c r="X619">
        <v>2.0000000000000001E-4</v>
      </c>
      <c r="Y619">
        <v>31.49</v>
      </c>
      <c r="Z619">
        <v>0</v>
      </c>
      <c r="AA619">
        <v>0</v>
      </c>
      <c r="AB619">
        <v>0</v>
      </c>
      <c r="AC619">
        <v>0</v>
      </c>
      <c r="AD619">
        <v>1</v>
      </c>
      <c r="AE619">
        <v>0</v>
      </c>
      <c r="AF619" t="s">
        <v>164</v>
      </c>
      <c r="AG619">
        <v>4.0000000000000002E-4</v>
      </c>
      <c r="AH619">
        <v>3</v>
      </c>
      <c r="AI619">
        <v>-1</v>
      </c>
      <c r="AJ619" t="s">
        <v>3</v>
      </c>
      <c r="AK619">
        <v>0</v>
      </c>
      <c r="AL619">
        <v>0</v>
      </c>
      <c r="AM619">
        <v>0</v>
      </c>
      <c r="AN619">
        <v>0</v>
      </c>
      <c r="AO619">
        <v>0</v>
      </c>
      <c r="AP619">
        <v>0</v>
      </c>
      <c r="AQ619">
        <v>0</v>
      </c>
      <c r="AR619">
        <v>0</v>
      </c>
    </row>
    <row r="620" spans="1:44" x14ac:dyDescent="0.2">
      <c r="A620">
        <f>ROW(Source!A807)</f>
        <v>807</v>
      </c>
      <c r="B620">
        <v>1474097167</v>
      </c>
      <c r="C620">
        <v>1472041329</v>
      </c>
      <c r="D620">
        <v>1441819193</v>
      </c>
      <c r="E620">
        <v>15514512</v>
      </c>
      <c r="F620">
        <v>1</v>
      </c>
      <c r="G620">
        <v>15514512</v>
      </c>
      <c r="H620">
        <v>1</v>
      </c>
      <c r="I620" t="s">
        <v>648</v>
      </c>
      <c r="J620" t="s">
        <v>3</v>
      </c>
      <c r="K620" t="s">
        <v>649</v>
      </c>
      <c r="L620">
        <v>1191</v>
      </c>
      <c r="N620">
        <v>1013</v>
      </c>
      <c r="O620" t="s">
        <v>650</v>
      </c>
      <c r="P620" t="s">
        <v>650</v>
      </c>
      <c r="Q620">
        <v>1</v>
      </c>
      <c r="X620">
        <v>0.3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1</v>
      </c>
      <c r="AE620">
        <v>1</v>
      </c>
      <c r="AF620" t="s">
        <v>3</v>
      </c>
      <c r="AG620">
        <v>0.3</v>
      </c>
      <c r="AH620">
        <v>3</v>
      </c>
      <c r="AI620">
        <v>-1</v>
      </c>
      <c r="AJ620" t="s">
        <v>3</v>
      </c>
      <c r="AK620">
        <v>0</v>
      </c>
      <c r="AL620">
        <v>0</v>
      </c>
      <c r="AM620">
        <v>0</v>
      </c>
      <c r="AN620">
        <v>0</v>
      </c>
      <c r="AO620">
        <v>0</v>
      </c>
      <c r="AP620">
        <v>0</v>
      </c>
      <c r="AQ620">
        <v>0</v>
      </c>
      <c r="AR620">
        <v>0</v>
      </c>
    </row>
    <row r="621" spans="1:44" x14ac:dyDescent="0.2">
      <c r="A621">
        <f>ROW(Source!A808)</f>
        <v>808</v>
      </c>
      <c r="B621">
        <v>1474097168</v>
      </c>
      <c r="C621">
        <v>1472041333</v>
      </c>
      <c r="D621">
        <v>1441819193</v>
      </c>
      <c r="E621">
        <v>15514512</v>
      </c>
      <c r="F621">
        <v>1</v>
      </c>
      <c r="G621">
        <v>15514512</v>
      </c>
      <c r="H621">
        <v>1</v>
      </c>
      <c r="I621" t="s">
        <v>648</v>
      </c>
      <c r="J621" t="s">
        <v>3</v>
      </c>
      <c r="K621" t="s">
        <v>649</v>
      </c>
      <c r="L621">
        <v>1191</v>
      </c>
      <c r="N621">
        <v>1013</v>
      </c>
      <c r="O621" t="s">
        <v>650</v>
      </c>
      <c r="P621" t="s">
        <v>650</v>
      </c>
      <c r="Q621">
        <v>1</v>
      </c>
      <c r="X621">
        <v>2.4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1</v>
      </c>
      <c r="AE621">
        <v>1</v>
      </c>
      <c r="AF621" t="s">
        <v>3</v>
      </c>
      <c r="AG621">
        <v>2.4</v>
      </c>
      <c r="AH621">
        <v>3</v>
      </c>
      <c r="AI621">
        <v>-1</v>
      </c>
      <c r="AJ621" t="s">
        <v>3</v>
      </c>
      <c r="AK621">
        <v>0</v>
      </c>
      <c r="AL621">
        <v>0</v>
      </c>
      <c r="AM621">
        <v>0</v>
      </c>
      <c r="AN621">
        <v>0</v>
      </c>
      <c r="AO621">
        <v>0</v>
      </c>
      <c r="AP621">
        <v>0</v>
      </c>
      <c r="AQ621">
        <v>0</v>
      </c>
      <c r="AR621">
        <v>0</v>
      </c>
    </row>
    <row r="622" spans="1:44" x14ac:dyDescent="0.2">
      <c r="A622">
        <f>ROW(Source!A808)</f>
        <v>808</v>
      </c>
      <c r="B622">
        <v>1474097169</v>
      </c>
      <c r="C622">
        <v>1472041333</v>
      </c>
      <c r="D622">
        <v>1441836235</v>
      </c>
      <c r="E622">
        <v>1</v>
      </c>
      <c r="F622">
        <v>1</v>
      </c>
      <c r="G622">
        <v>15514512</v>
      </c>
      <c r="H622">
        <v>3</v>
      </c>
      <c r="I622" t="s">
        <v>683</v>
      </c>
      <c r="J622" t="s">
        <v>684</v>
      </c>
      <c r="K622" t="s">
        <v>685</v>
      </c>
      <c r="L622">
        <v>1346</v>
      </c>
      <c r="N622">
        <v>1009</v>
      </c>
      <c r="O622" t="s">
        <v>657</v>
      </c>
      <c r="P622" t="s">
        <v>657</v>
      </c>
      <c r="Q622">
        <v>1</v>
      </c>
      <c r="X622">
        <v>0.5</v>
      </c>
      <c r="Y622">
        <v>31.49</v>
      </c>
      <c r="Z622">
        <v>0</v>
      </c>
      <c r="AA622">
        <v>0</v>
      </c>
      <c r="AB622">
        <v>0</v>
      </c>
      <c r="AC622">
        <v>0</v>
      </c>
      <c r="AD622">
        <v>1</v>
      </c>
      <c r="AE622">
        <v>0</v>
      </c>
      <c r="AF622" t="s">
        <v>3</v>
      </c>
      <c r="AG622">
        <v>0.5</v>
      </c>
      <c r="AH622">
        <v>3</v>
      </c>
      <c r="AI622">
        <v>-1</v>
      </c>
      <c r="AJ622" t="s">
        <v>3</v>
      </c>
      <c r="AK622">
        <v>0</v>
      </c>
      <c r="AL622">
        <v>0</v>
      </c>
      <c r="AM622">
        <v>0</v>
      </c>
      <c r="AN622">
        <v>0</v>
      </c>
      <c r="AO622">
        <v>0</v>
      </c>
      <c r="AP622">
        <v>0</v>
      </c>
      <c r="AQ622">
        <v>0</v>
      </c>
      <c r="AR622">
        <v>0</v>
      </c>
    </row>
    <row r="623" spans="1:44" x14ac:dyDescent="0.2">
      <c r="A623">
        <f>ROW(Source!A808)</f>
        <v>808</v>
      </c>
      <c r="B623">
        <v>1474097170</v>
      </c>
      <c r="C623">
        <v>1472041333</v>
      </c>
      <c r="D623">
        <v>1441834658</v>
      </c>
      <c r="E623">
        <v>1</v>
      </c>
      <c r="F623">
        <v>1</v>
      </c>
      <c r="G623">
        <v>15514512</v>
      </c>
      <c r="H623">
        <v>3</v>
      </c>
      <c r="I623" t="s">
        <v>793</v>
      </c>
      <c r="J623" t="s">
        <v>794</v>
      </c>
      <c r="K623" t="s">
        <v>795</v>
      </c>
      <c r="L623">
        <v>1348</v>
      </c>
      <c r="N623">
        <v>1009</v>
      </c>
      <c r="O623" t="s">
        <v>675</v>
      </c>
      <c r="P623" t="s">
        <v>675</v>
      </c>
      <c r="Q623">
        <v>1000</v>
      </c>
      <c r="X623">
        <v>3.4000000000000002E-4</v>
      </c>
      <c r="Y623">
        <v>190945.35</v>
      </c>
      <c r="Z623">
        <v>0</v>
      </c>
      <c r="AA623">
        <v>0</v>
      </c>
      <c r="AB623">
        <v>0</v>
      </c>
      <c r="AC623">
        <v>0</v>
      </c>
      <c r="AD623">
        <v>1</v>
      </c>
      <c r="AE623">
        <v>0</v>
      </c>
      <c r="AF623" t="s">
        <v>3</v>
      </c>
      <c r="AG623">
        <v>3.4000000000000002E-4</v>
      </c>
      <c r="AH623">
        <v>3</v>
      </c>
      <c r="AI623">
        <v>-1</v>
      </c>
      <c r="AJ623" t="s">
        <v>3</v>
      </c>
      <c r="AK623">
        <v>0</v>
      </c>
      <c r="AL623">
        <v>0</v>
      </c>
      <c r="AM623">
        <v>0</v>
      </c>
      <c r="AN623">
        <v>0</v>
      </c>
      <c r="AO623">
        <v>0</v>
      </c>
      <c r="AP623">
        <v>0</v>
      </c>
      <c r="AQ623">
        <v>0</v>
      </c>
      <c r="AR623">
        <v>0</v>
      </c>
    </row>
    <row r="624" spans="1:44" x14ac:dyDescent="0.2">
      <c r="A624">
        <f>ROW(Source!A809)</f>
        <v>809</v>
      </c>
      <c r="B624">
        <v>1474097171</v>
      </c>
      <c r="C624">
        <v>1472041343</v>
      </c>
      <c r="D624">
        <v>1441819193</v>
      </c>
      <c r="E624">
        <v>15514512</v>
      </c>
      <c r="F624">
        <v>1</v>
      </c>
      <c r="G624">
        <v>15514512</v>
      </c>
      <c r="H624">
        <v>1</v>
      </c>
      <c r="I624" t="s">
        <v>648</v>
      </c>
      <c r="J624" t="s">
        <v>3</v>
      </c>
      <c r="K624" t="s">
        <v>649</v>
      </c>
      <c r="L624">
        <v>1191</v>
      </c>
      <c r="N624">
        <v>1013</v>
      </c>
      <c r="O624" t="s">
        <v>650</v>
      </c>
      <c r="P624" t="s">
        <v>650</v>
      </c>
      <c r="Q624">
        <v>1</v>
      </c>
      <c r="X624">
        <v>0.3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1</v>
      </c>
      <c r="AE624">
        <v>1</v>
      </c>
      <c r="AF624" t="s">
        <v>3</v>
      </c>
      <c r="AG624">
        <v>0.3</v>
      </c>
      <c r="AH624">
        <v>3</v>
      </c>
      <c r="AI624">
        <v>-1</v>
      </c>
      <c r="AJ624" t="s">
        <v>3</v>
      </c>
      <c r="AK624">
        <v>0</v>
      </c>
      <c r="AL624">
        <v>0</v>
      </c>
      <c r="AM624">
        <v>0</v>
      </c>
      <c r="AN624">
        <v>0</v>
      </c>
      <c r="AO624">
        <v>0</v>
      </c>
      <c r="AP624">
        <v>0</v>
      </c>
      <c r="AQ624">
        <v>0</v>
      </c>
      <c r="AR624">
        <v>0</v>
      </c>
    </row>
    <row r="625" spans="1:44" x14ac:dyDescent="0.2">
      <c r="A625">
        <f>ROW(Source!A809)</f>
        <v>809</v>
      </c>
      <c r="B625">
        <v>1474097172</v>
      </c>
      <c r="C625">
        <v>1472041343</v>
      </c>
      <c r="D625">
        <v>1441836235</v>
      </c>
      <c r="E625">
        <v>1</v>
      </c>
      <c r="F625">
        <v>1</v>
      </c>
      <c r="G625">
        <v>15514512</v>
      </c>
      <c r="H625">
        <v>3</v>
      </c>
      <c r="I625" t="s">
        <v>683</v>
      </c>
      <c r="J625" t="s">
        <v>684</v>
      </c>
      <c r="K625" t="s">
        <v>685</v>
      </c>
      <c r="L625">
        <v>1346</v>
      </c>
      <c r="N625">
        <v>1009</v>
      </c>
      <c r="O625" t="s">
        <v>657</v>
      </c>
      <c r="P625" t="s">
        <v>657</v>
      </c>
      <c r="Q625">
        <v>1</v>
      </c>
      <c r="X625">
        <v>0.02</v>
      </c>
      <c r="Y625">
        <v>31.49</v>
      </c>
      <c r="Z625">
        <v>0</v>
      </c>
      <c r="AA625">
        <v>0</v>
      </c>
      <c r="AB625">
        <v>0</v>
      </c>
      <c r="AC625">
        <v>0</v>
      </c>
      <c r="AD625">
        <v>1</v>
      </c>
      <c r="AE625">
        <v>0</v>
      </c>
      <c r="AF625" t="s">
        <v>3</v>
      </c>
      <c r="AG625">
        <v>0.02</v>
      </c>
      <c r="AH625">
        <v>3</v>
      </c>
      <c r="AI625">
        <v>-1</v>
      </c>
      <c r="AJ625" t="s">
        <v>3</v>
      </c>
      <c r="AK625">
        <v>0</v>
      </c>
      <c r="AL625">
        <v>0</v>
      </c>
      <c r="AM625">
        <v>0</v>
      </c>
      <c r="AN625">
        <v>0</v>
      </c>
      <c r="AO625">
        <v>0</v>
      </c>
      <c r="AP625">
        <v>0</v>
      </c>
      <c r="AQ625">
        <v>0</v>
      </c>
      <c r="AR625">
        <v>0</v>
      </c>
    </row>
    <row r="626" spans="1:44" x14ac:dyDescent="0.2">
      <c r="A626">
        <f>ROW(Source!A810)</f>
        <v>810</v>
      </c>
      <c r="B626">
        <v>1474097173</v>
      </c>
      <c r="C626">
        <v>1472041350</v>
      </c>
      <c r="D626">
        <v>1441819193</v>
      </c>
      <c r="E626">
        <v>15514512</v>
      </c>
      <c r="F626">
        <v>1</v>
      </c>
      <c r="G626">
        <v>15514512</v>
      </c>
      <c r="H626">
        <v>1</v>
      </c>
      <c r="I626" t="s">
        <v>648</v>
      </c>
      <c r="J626" t="s">
        <v>3</v>
      </c>
      <c r="K626" t="s">
        <v>649</v>
      </c>
      <c r="L626">
        <v>1191</v>
      </c>
      <c r="N626">
        <v>1013</v>
      </c>
      <c r="O626" t="s">
        <v>650</v>
      </c>
      <c r="P626" t="s">
        <v>650</v>
      </c>
      <c r="Q626">
        <v>1</v>
      </c>
      <c r="X626">
        <v>0.18</v>
      </c>
      <c r="Y626">
        <v>0</v>
      </c>
      <c r="Z626">
        <v>0</v>
      </c>
      <c r="AA626">
        <v>0</v>
      </c>
      <c r="AB626">
        <v>0</v>
      </c>
      <c r="AC626">
        <v>0</v>
      </c>
      <c r="AD626">
        <v>1</v>
      </c>
      <c r="AE626">
        <v>1</v>
      </c>
      <c r="AF626" t="s">
        <v>3</v>
      </c>
      <c r="AG626">
        <v>0.18</v>
      </c>
      <c r="AH626">
        <v>3</v>
      </c>
      <c r="AI626">
        <v>-1</v>
      </c>
      <c r="AJ626" t="s">
        <v>3</v>
      </c>
      <c r="AK626">
        <v>0</v>
      </c>
      <c r="AL626">
        <v>0</v>
      </c>
      <c r="AM626">
        <v>0</v>
      </c>
      <c r="AN626">
        <v>0</v>
      </c>
      <c r="AO626">
        <v>0</v>
      </c>
      <c r="AP626">
        <v>0</v>
      </c>
      <c r="AQ626">
        <v>0</v>
      </c>
      <c r="AR626">
        <v>0</v>
      </c>
    </row>
    <row r="627" spans="1:44" x14ac:dyDescent="0.2">
      <c r="A627">
        <f>ROW(Source!A810)</f>
        <v>810</v>
      </c>
      <c r="B627">
        <v>1474097174</v>
      </c>
      <c r="C627">
        <v>1472041350</v>
      </c>
      <c r="D627">
        <v>1441836235</v>
      </c>
      <c r="E627">
        <v>1</v>
      </c>
      <c r="F627">
        <v>1</v>
      </c>
      <c r="G627">
        <v>15514512</v>
      </c>
      <c r="H627">
        <v>3</v>
      </c>
      <c r="I627" t="s">
        <v>683</v>
      </c>
      <c r="J627" t="s">
        <v>684</v>
      </c>
      <c r="K627" t="s">
        <v>685</v>
      </c>
      <c r="L627">
        <v>1346</v>
      </c>
      <c r="N627">
        <v>1009</v>
      </c>
      <c r="O627" t="s">
        <v>657</v>
      </c>
      <c r="P627" t="s">
        <v>657</v>
      </c>
      <c r="Q627">
        <v>1</v>
      </c>
      <c r="X627">
        <v>0.04</v>
      </c>
      <c r="Y627">
        <v>31.49</v>
      </c>
      <c r="Z627">
        <v>0</v>
      </c>
      <c r="AA627">
        <v>0</v>
      </c>
      <c r="AB627">
        <v>0</v>
      </c>
      <c r="AC627">
        <v>0</v>
      </c>
      <c r="AD627">
        <v>1</v>
      </c>
      <c r="AE627">
        <v>0</v>
      </c>
      <c r="AF627" t="s">
        <v>3</v>
      </c>
      <c r="AG627">
        <v>0.04</v>
      </c>
      <c r="AH627">
        <v>3</v>
      </c>
      <c r="AI627">
        <v>-1</v>
      </c>
      <c r="AJ627" t="s">
        <v>3</v>
      </c>
      <c r="AK627">
        <v>0</v>
      </c>
      <c r="AL627">
        <v>0</v>
      </c>
      <c r="AM627">
        <v>0</v>
      </c>
      <c r="AN627">
        <v>0</v>
      </c>
      <c r="AO627">
        <v>0</v>
      </c>
      <c r="AP627">
        <v>0</v>
      </c>
      <c r="AQ627">
        <v>0</v>
      </c>
      <c r="AR627">
        <v>0</v>
      </c>
    </row>
    <row r="628" spans="1:44" x14ac:dyDescent="0.2">
      <c r="A628">
        <f>ROW(Source!A812)</f>
        <v>812</v>
      </c>
      <c r="B628">
        <v>1474097175</v>
      </c>
      <c r="C628">
        <v>1472041358</v>
      </c>
      <c r="D628">
        <v>1441819193</v>
      </c>
      <c r="E628">
        <v>15514512</v>
      </c>
      <c r="F628">
        <v>1</v>
      </c>
      <c r="G628">
        <v>15514512</v>
      </c>
      <c r="H628">
        <v>1</v>
      </c>
      <c r="I628" t="s">
        <v>648</v>
      </c>
      <c r="J628" t="s">
        <v>3</v>
      </c>
      <c r="K628" t="s">
        <v>649</v>
      </c>
      <c r="L628">
        <v>1191</v>
      </c>
      <c r="N628">
        <v>1013</v>
      </c>
      <c r="O628" t="s">
        <v>650</v>
      </c>
      <c r="P628" t="s">
        <v>650</v>
      </c>
      <c r="Q628">
        <v>1</v>
      </c>
      <c r="X628">
        <v>10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1</v>
      </c>
      <c r="AE628">
        <v>1</v>
      </c>
      <c r="AF628" t="s">
        <v>3</v>
      </c>
      <c r="AG628">
        <v>10</v>
      </c>
      <c r="AH628">
        <v>3</v>
      </c>
      <c r="AI628">
        <v>-1</v>
      </c>
      <c r="AJ628" t="s">
        <v>3</v>
      </c>
      <c r="AK628">
        <v>0</v>
      </c>
      <c r="AL628">
        <v>0</v>
      </c>
      <c r="AM628">
        <v>0</v>
      </c>
      <c r="AN628">
        <v>0</v>
      </c>
      <c r="AO628">
        <v>0</v>
      </c>
      <c r="AP628">
        <v>0</v>
      </c>
      <c r="AQ628">
        <v>0</v>
      </c>
      <c r="AR628">
        <v>0</v>
      </c>
    </row>
    <row r="629" spans="1:44" x14ac:dyDescent="0.2">
      <c r="A629">
        <f>ROW(Source!A812)</f>
        <v>812</v>
      </c>
      <c r="B629">
        <v>1474097176</v>
      </c>
      <c r="C629">
        <v>1472041358</v>
      </c>
      <c r="D629">
        <v>1441836237</v>
      </c>
      <c r="E629">
        <v>1</v>
      </c>
      <c r="F629">
        <v>1</v>
      </c>
      <c r="G629">
        <v>15514512</v>
      </c>
      <c r="H629">
        <v>3</v>
      </c>
      <c r="I629" t="s">
        <v>784</v>
      </c>
      <c r="J629" t="s">
        <v>785</v>
      </c>
      <c r="K629" t="s">
        <v>786</v>
      </c>
      <c r="L629">
        <v>1346</v>
      </c>
      <c r="N629">
        <v>1009</v>
      </c>
      <c r="O629" t="s">
        <v>657</v>
      </c>
      <c r="P629" t="s">
        <v>657</v>
      </c>
      <c r="Q629">
        <v>1</v>
      </c>
      <c r="X629">
        <v>0.06</v>
      </c>
      <c r="Y629">
        <v>375.16</v>
      </c>
      <c r="Z629">
        <v>0</v>
      </c>
      <c r="AA629">
        <v>0</v>
      </c>
      <c r="AB629">
        <v>0</v>
      </c>
      <c r="AC629">
        <v>0</v>
      </c>
      <c r="AD629">
        <v>1</v>
      </c>
      <c r="AE629">
        <v>0</v>
      </c>
      <c r="AF629" t="s">
        <v>3</v>
      </c>
      <c r="AG629">
        <v>0.06</v>
      </c>
      <c r="AH629">
        <v>3</v>
      </c>
      <c r="AI629">
        <v>-1</v>
      </c>
      <c r="AJ629" t="s">
        <v>3</v>
      </c>
      <c r="AK629">
        <v>0</v>
      </c>
      <c r="AL629">
        <v>0</v>
      </c>
      <c r="AM629">
        <v>0</v>
      </c>
      <c r="AN629">
        <v>0</v>
      </c>
      <c r="AO629">
        <v>0</v>
      </c>
      <c r="AP629">
        <v>0</v>
      </c>
      <c r="AQ629">
        <v>0</v>
      </c>
      <c r="AR629">
        <v>0</v>
      </c>
    </row>
    <row r="630" spans="1:44" x14ac:dyDescent="0.2">
      <c r="A630">
        <f>ROW(Source!A813)</f>
        <v>813</v>
      </c>
      <c r="B630">
        <v>1474097177</v>
      </c>
      <c r="C630">
        <v>1472041365</v>
      </c>
      <c r="D630">
        <v>1441819193</v>
      </c>
      <c r="E630">
        <v>15514512</v>
      </c>
      <c r="F630">
        <v>1</v>
      </c>
      <c r="G630">
        <v>15514512</v>
      </c>
      <c r="H630">
        <v>1</v>
      </c>
      <c r="I630" t="s">
        <v>648</v>
      </c>
      <c r="J630" t="s">
        <v>3</v>
      </c>
      <c r="K630" t="s">
        <v>649</v>
      </c>
      <c r="L630">
        <v>1191</v>
      </c>
      <c r="N630">
        <v>1013</v>
      </c>
      <c r="O630" t="s">
        <v>650</v>
      </c>
      <c r="P630" t="s">
        <v>650</v>
      </c>
      <c r="Q630">
        <v>1</v>
      </c>
      <c r="X630">
        <v>0.33</v>
      </c>
      <c r="Y630">
        <v>0</v>
      </c>
      <c r="Z630">
        <v>0</v>
      </c>
      <c r="AA630">
        <v>0</v>
      </c>
      <c r="AB630">
        <v>0</v>
      </c>
      <c r="AC630">
        <v>0</v>
      </c>
      <c r="AD630">
        <v>1</v>
      </c>
      <c r="AE630">
        <v>1</v>
      </c>
      <c r="AF630" t="s">
        <v>3</v>
      </c>
      <c r="AG630">
        <v>0.33</v>
      </c>
      <c r="AH630">
        <v>3</v>
      </c>
      <c r="AI630">
        <v>-1</v>
      </c>
      <c r="AJ630" t="s">
        <v>3</v>
      </c>
      <c r="AK630">
        <v>0</v>
      </c>
      <c r="AL630">
        <v>0</v>
      </c>
      <c r="AM630">
        <v>0</v>
      </c>
      <c r="AN630">
        <v>0</v>
      </c>
      <c r="AO630">
        <v>0</v>
      </c>
      <c r="AP630">
        <v>0</v>
      </c>
      <c r="AQ630">
        <v>0</v>
      </c>
      <c r="AR630">
        <v>0</v>
      </c>
    </row>
    <row r="631" spans="1:44" x14ac:dyDescent="0.2">
      <c r="A631">
        <f>ROW(Source!A814)</f>
        <v>814</v>
      </c>
      <c r="B631">
        <v>1474097178</v>
      </c>
      <c r="C631">
        <v>1472041369</v>
      </c>
      <c r="D631">
        <v>1441819193</v>
      </c>
      <c r="E631">
        <v>15514512</v>
      </c>
      <c r="F631">
        <v>1</v>
      </c>
      <c r="G631">
        <v>15514512</v>
      </c>
      <c r="H631">
        <v>1</v>
      </c>
      <c r="I631" t="s">
        <v>648</v>
      </c>
      <c r="J631" t="s">
        <v>3</v>
      </c>
      <c r="K631" t="s">
        <v>649</v>
      </c>
      <c r="L631">
        <v>1191</v>
      </c>
      <c r="N631">
        <v>1013</v>
      </c>
      <c r="O631" t="s">
        <v>650</v>
      </c>
      <c r="P631" t="s">
        <v>650</v>
      </c>
      <c r="Q631">
        <v>1</v>
      </c>
      <c r="X631">
        <v>0.96</v>
      </c>
      <c r="Y631">
        <v>0</v>
      </c>
      <c r="Z631">
        <v>0</v>
      </c>
      <c r="AA631">
        <v>0</v>
      </c>
      <c r="AB631">
        <v>0</v>
      </c>
      <c r="AC631">
        <v>0</v>
      </c>
      <c r="AD631">
        <v>1</v>
      </c>
      <c r="AE631">
        <v>1</v>
      </c>
      <c r="AF631" t="s">
        <v>3</v>
      </c>
      <c r="AG631">
        <v>0.96</v>
      </c>
      <c r="AH631">
        <v>3</v>
      </c>
      <c r="AI631">
        <v>-1</v>
      </c>
      <c r="AJ631" t="s">
        <v>3</v>
      </c>
      <c r="AK631">
        <v>0</v>
      </c>
      <c r="AL631">
        <v>0</v>
      </c>
      <c r="AM631">
        <v>0</v>
      </c>
      <c r="AN631">
        <v>0</v>
      </c>
      <c r="AO631">
        <v>0</v>
      </c>
      <c r="AP631">
        <v>0</v>
      </c>
      <c r="AQ631">
        <v>0</v>
      </c>
      <c r="AR631">
        <v>0</v>
      </c>
    </row>
    <row r="632" spans="1:44" x14ac:dyDescent="0.2">
      <c r="A632">
        <f>ROW(Source!A814)</f>
        <v>814</v>
      </c>
      <c r="B632">
        <v>1474097179</v>
      </c>
      <c r="C632">
        <v>1472041369</v>
      </c>
      <c r="D632">
        <v>1441836235</v>
      </c>
      <c r="E632">
        <v>1</v>
      </c>
      <c r="F632">
        <v>1</v>
      </c>
      <c r="G632">
        <v>15514512</v>
      </c>
      <c r="H632">
        <v>3</v>
      </c>
      <c r="I632" t="s">
        <v>683</v>
      </c>
      <c r="J632" t="s">
        <v>684</v>
      </c>
      <c r="K632" t="s">
        <v>685</v>
      </c>
      <c r="L632">
        <v>1346</v>
      </c>
      <c r="N632">
        <v>1009</v>
      </c>
      <c r="O632" t="s">
        <v>657</v>
      </c>
      <c r="P632" t="s">
        <v>657</v>
      </c>
      <c r="Q632">
        <v>1</v>
      </c>
      <c r="X632">
        <v>0.05</v>
      </c>
      <c r="Y632">
        <v>31.49</v>
      </c>
      <c r="Z632">
        <v>0</v>
      </c>
      <c r="AA632">
        <v>0</v>
      </c>
      <c r="AB632">
        <v>0</v>
      </c>
      <c r="AC632">
        <v>0</v>
      </c>
      <c r="AD632">
        <v>1</v>
      </c>
      <c r="AE632">
        <v>0</v>
      </c>
      <c r="AF632" t="s">
        <v>3</v>
      </c>
      <c r="AG632">
        <v>0.05</v>
      </c>
      <c r="AH632">
        <v>3</v>
      </c>
      <c r="AI632">
        <v>-1</v>
      </c>
      <c r="AJ632" t="s">
        <v>3</v>
      </c>
      <c r="AK632">
        <v>0</v>
      </c>
      <c r="AL632">
        <v>0</v>
      </c>
      <c r="AM632">
        <v>0</v>
      </c>
      <c r="AN632">
        <v>0</v>
      </c>
      <c r="AO632">
        <v>0</v>
      </c>
      <c r="AP632">
        <v>0</v>
      </c>
      <c r="AQ632">
        <v>0</v>
      </c>
      <c r="AR632">
        <v>0</v>
      </c>
    </row>
    <row r="633" spans="1:44" x14ac:dyDescent="0.2">
      <c r="A633">
        <f>ROW(Source!A814)</f>
        <v>814</v>
      </c>
      <c r="B633">
        <v>1474097180</v>
      </c>
      <c r="C633">
        <v>1472041369</v>
      </c>
      <c r="D633">
        <v>1441834628</v>
      </c>
      <c r="E633">
        <v>1</v>
      </c>
      <c r="F633">
        <v>1</v>
      </c>
      <c r="G633">
        <v>15514512</v>
      </c>
      <c r="H633">
        <v>3</v>
      </c>
      <c r="I633" t="s">
        <v>714</v>
      </c>
      <c r="J633" t="s">
        <v>715</v>
      </c>
      <c r="K633" t="s">
        <v>716</v>
      </c>
      <c r="L633">
        <v>1348</v>
      </c>
      <c r="N633">
        <v>1009</v>
      </c>
      <c r="O633" t="s">
        <v>675</v>
      </c>
      <c r="P633" t="s">
        <v>675</v>
      </c>
      <c r="Q633">
        <v>1000</v>
      </c>
      <c r="X633">
        <v>3.0000000000000001E-5</v>
      </c>
      <c r="Y633">
        <v>73951.73</v>
      </c>
      <c r="Z633">
        <v>0</v>
      </c>
      <c r="AA633">
        <v>0</v>
      </c>
      <c r="AB633">
        <v>0</v>
      </c>
      <c r="AC633">
        <v>0</v>
      </c>
      <c r="AD633">
        <v>1</v>
      </c>
      <c r="AE633">
        <v>0</v>
      </c>
      <c r="AF633" t="s">
        <v>3</v>
      </c>
      <c r="AG633">
        <v>3.0000000000000001E-5</v>
      </c>
      <c r="AH633">
        <v>3</v>
      </c>
      <c r="AI633">
        <v>-1</v>
      </c>
      <c r="AJ633" t="s">
        <v>3</v>
      </c>
      <c r="AK633">
        <v>0</v>
      </c>
      <c r="AL633">
        <v>0</v>
      </c>
      <c r="AM633">
        <v>0</v>
      </c>
      <c r="AN633">
        <v>0</v>
      </c>
      <c r="AO633">
        <v>0</v>
      </c>
      <c r="AP633">
        <v>0</v>
      </c>
      <c r="AQ633">
        <v>0</v>
      </c>
      <c r="AR633">
        <v>0</v>
      </c>
    </row>
    <row r="634" spans="1:44" x14ac:dyDescent="0.2">
      <c r="A634">
        <f>ROW(Source!A814)</f>
        <v>814</v>
      </c>
      <c r="B634">
        <v>1474097181</v>
      </c>
      <c r="C634">
        <v>1472041369</v>
      </c>
      <c r="D634">
        <v>1441834669</v>
      </c>
      <c r="E634">
        <v>1</v>
      </c>
      <c r="F634">
        <v>1</v>
      </c>
      <c r="G634">
        <v>15514512</v>
      </c>
      <c r="H634">
        <v>3</v>
      </c>
      <c r="I634" t="s">
        <v>790</v>
      </c>
      <c r="J634" t="s">
        <v>791</v>
      </c>
      <c r="K634" t="s">
        <v>792</v>
      </c>
      <c r="L634">
        <v>1346</v>
      </c>
      <c r="N634">
        <v>1009</v>
      </c>
      <c r="O634" t="s">
        <v>657</v>
      </c>
      <c r="P634" t="s">
        <v>657</v>
      </c>
      <c r="Q634">
        <v>1</v>
      </c>
      <c r="X634">
        <v>0.01</v>
      </c>
      <c r="Y634">
        <v>222.28</v>
      </c>
      <c r="Z634">
        <v>0</v>
      </c>
      <c r="AA634">
        <v>0</v>
      </c>
      <c r="AB634">
        <v>0</v>
      </c>
      <c r="AC634">
        <v>0</v>
      </c>
      <c r="AD634">
        <v>1</v>
      </c>
      <c r="AE634">
        <v>0</v>
      </c>
      <c r="AF634" t="s">
        <v>3</v>
      </c>
      <c r="AG634">
        <v>0.01</v>
      </c>
      <c r="AH634">
        <v>3</v>
      </c>
      <c r="AI634">
        <v>-1</v>
      </c>
      <c r="AJ634" t="s">
        <v>3</v>
      </c>
      <c r="AK634">
        <v>0</v>
      </c>
      <c r="AL634">
        <v>0</v>
      </c>
      <c r="AM634">
        <v>0</v>
      </c>
      <c r="AN634">
        <v>0</v>
      </c>
      <c r="AO634">
        <v>0</v>
      </c>
      <c r="AP634">
        <v>0</v>
      </c>
      <c r="AQ634">
        <v>0</v>
      </c>
      <c r="AR634">
        <v>0</v>
      </c>
    </row>
    <row r="635" spans="1:44" x14ac:dyDescent="0.2">
      <c r="A635">
        <f>ROW(Source!A851)</f>
        <v>851</v>
      </c>
      <c r="B635">
        <v>1474097182</v>
      </c>
      <c r="C635">
        <v>1472041383</v>
      </c>
      <c r="D635">
        <v>1441819193</v>
      </c>
      <c r="E635">
        <v>15514512</v>
      </c>
      <c r="F635">
        <v>1</v>
      </c>
      <c r="G635">
        <v>15514512</v>
      </c>
      <c r="H635">
        <v>1</v>
      </c>
      <c r="I635" t="s">
        <v>648</v>
      </c>
      <c r="J635" t="s">
        <v>3</v>
      </c>
      <c r="K635" t="s">
        <v>649</v>
      </c>
      <c r="L635">
        <v>1191</v>
      </c>
      <c r="N635">
        <v>1013</v>
      </c>
      <c r="O635" t="s">
        <v>650</v>
      </c>
      <c r="P635" t="s">
        <v>650</v>
      </c>
      <c r="Q635">
        <v>1</v>
      </c>
      <c r="X635">
        <v>18</v>
      </c>
      <c r="Y635">
        <v>0</v>
      </c>
      <c r="Z635">
        <v>0</v>
      </c>
      <c r="AA635">
        <v>0</v>
      </c>
      <c r="AB635">
        <v>0</v>
      </c>
      <c r="AC635">
        <v>0</v>
      </c>
      <c r="AD635">
        <v>1</v>
      </c>
      <c r="AE635">
        <v>1</v>
      </c>
      <c r="AF635" t="s">
        <v>3</v>
      </c>
      <c r="AG635">
        <v>18</v>
      </c>
      <c r="AH635">
        <v>3</v>
      </c>
      <c r="AI635">
        <v>-1</v>
      </c>
      <c r="AJ635" t="s">
        <v>3</v>
      </c>
      <c r="AK635">
        <v>0</v>
      </c>
      <c r="AL635">
        <v>0</v>
      </c>
      <c r="AM635">
        <v>0</v>
      </c>
      <c r="AN635">
        <v>0</v>
      </c>
      <c r="AO635">
        <v>0</v>
      </c>
      <c r="AP635">
        <v>0</v>
      </c>
      <c r="AQ635">
        <v>0</v>
      </c>
      <c r="AR635">
        <v>0</v>
      </c>
    </row>
    <row r="636" spans="1:44" x14ac:dyDescent="0.2">
      <c r="A636">
        <f>ROW(Source!A851)</f>
        <v>851</v>
      </c>
      <c r="B636">
        <v>1474097184</v>
      </c>
      <c r="C636">
        <v>1472041383</v>
      </c>
      <c r="D636">
        <v>1441836237</v>
      </c>
      <c r="E636">
        <v>1</v>
      </c>
      <c r="F636">
        <v>1</v>
      </c>
      <c r="G636">
        <v>15514512</v>
      </c>
      <c r="H636">
        <v>3</v>
      </c>
      <c r="I636" t="s">
        <v>784</v>
      </c>
      <c r="J636" t="s">
        <v>785</v>
      </c>
      <c r="K636" t="s">
        <v>786</v>
      </c>
      <c r="L636">
        <v>1346</v>
      </c>
      <c r="N636">
        <v>1009</v>
      </c>
      <c r="O636" t="s">
        <v>657</v>
      </c>
      <c r="P636" t="s">
        <v>657</v>
      </c>
      <c r="Q636">
        <v>1</v>
      </c>
      <c r="X636">
        <v>0.36</v>
      </c>
      <c r="Y636">
        <v>375.16</v>
      </c>
      <c r="Z636">
        <v>0</v>
      </c>
      <c r="AA636">
        <v>0</v>
      </c>
      <c r="AB636">
        <v>0</v>
      </c>
      <c r="AC636">
        <v>0</v>
      </c>
      <c r="AD636">
        <v>1</v>
      </c>
      <c r="AE636">
        <v>0</v>
      </c>
      <c r="AF636" t="s">
        <v>3</v>
      </c>
      <c r="AG636">
        <v>0.36</v>
      </c>
      <c r="AH636">
        <v>3</v>
      </c>
      <c r="AI636">
        <v>-1</v>
      </c>
      <c r="AJ636" t="s">
        <v>3</v>
      </c>
      <c r="AK636">
        <v>0</v>
      </c>
      <c r="AL636">
        <v>0</v>
      </c>
      <c r="AM636">
        <v>0</v>
      </c>
      <c r="AN636">
        <v>0</v>
      </c>
      <c r="AO636">
        <v>0</v>
      </c>
      <c r="AP636">
        <v>0</v>
      </c>
      <c r="AQ636">
        <v>0</v>
      </c>
      <c r="AR636">
        <v>0</v>
      </c>
    </row>
    <row r="637" spans="1:44" x14ac:dyDescent="0.2">
      <c r="A637">
        <f>ROW(Source!A851)</f>
        <v>851</v>
      </c>
      <c r="B637">
        <v>1474097185</v>
      </c>
      <c r="C637">
        <v>1472041383</v>
      </c>
      <c r="D637">
        <v>1441836235</v>
      </c>
      <c r="E637">
        <v>1</v>
      </c>
      <c r="F637">
        <v>1</v>
      </c>
      <c r="G637">
        <v>15514512</v>
      </c>
      <c r="H637">
        <v>3</v>
      </c>
      <c r="I637" t="s">
        <v>683</v>
      </c>
      <c r="J637" t="s">
        <v>684</v>
      </c>
      <c r="K637" t="s">
        <v>685</v>
      </c>
      <c r="L637">
        <v>1346</v>
      </c>
      <c r="N637">
        <v>1009</v>
      </c>
      <c r="O637" t="s">
        <v>657</v>
      </c>
      <c r="P637" t="s">
        <v>657</v>
      </c>
      <c r="Q637">
        <v>1</v>
      </c>
      <c r="X637">
        <v>0.11</v>
      </c>
      <c r="Y637">
        <v>31.49</v>
      </c>
      <c r="Z637">
        <v>0</v>
      </c>
      <c r="AA637">
        <v>0</v>
      </c>
      <c r="AB637">
        <v>0</v>
      </c>
      <c r="AC637">
        <v>0</v>
      </c>
      <c r="AD637">
        <v>1</v>
      </c>
      <c r="AE637">
        <v>0</v>
      </c>
      <c r="AF637" t="s">
        <v>3</v>
      </c>
      <c r="AG637">
        <v>0.11</v>
      </c>
      <c r="AH637">
        <v>3</v>
      </c>
      <c r="AI637">
        <v>-1</v>
      </c>
      <c r="AJ637" t="s">
        <v>3</v>
      </c>
      <c r="AK637">
        <v>0</v>
      </c>
      <c r="AL637">
        <v>0</v>
      </c>
      <c r="AM637">
        <v>0</v>
      </c>
      <c r="AN637">
        <v>0</v>
      </c>
      <c r="AO637">
        <v>0</v>
      </c>
      <c r="AP637">
        <v>0</v>
      </c>
      <c r="AQ637">
        <v>0</v>
      </c>
      <c r="AR637">
        <v>0</v>
      </c>
    </row>
    <row r="638" spans="1:44" x14ac:dyDescent="0.2">
      <c r="A638">
        <f>ROW(Source!A851)</f>
        <v>851</v>
      </c>
      <c r="B638">
        <v>1474097183</v>
      </c>
      <c r="C638">
        <v>1472041383</v>
      </c>
      <c r="D638">
        <v>1441822228</v>
      </c>
      <c r="E638">
        <v>15514512</v>
      </c>
      <c r="F638">
        <v>1</v>
      </c>
      <c r="G638">
        <v>15514512</v>
      </c>
      <c r="H638">
        <v>3</v>
      </c>
      <c r="I638" t="s">
        <v>714</v>
      </c>
      <c r="J638" t="s">
        <v>3</v>
      </c>
      <c r="K638" t="s">
        <v>716</v>
      </c>
      <c r="L638">
        <v>1346</v>
      </c>
      <c r="N638">
        <v>1009</v>
      </c>
      <c r="O638" t="s">
        <v>657</v>
      </c>
      <c r="P638" t="s">
        <v>657</v>
      </c>
      <c r="Q638">
        <v>1</v>
      </c>
      <c r="X638">
        <v>0.11</v>
      </c>
      <c r="Y638">
        <v>73.951729999999998</v>
      </c>
      <c r="Z638">
        <v>0</v>
      </c>
      <c r="AA638">
        <v>0</v>
      </c>
      <c r="AB638">
        <v>0</v>
      </c>
      <c r="AC638">
        <v>0</v>
      </c>
      <c r="AD638">
        <v>1</v>
      </c>
      <c r="AE638">
        <v>0</v>
      </c>
      <c r="AF638" t="s">
        <v>3</v>
      </c>
      <c r="AG638">
        <v>0.11</v>
      </c>
      <c r="AH638">
        <v>3</v>
      </c>
      <c r="AI638">
        <v>-1</v>
      </c>
      <c r="AJ638" t="s">
        <v>3</v>
      </c>
      <c r="AK638">
        <v>0</v>
      </c>
      <c r="AL638">
        <v>0</v>
      </c>
      <c r="AM638">
        <v>0</v>
      </c>
      <c r="AN638">
        <v>0</v>
      </c>
      <c r="AO638">
        <v>0</v>
      </c>
      <c r="AP638">
        <v>0</v>
      </c>
      <c r="AQ638">
        <v>0</v>
      </c>
      <c r="AR638">
        <v>0</v>
      </c>
    </row>
    <row r="639" spans="1:44" x14ac:dyDescent="0.2">
      <c r="A639">
        <f>ROW(Source!A851)</f>
        <v>851</v>
      </c>
      <c r="B639">
        <v>1474097186</v>
      </c>
      <c r="C639">
        <v>1472041383</v>
      </c>
      <c r="D639">
        <v>1441834920</v>
      </c>
      <c r="E639">
        <v>1</v>
      </c>
      <c r="F639">
        <v>1</v>
      </c>
      <c r="G639">
        <v>15514512</v>
      </c>
      <c r="H639">
        <v>3</v>
      </c>
      <c r="I639" t="s">
        <v>787</v>
      </c>
      <c r="J639" t="s">
        <v>788</v>
      </c>
      <c r="K639" t="s">
        <v>789</v>
      </c>
      <c r="L639">
        <v>1346</v>
      </c>
      <c r="N639">
        <v>1009</v>
      </c>
      <c r="O639" t="s">
        <v>657</v>
      </c>
      <c r="P639" t="s">
        <v>657</v>
      </c>
      <c r="Q639">
        <v>1</v>
      </c>
      <c r="X639">
        <v>7.0000000000000007E-2</v>
      </c>
      <c r="Y639">
        <v>106.87</v>
      </c>
      <c r="Z639">
        <v>0</v>
      </c>
      <c r="AA639">
        <v>0</v>
      </c>
      <c r="AB639">
        <v>0</v>
      </c>
      <c r="AC639">
        <v>0</v>
      </c>
      <c r="AD639">
        <v>1</v>
      </c>
      <c r="AE639">
        <v>0</v>
      </c>
      <c r="AF639" t="s">
        <v>3</v>
      </c>
      <c r="AG639">
        <v>7.0000000000000007E-2</v>
      </c>
      <c r="AH639">
        <v>3</v>
      </c>
      <c r="AI639">
        <v>-1</v>
      </c>
      <c r="AJ639" t="s">
        <v>3</v>
      </c>
      <c r="AK639">
        <v>0</v>
      </c>
      <c r="AL639">
        <v>0</v>
      </c>
      <c r="AM639">
        <v>0</v>
      </c>
      <c r="AN639">
        <v>0</v>
      </c>
      <c r="AO639">
        <v>0</v>
      </c>
      <c r="AP639">
        <v>0</v>
      </c>
      <c r="AQ639">
        <v>0</v>
      </c>
      <c r="AR639">
        <v>0</v>
      </c>
    </row>
    <row r="640" spans="1:44" x14ac:dyDescent="0.2">
      <c r="A640">
        <f>ROW(Source!A852)</f>
        <v>852</v>
      </c>
      <c r="B640">
        <v>1474097187</v>
      </c>
      <c r="C640">
        <v>1472041399</v>
      </c>
      <c r="D640">
        <v>1441819193</v>
      </c>
      <c r="E640">
        <v>15514512</v>
      </c>
      <c r="F640">
        <v>1</v>
      </c>
      <c r="G640">
        <v>15514512</v>
      </c>
      <c r="H640">
        <v>1</v>
      </c>
      <c r="I640" t="s">
        <v>648</v>
      </c>
      <c r="J640" t="s">
        <v>3</v>
      </c>
      <c r="K640" t="s">
        <v>649</v>
      </c>
      <c r="L640">
        <v>1191</v>
      </c>
      <c r="N640">
        <v>1013</v>
      </c>
      <c r="O640" t="s">
        <v>650</v>
      </c>
      <c r="P640" t="s">
        <v>650</v>
      </c>
      <c r="Q640">
        <v>1</v>
      </c>
      <c r="X640">
        <v>0.6</v>
      </c>
      <c r="Y640">
        <v>0</v>
      </c>
      <c r="Z640">
        <v>0</v>
      </c>
      <c r="AA640">
        <v>0</v>
      </c>
      <c r="AB640">
        <v>0</v>
      </c>
      <c r="AC640">
        <v>0</v>
      </c>
      <c r="AD640">
        <v>1</v>
      </c>
      <c r="AE640">
        <v>1</v>
      </c>
      <c r="AF640" t="s">
        <v>437</v>
      </c>
      <c r="AG640">
        <v>9.6</v>
      </c>
      <c r="AH640">
        <v>3</v>
      </c>
      <c r="AI640">
        <v>-1</v>
      </c>
      <c r="AJ640" t="s">
        <v>3</v>
      </c>
      <c r="AK640">
        <v>0</v>
      </c>
      <c r="AL640">
        <v>0</v>
      </c>
      <c r="AM640">
        <v>0</v>
      </c>
      <c r="AN640">
        <v>0</v>
      </c>
      <c r="AO640">
        <v>0</v>
      </c>
      <c r="AP640">
        <v>0</v>
      </c>
      <c r="AQ640">
        <v>0</v>
      </c>
      <c r="AR640">
        <v>0</v>
      </c>
    </row>
    <row r="641" spans="1:44" x14ac:dyDescent="0.2">
      <c r="A641">
        <f>ROW(Source!A852)</f>
        <v>852</v>
      </c>
      <c r="B641">
        <v>1474097188</v>
      </c>
      <c r="C641">
        <v>1472041399</v>
      </c>
      <c r="D641">
        <v>1441822228</v>
      </c>
      <c r="E641">
        <v>15514512</v>
      </c>
      <c r="F641">
        <v>1</v>
      </c>
      <c r="G641">
        <v>15514512</v>
      </c>
      <c r="H641">
        <v>3</v>
      </c>
      <c r="I641" t="s">
        <v>714</v>
      </c>
      <c r="J641" t="s">
        <v>3</v>
      </c>
      <c r="K641" t="s">
        <v>716</v>
      </c>
      <c r="L641">
        <v>1346</v>
      </c>
      <c r="N641">
        <v>1009</v>
      </c>
      <c r="O641" t="s">
        <v>657</v>
      </c>
      <c r="P641" t="s">
        <v>657</v>
      </c>
      <c r="Q641">
        <v>1</v>
      </c>
      <c r="X641">
        <v>0.01</v>
      </c>
      <c r="Y641">
        <v>73.951729999999998</v>
      </c>
      <c r="Z641">
        <v>0</v>
      </c>
      <c r="AA641">
        <v>0</v>
      </c>
      <c r="AB641">
        <v>0</v>
      </c>
      <c r="AC641">
        <v>0</v>
      </c>
      <c r="AD641">
        <v>1</v>
      </c>
      <c r="AE641">
        <v>0</v>
      </c>
      <c r="AF641" t="s">
        <v>437</v>
      </c>
      <c r="AG641">
        <v>0.16</v>
      </c>
      <c r="AH641">
        <v>3</v>
      </c>
      <c r="AI641">
        <v>-1</v>
      </c>
      <c r="AJ641" t="s">
        <v>3</v>
      </c>
      <c r="AK641">
        <v>0</v>
      </c>
      <c r="AL641">
        <v>0</v>
      </c>
      <c r="AM641">
        <v>0</v>
      </c>
      <c r="AN641">
        <v>0</v>
      </c>
      <c r="AO641">
        <v>0</v>
      </c>
      <c r="AP641">
        <v>0</v>
      </c>
      <c r="AQ641">
        <v>0</v>
      </c>
      <c r="AR641">
        <v>0</v>
      </c>
    </row>
    <row r="642" spans="1:44" x14ac:dyDescent="0.2">
      <c r="A642">
        <f>ROW(Source!A853)</f>
        <v>853</v>
      </c>
      <c r="B642">
        <v>1474097189</v>
      </c>
      <c r="C642">
        <v>1472041406</v>
      </c>
      <c r="D642">
        <v>1441819193</v>
      </c>
      <c r="E642">
        <v>15514512</v>
      </c>
      <c r="F642">
        <v>1</v>
      </c>
      <c r="G642">
        <v>15514512</v>
      </c>
      <c r="H642">
        <v>1</v>
      </c>
      <c r="I642" t="s">
        <v>648</v>
      </c>
      <c r="J642" t="s">
        <v>3</v>
      </c>
      <c r="K642" t="s">
        <v>649</v>
      </c>
      <c r="L642">
        <v>1191</v>
      </c>
      <c r="N642">
        <v>1013</v>
      </c>
      <c r="O642" t="s">
        <v>650</v>
      </c>
      <c r="P642" t="s">
        <v>650</v>
      </c>
      <c r="Q642">
        <v>1</v>
      </c>
      <c r="X642">
        <v>2.4</v>
      </c>
      <c r="Y642">
        <v>0</v>
      </c>
      <c r="Z642">
        <v>0</v>
      </c>
      <c r="AA642">
        <v>0</v>
      </c>
      <c r="AB642">
        <v>0</v>
      </c>
      <c r="AC642">
        <v>0</v>
      </c>
      <c r="AD642">
        <v>1</v>
      </c>
      <c r="AE642">
        <v>1</v>
      </c>
      <c r="AF642" t="s">
        <v>3</v>
      </c>
      <c r="AG642">
        <v>2.4</v>
      </c>
      <c r="AH642">
        <v>3</v>
      </c>
      <c r="AI642">
        <v>-1</v>
      </c>
      <c r="AJ642" t="s">
        <v>3</v>
      </c>
      <c r="AK642">
        <v>0</v>
      </c>
      <c r="AL642">
        <v>0</v>
      </c>
      <c r="AM642">
        <v>0</v>
      </c>
      <c r="AN642">
        <v>0</v>
      </c>
      <c r="AO642">
        <v>0</v>
      </c>
      <c r="AP642">
        <v>0</v>
      </c>
      <c r="AQ642">
        <v>0</v>
      </c>
      <c r="AR642">
        <v>0</v>
      </c>
    </row>
    <row r="643" spans="1:44" x14ac:dyDescent="0.2">
      <c r="A643">
        <f>ROW(Source!A853)</f>
        <v>853</v>
      </c>
      <c r="B643">
        <v>1474097190</v>
      </c>
      <c r="C643">
        <v>1472041406</v>
      </c>
      <c r="D643">
        <v>1441836235</v>
      </c>
      <c r="E643">
        <v>1</v>
      </c>
      <c r="F643">
        <v>1</v>
      </c>
      <c r="G643">
        <v>15514512</v>
      </c>
      <c r="H643">
        <v>3</v>
      </c>
      <c r="I643" t="s">
        <v>683</v>
      </c>
      <c r="J643" t="s">
        <v>684</v>
      </c>
      <c r="K643" t="s">
        <v>685</v>
      </c>
      <c r="L643">
        <v>1346</v>
      </c>
      <c r="N643">
        <v>1009</v>
      </c>
      <c r="O643" t="s">
        <v>657</v>
      </c>
      <c r="P643" t="s">
        <v>657</v>
      </c>
      <c r="Q643">
        <v>1</v>
      </c>
      <c r="X643">
        <v>0.5</v>
      </c>
      <c r="Y643">
        <v>31.49</v>
      </c>
      <c r="Z643">
        <v>0</v>
      </c>
      <c r="AA643">
        <v>0</v>
      </c>
      <c r="AB643">
        <v>0</v>
      </c>
      <c r="AC643">
        <v>0</v>
      </c>
      <c r="AD643">
        <v>1</v>
      </c>
      <c r="AE643">
        <v>0</v>
      </c>
      <c r="AF643" t="s">
        <v>3</v>
      </c>
      <c r="AG643">
        <v>0.5</v>
      </c>
      <c r="AH643">
        <v>3</v>
      </c>
      <c r="AI643">
        <v>-1</v>
      </c>
      <c r="AJ643" t="s">
        <v>3</v>
      </c>
      <c r="AK643">
        <v>0</v>
      </c>
      <c r="AL643">
        <v>0</v>
      </c>
      <c r="AM643">
        <v>0</v>
      </c>
      <c r="AN643">
        <v>0</v>
      </c>
      <c r="AO643">
        <v>0</v>
      </c>
      <c r="AP643">
        <v>0</v>
      </c>
      <c r="AQ643">
        <v>0</v>
      </c>
      <c r="AR643">
        <v>0</v>
      </c>
    </row>
    <row r="644" spans="1:44" x14ac:dyDescent="0.2">
      <c r="A644">
        <f>ROW(Source!A853)</f>
        <v>853</v>
      </c>
      <c r="B644">
        <v>1474097191</v>
      </c>
      <c r="C644">
        <v>1472041406</v>
      </c>
      <c r="D644">
        <v>1441834658</v>
      </c>
      <c r="E644">
        <v>1</v>
      </c>
      <c r="F644">
        <v>1</v>
      </c>
      <c r="G644">
        <v>15514512</v>
      </c>
      <c r="H644">
        <v>3</v>
      </c>
      <c r="I644" t="s">
        <v>793</v>
      </c>
      <c r="J644" t="s">
        <v>794</v>
      </c>
      <c r="K644" t="s">
        <v>795</v>
      </c>
      <c r="L644">
        <v>1348</v>
      </c>
      <c r="N644">
        <v>1009</v>
      </c>
      <c r="O644" t="s">
        <v>675</v>
      </c>
      <c r="P644" t="s">
        <v>675</v>
      </c>
      <c r="Q644">
        <v>1000</v>
      </c>
      <c r="X644">
        <v>3.4000000000000002E-4</v>
      </c>
      <c r="Y644">
        <v>190945.35</v>
      </c>
      <c r="Z644">
        <v>0</v>
      </c>
      <c r="AA644">
        <v>0</v>
      </c>
      <c r="AB644">
        <v>0</v>
      </c>
      <c r="AC644">
        <v>0</v>
      </c>
      <c r="AD644">
        <v>1</v>
      </c>
      <c r="AE644">
        <v>0</v>
      </c>
      <c r="AF644" t="s">
        <v>3</v>
      </c>
      <c r="AG644">
        <v>3.4000000000000002E-4</v>
      </c>
      <c r="AH644">
        <v>3</v>
      </c>
      <c r="AI644">
        <v>-1</v>
      </c>
      <c r="AJ644" t="s">
        <v>3</v>
      </c>
      <c r="AK644">
        <v>0</v>
      </c>
      <c r="AL644">
        <v>0</v>
      </c>
      <c r="AM644">
        <v>0</v>
      </c>
      <c r="AN644">
        <v>0</v>
      </c>
      <c r="AO644">
        <v>0</v>
      </c>
      <c r="AP644">
        <v>0</v>
      </c>
      <c r="AQ644">
        <v>0</v>
      </c>
      <c r="AR644">
        <v>0</v>
      </c>
    </row>
    <row r="645" spans="1:44" x14ac:dyDescent="0.2">
      <c r="A645">
        <f>ROW(Source!A854)</f>
        <v>854</v>
      </c>
      <c r="B645">
        <v>1474097192</v>
      </c>
      <c r="C645">
        <v>1472041416</v>
      </c>
      <c r="D645">
        <v>1441819193</v>
      </c>
      <c r="E645">
        <v>15514512</v>
      </c>
      <c r="F645">
        <v>1</v>
      </c>
      <c r="G645">
        <v>15514512</v>
      </c>
      <c r="H645">
        <v>1</v>
      </c>
      <c r="I645" t="s">
        <v>648</v>
      </c>
      <c r="J645" t="s">
        <v>3</v>
      </c>
      <c r="K645" t="s">
        <v>649</v>
      </c>
      <c r="L645">
        <v>1191</v>
      </c>
      <c r="N645">
        <v>1013</v>
      </c>
      <c r="O645" t="s">
        <v>650</v>
      </c>
      <c r="P645" t="s">
        <v>650</v>
      </c>
      <c r="Q645">
        <v>1</v>
      </c>
      <c r="X645">
        <v>0.6</v>
      </c>
      <c r="Y645">
        <v>0</v>
      </c>
      <c r="Z645">
        <v>0</v>
      </c>
      <c r="AA645">
        <v>0</v>
      </c>
      <c r="AB645">
        <v>0</v>
      </c>
      <c r="AC645">
        <v>0</v>
      </c>
      <c r="AD645">
        <v>1</v>
      </c>
      <c r="AE645">
        <v>1</v>
      </c>
      <c r="AF645" t="s">
        <v>3</v>
      </c>
      <c r="AG645">
        <v>0.6</v>
      </c>
      <c r="AH645">
        <v>3</v>
      </c>
      <c r="AI645">
        <v>-1</v>
      </c>
      <c r="AJ645" t="s">
        <v>3</v>
      </c>
      <c r="AK645">
        <v>0</v>
      </c>
      <c r="AL645">
        <v>0</v>
      </c>
      <c r="AM645">
        <v>0</v>
      </c>
      <c r="AN645">
        <v>0</v>
      </c>
      <c r="AO645">
        <v>0</v>
      </c>
      <c r="AP645">
        <v>0</v>
      </c>
      <c r="AQ645">
        <v>0</v>
      </c>
      <c r="AR645">
        <v>0</v>
      </c>
    </row>
    <row r="646" spans="1:44" x14ac:dyDescent="0.2">
      <c r="A646">
        <f>ROW(Source!A854)</f>
        <v>854</v>
      </c>
      <c r="B646">
        <v>1474097193</v>
      </c>
      <c r="C646">
        <v>1472041416</v>
      </c>
      <c r="D646">
        <v>1441836235</v>
      </c>
      <c r="E646">
        <v>1</v>
      </c>
      <c r="F646">
        <v>1</v>
      </c>
      <c r="G646">
        <v>15514512</v>
      </c>
      <c r="H646">
        <v>3</v>
      </c>
      <c r="I646" t="s">
        <v>683</v>
      </c>
      <c r="J646" t="s">
        <v>684</v>
      </c>
      <c r="K646" t="s">
        <v>685</v>
      </c>
      <c r="L646">
        <v>1346</v>
      </c>
      <c r="N646">
        <v>1009</v>
      </c>
      <c r="O646" t="s">
        <v>657</v>
      </c>
      <c r="P646" t="s">
        <v>657</v>
      </c>
      <c r="Q646">
        <v>1</v>
      </c>
      <c r="X646">
        <v>4.0000000000000001E-3</v>
      </c>
      <c r="Y646">
        <v>31.49</v>
      </c>
      <c r="Z646">
        <v>0</v>
      </c>
      <c r="AA646">
        <v>0</v>
      </c>
      <c r="AB646">
        <v>0</v>
      </c>
      <c r="AC646">
        <v>0</v>
      </c>
      <c r="AD646">
        <v>1</v>
      </c>
      <c r="AE646">
        <v>0</v>
      </c>
      <c r="AF646" t="s">
        <v>3</v>
      </c>
      <c r="AG646">
        <v>4.0000000000000001E-3</v>
      </c>
      <c r="AH646">
        <v>3</v>
      </c>
      <c r="AI646">
        <v>-1</v>
      </c>
      <c r="AJ646" t="s">
        <v>3</v>
      </c>
      <c r="AK646">
        <v>0</v>
      </c>
      <c r="AL646">
        <v>0</v>
      </c>
      <c r="AM646">
        <v>0</v>
      </c>
      <c r="AN646">
        <v>0</v>
      </c>
      <c r="AO646">
        <v>0</v>
      </c>
      <c r="AP646">
        <v>0</v>
      </c>
      <c r="AQ646">
        <v>0</v>
      </c>
      <c r="AR646">
        <v>0</v>
      </c>
    </row>
    <row r="647" spans="1:44" x14ac:dyDescent="0.2">
      <c r="A647">
        <f>ROW(Source!A854)</f>
        <v>854</v>
      </c>
      <c r="B647">
        <v>1474097194</v>
      </c>
      <c r="C647">
        <v>1472041416</v>
      </c>
      <c r="D647">
        <v>1441834628</v>
      </c>
      <c r="E647">
        <v>1</v>
      </c>
      <c r="F647">
        <v>1</v>
      </c>
      <c r="G647">
        <v>15514512</v>
      </c>
      <c r="H647">
        <v>3</v>
      </c>
      <c r="I647" t="s">
        <v>714</v>
      </c>
      <c r="J647" t="s">
        <v>715</v>
      </c>
      <c r="K647" t="s">
        <v>716</v>
      </c>
      <c r="L647">
        <v>1348</v>
      </c>
      <c r="N647">
        <v>1009</v>
      </c>
      <c r="O647" t="s">
        <v>675</v>
      </c>
      <c r="P647" t="s">
        <v>675</v>
      </c>
      <c r="Q647">
        <v>1000</v>
      </c>
      <c r="X647">
        <v>1.0000000000000001E-5</v>
      </c>
      <c r="Y647">
        <v>73951.73</v>
      </c>
      <c r="Z647">
        <v>0</v>
      </c>
      <c r="AA647">
        <v>0</v>
      </c>
      <c r="AB647">
        <v>0</v>
      </c>
      <c r="AC647">
        <v>0</v>
      </c>
      <c r="AD647">
        <v>1</v>
      </c>
      <c r="AE647">
        <v>0</v>
      </c>
      <c r="AF647" t="s">
        <v>3</v>
      </c>
      <c r="AG647">
        <v>1.0000000000000001E-5</v>
      </c>
      <c r="AH647">
        <v>3</v>
      </c>
      <c r="AI647">
        <v>-1</v>
      </c>
      <c r="AJ647" t="s">
        <v>3</v>
      </c>
      <c r="AK647">
        <v>0</v>
      </c>
      <c r="AL647">
        <v>0</v>
      </c>
      <c r="AM647">
        <v>0</v>
      </c>
      <c r="AN647">
        <v>0</v>
      </c>
      <c r="AO647">
        <v>0</v>
      </c>
      <c r="AP647">
        <v>0</v>
      </c>
      <c r="AQ647">
        <v>0</v>
      </c>
      <c r="AR647">
        <v>0</v>
      </c>
    </row>
    <row r="648" spans="1:44" x14ac:dyDescent="0.2">
      <c r="A648">
        <f>ROW(Source!A855)</f>
        <v>855</v>
      </c>
      <c r="B648">
        <v>1474097195</v>
      </c>
      <c r="C648">
        <v>1472041426</v>
      </c>
      <c r="D648">
        <v>1441819193</v>
      </c>
      <c r="E648">
        <v>15514512</v>
      </c>
      <c r="F648">
        <v>1</v>
      </c>
      <c r="G648">
        <v>15514512</v>
      </c>
      <c r="H648">
        <v>1</v>
      </c>
      <c r="I648" t="s">
        <v>648</v>
      </c>
      <c r="J648" t="s">
        <v>3</v>
      </c>
      <c r="K648" t="s">
        <v>649</v>
      </c>
      <c r="L648">
        <v>1191</v>
      </c>
      <c r="N648">
        <v>1013</v>
      </c>
      <c r="O648" t="s">
        <v>650</v>
      </c>
      <c r="P648" t="s">
        <v>650</v>
      </c>
      <c r="Q648">
        <v>1</v>
      </c>
      <c r="X648">
        <v>0.02</v>
      </c>
      <c r="Y648">
        <v>0</v>
      </c>
      <c r="Z648">
        <v>0</v>
      </c>
      <c r="AA648">
        <v>0</v>
      </c>
      <c r="AB648">
        <v>0</v>
      </c>
      <c r="AC648">
        <v>0</v>
      </c>
      <c r="AD648">
        <v>1</v>
      </c>
      <c r="AE648">
        <v>1</v>
      </c>
      <c r="AF648" t="s">
        <v>290</v>
      </c>
      <c r="AG648">
        <v>0.06</v>
      </c>
      <c r="AH648">
        <v>3</v>
      </c>
      <c r="AI648">
        <v>-1</v>
      </c>
      <c r="AJ648" t="s">
        <v>3</v>
      </c>
      <c r="AK648">
        <v>0</v>
      </c>
      <c r="AL648">
        <v>0</v>
      </c>
      <c r="AM648">
        <v>0</v>
      </c>
      <c r="AN648">
        <v>0</v>
      </c>
      <c r="AO648">
        <v>0</v>
      </c>
      <c r="AP648">
        <v>0</v>
      </c>
      <c r="AQ648">
        <v>0</v>
      </c>
      <c r="AR648">
        <v>0</v>
      </c>
    </row>
    <row r="649" spans="1:44" x14ac:dyDescent="0.2">
      <c r="A649">
        <f>ROW(Source!A855)</f>
        <v>855</v>
      </c>
      <c r="B649">
        <v>1474097196</v>
      </c>
      <c r="C649">
        <v>1472041426</v>
      </c>
      <c r="D649">
        <v>1441836235</v>
      </c>
      <c r="E649">
        <v>1</v>
      </c>
      <c r="F649">
        <v>1</v>
      </c>
      <c r="G649">
        <v>15514512</v>
      </c>
      <c r="H649">
        <v>3</v>
      </c>
      <c r="I649" t="s">
        <v>683</v>
      </c>
      <c r="J649" t="s">
        <v>684</v>
      </c>
      <c r="K649" t="s">
        <v>685</v>
      </c>
      <c r="L649">
        <v>1346</v>
      </c>
      <c r="N649">
        <v>1009</v>
      </c>
      <c r="O649" t="s">
        <v>657</v>
      </c>
      <c r="P649" t="s">
        <v>657</v>
      </c>
      <c r="Q649">
        <v>1</v>
      </c>
      <c r="X649">
        <v>1E-4</v>
      </c>
      <c r="Y649">
        <v>31.49</v>
      </c>
      <c r="Z649">
        <v>0</v>
      </c>
      <c r="AA649">
        <v>0</v>
      </c>
      <c r="AB649">
        <v>0</v>
      </c>
      <c r="AC649">
        <v>0</v>
      </c>
      <c r="AD649">
        <v>1</v>
      </c>
      <c r="AE649">
        <v>0</v>
      </c>
      <c r="AF649" t="s">
        <v>290</v>
      </c>
      <c r="AG649">
        <v>3.0000000000000003E-4</v>
      </c>
      <c r="AH649">
        <v>3</v>
      </c>
      <c r="AI649">
        <v>-1</v>
      </c>
      <c r="AJ649" t="s">
        <v>3</v>
      </c>
      <c r="AK649">
        <v>0</v>
      </c>
      <c r="AL649">
        <v>0</v>
      </c>
      <c r="AM649">
        <v>0</v>
      </c>
      <c r="AN649">
        <v>0</v>
      </c>
      <c r="AO649">
        <v>0</v>
      </c>
      <c r="AP649">
        <v>0</v>
      </c>
      <c r="AQ649">
        <v>0</v>
      </c>
      <c r="AR649">
        <v>0</v>
      </c>
    </row>
    <row r="650" spans="1:44" x14ac:dyDescent="0.2">
      <c r="A650">
        <f>ROW(Source!A856)</f>
        <v>856</v>
      </c>
      <c r="B650">
        <v>1474097197</v>
      </c>
      <c r="C650">
        <v>1472041433</v>
      </c>
      <c r="D650">
        <v>1441819193</v>
      </c>
      <c r="E650">
        <v>15514512</v>
      </c>
      <c r="F650">
        <v>1</v>
      </c>
      <c r="G650">
        <v>15514512</v>
      </c>
      <c r="H650">
        <v>1</v>
      </c>
      <c r="I650" t="s">
        <v>648</v>
      </c>
      <c r="J650" t="s">
        <v>3</v>
      </c>
      <c r="K650" t="s">
        <v>649</v>
      </c>
      <c r="L650">
        <v>1191</v>
      </c>
      <c r="N650">
        <v>1013</v>
      </c>
      <c r="O650" t="s">
        <v>650</v>
      </c>
      <c r="P650" t="s">
        <v>650</v>
      </c>
      <c r="Q650">
        <v>1</v>
      </c>
      <c r="X650">
        <v>0.55000000000000004</v>
      </c>
      <c r="Y650">
        <v>0</v>
      </c>
      <c r="Z650">
        <v>0</v>
      </c>
      <c r="AA650">
        <v>0</v>
      </c>
      <c r="AB650">
        <v>0</v>
      </c>
      <c r="AC650">
        <v>0</v>
      </c>
      <c r="AD650">
        <v>1</v>
      </c>
      <c r="AE650">
        <v>1</v>
      </c>
      <c r="AF650" t="s">
        <v>3</v>
      </c>
      <c r="AG650">
        <v>0.55000000000000004</v>
      </c>
      <c r="AH650">
        <v>3</v>
      </c>
      <c r="AI650">
        <v>-1</v>
      </c>
      <c r="AJ650" t="s">
        <v>3</v>
      </c>
      <c r="AK650">
        <v>0</v>
      </c>
      <c r="AL650">
        <v>0</v>
      </c>
      <c r="AM650">
        <v>0</v>
      </c>
      <c r="AN650">
        <v>0</v>
      </c>
      <c r="AO650">
        <v>0</v>
      </c>
      <c r="AP650">
        <v>0</v>
      </c>
      <c r="AQ650">
        <v>0</v>
      </c>
      <c r="AR650">
        <v>0</v>
      </c>
    </row>
    <row r="651" spans="1:44" x14ac:dyDescent="0.2">
      <c r="A651">
        <f>ROW(Source!A856)</f>
        <v>856</v>
      </c>
      <c r="B651">
        <v>1474097198</v>
      </c>
      <c r="C651">
        <v>1472041433</v>
      </c>
      <c r="D651">
        <v>1441834258</v>
      </c>
      <c r="E651">
        <v>1</v>
      </c>
      <c r="F651">
        <v>1</v>
      </c>
      <c r="G651">
        <v>15514512</v>
      </c>
      <c r="H651">
        <v>2</v>
      </c>
      <c r="I651" t="s">
        <v>651</v>
      </c>
      <c r="J651" t="s">
        <v>652</v>
      </c>
      <c r="K651" t="s">
        <v>653</v>
      </c>
      <c r="L651">
        <v>1368</v>
      </c>
      <c r="N651">
        <v>1011</v>
      </c>
      <c r="O651" t="s">
        <v>603</v>
      </c>
      <c r="P651" t="s">
        <v>603</v>
      </c>
      <c r="Q651">
        <v>1</v>
      </c>
      <c r="X651">
        <v>0.04</v>
      </c>
      <c r="Y651">
        <v>0</v>
      </c>
      <c r="Z651">
        <v>1303.01</v>
      </c>
      <c r="AA651">
        <v>826.2</v>
      </c>
      <c r="AB651">
        <v>0</v>
      </c>
      <c r="AC651">
        <v>0</v>
      </c>
      <c r="AD651">
        <v>1</v>
      </c>
      <c r="AE651">
        <v>0</v>
      </c>
      <c r="AF651" t="s">
        <v>3</v>
      </c>
      <c r="AG651">
        <v>0.04</v>
      </c>
      <c r="AH651">
        <v>3</v>
      </c>
      <c r="AI651">
        <v>-1</v>
      </c>
      <c r="AJ651" t="s">
        <v>3</v>
      </c>
      <c r="AK651">
        <v>0</v>
      </c>
      <c r="AL651">
        <v>0</v>
      </c>
      <c r="AM651">
        <v>0</v>
      </c>
      <c r="AN651">
        <v>0</v>
      </c>
      <c r="AO651">
        <v>0</v>
      </c>
      <c r="AP651">
        <v>0</v>
      </c>
      <c r="AQ651">
        <v>0</v>
      </c>
      <c r="AR651">
        <v>0</v>
      </c>
    </row>
    <row r="652" spans="1:44" x14ac:dyDescent="0.2">
      <c r="A652">
        <f>ROW(Source!A856)</f>
        <v>856</v>
      </c>
      <c r="B652">
        <v>1474097199</v>
      </c>
      <c r="C652">
        <v>1472041433</v>
      </c>
      <c r="D652">
        <v>1441836235</v>
      </c>
      <c r="E652">
        <v>1</v>
      </c>
      <c r="F652">
        <v>1</v>
      </c>
      <c r="G652">
        <v>15514512</v>
      </c>
      <c r="H652">
        <v>3</v>
      </c>
      <c r="I652" t="s">
        <v>683</v>
      </c>
      <c r="J652" t="s">
        <v>684</v>
      </c>
      <c r="K652" t="s">
        <v>685</v>
      </c>
      <c r="L652">
        <v>1346</v>
      </c>
      <c r="N652">
        <v>1009</v>
      </c>
      <c r="O652" t="s">
        <v>657</v>
      </c>
      <c r="P652" t="s">
        <v>657</v>
      </c>
      <c r="Q652">
        <v>1</v>
      </c>
      <c r="X652">
        <v>4.0000000000000001E-3</v>
      </c>
      <c r="Y652">
        <v>31.49</v>
      </c>
      <c r="Z652">
        <v>0</v>
      </c>
      <c r="AA652">
        <v>0</v>
      </c>
      <c r="AB652">
        <v>0</v>
      </c>
      <c r="AC652">
        <v>0</v>
      </c>
      <c r="AD652">
        <v>1</v>
      </c>
      <c r="AE652">
        <v>0</v>
      </c>
      <c r="AF652" t="s">
        <v>3</v>
      </c>
      <c r="AG652">
        <v>4.0000000000000001E-3</v>
      </c>
      <c r="AH652">
        <v>3</v>
      </c>
      <c r="AI652">
        <v>-1</v>
      </c>
      <c r="AJ652" t="s">
        <v>3</v>
      </c>
      <c r="AK652">
        <v>0</v>
      </c>
      <c r="AL652">
        <v>0</v>
      </c>
      <c r="AM652">
        <v>0</v>
      </c>
      <c r="AN652">
        <v>0</v>
      </c>
      <c r="AO652">
        <v>0</v>
      </c>
      <c r="AP652">
        <v>0</v>
      </c>
      <c r="AQ652">
        <v>0</v>
      </c>
      <c r="AR652">
        <v>0</v>
      </c>
    </row>
    <row r="653" spans="1:44" x14ac:dyDescent="0.2">
      <c r="A653">
        <f>ROW(Source!A857)</f>
        <v>857</v>
      </c>
      <c r="B653">
        <v>1474097200</v>
      </c>
      <c r="C653">
        <v>1472041443</v>
      </c>
      <c r="D653">
        <v>1441819193</v>
      </c>
      <c r="E653">
        <v>15514512</v>
      </c>
      <c r="F653">
        <v>1</v>
      </c>
      <c r="G653">
        <v>15514512</v>
      </c>
      <c r="H653">
        <v>1</v>
      </c>
      <c r="I653" t="s">
        <v>648</v>
      </c>
      <c r="J653" t="s">
        <v>3</v>
      </c>
      <c r="K653" t="s">
        <v>649</v>
      </c>
      <c r="L653">
        <v>1191</v>
      </c>
      <c r="N653">
        <v>1013</v>
      </c>
      <c r="O653" t="s">
        <v>650</v>
      </c>
      <c r="P653" t="s">
        <v>650</v>
      </c>
      <c r="Q653">
        <v>1</v>
      </c>
      <c r="X653">
        <v>0.23</v>
      </c>
      <c r="Y653">
        <v>0</v>
      </c>
      <c r="Z653">
        <v>0</v>
      </c>
      <c r="AA653">
        <v>0</v>
      </c>
      <c r="AB653">
        <v>0</v>
      </c>
      <c r="AC653">
        <v>0</v>
      </c>
      <c r="AD653">
        <v>1</v>
      </c>
      <c r="AE653">
        <v>1</v>
      </c>
      <c r="AF653" t="s">
        <v>290</v>
      </c>
      <c r="AG653">
        <v>0.69000000000000006</v>
      </c>
      <c r="AH653">
        <v>3</v>
      </c>
      <c r="AI653">
        <v>-1</v>
      </c>
      <c r="AJ653" t="s">
        <v>3</v>
      </c>
      <c r="AK653">
        <v>0</v>
      </c>
      <c r="AL653">
        <v>0</v>
      </c>
      <c r="AM653">
        <v>0</v>
      </c>
      <c r="AN653">
        <v>0</v>
      </c>
      <c r="AO653">
        <v>0</v>
      </c>
      <c r="AP653">
        <v>0</v>
      </c>
      <c r="AQ653">
        <v>0</v>
      </c>
      <c r="AR653">
        <v>0</v>
      </c>
    </row>
    <row r="654" spans="1:44" x14ac:dyDescent="0.2">
      <c r="A654">
        <f>ROW(Source!A858)</f>
        <v>858</v>
      </c>
      <c r="B654">
        <v>1474097201</v>
      </c>
      <c r="C654">
        <v>1472041447</v>
      </c>
      <c r="D654">
        <v>1441819193</v>
      </c>
      <c r="E654">
        <v>15514512</v>
      </c>
      <c r="F654">
        <v>1</v>
      </c>
      <c r="G654">
        <v>15514512</v>
      </c>
      <c r="H654">
        <v>1</v>
      </c>
      <c r="I654" t="s">
        <v>648</v>
      </c>
      <c r="J654" t="s">
        <v>3</v>
      </c>
      <c r="K654" t="s">
        <v>649</v>
      </c>
      <c r="L654">
        <v>1191</v>
      </c>
      <c r="N654">
        <v>1013</v>
      </c>
      <c r="O654" t="s">
        <v>650</v>
      </c>
      <c r="P654" t="s">
        <v>650</v>
      </c>
      <c r="Q654">
        <v>1</v>
      </c>
      <c r="X654">
        <v>7.14</v>
      </c>
      <c r="Y654">
        <v>0</v>
      </c>
      <c r="Z654">
        <v>0</v>
      </c>
      <c r="AA654">
        <v>0</v>
      </c>
      <c r="AB654">
        <v>0</v>
      </c>
      <c r="AC654">
        <v>0</v>
      </c>
      <c r="AD654">
        <v>1</v>
      </c>
      <c r="AE654">
        <v>1</v>
      </c>
      <c r="AF654" t="s">
        <v>3</v>
      </c>
      <c r="AG654">
        <v>7.14</v>
      </c>
      <c r="AH654">
        <v>3</v>
      </c>
      <c r="AI654">
        <v>-1</v>
      </c>
      <c r="AJ654" t="s">
        <v>3</v>
      </c>
      <c r="AK654">
        <v>0</v>
      </c>
      <c r="AL654">
        <v>0</v>
      </c>
      <c r="AM654">
        <v>0</v>
      </c>
      <c r="AN654">
        <v>0</v>
      </c>
      <c r="AO654">
        <v>0</v>
      </c>
      <c r="AP654">
        <v>0</v>
      </c>
      <c r="AQ654">
        <v>0</v>
      </c>
      <c r="AR654">
        <v>0</v>
      </c>
    </row>
    <row r="655" spans="1:44" x14ac:dyDescent="0.2">
      <c r="A655">
        <f>ROW(Source!A858)</f>
        <v>858</v>
      </c>
      <c r="B655">
        <v>1474097202</v>
      </c>
      <c r="C655">
        <v>1472041447</v>
      </c>
      <c r="D655">
        <v>1441836237</v>
      </c>
      <c r="E655">
        <v>1</v>
      </c>
      <c r="F655">
        <v>1</v>
      </c>
      <c r="G655">
        <v>15514512</v>
      </c>
      <c r="H655">
        <v>3</v>
      </c>
      <c r="I655" t="s">
        <v>784</v>
      </c>
      <c r="J655" t="s">
        <v>785</v>
      </c>
      <c r="K655" t="s">
        <v>786</v>
      </c>
      <c r="L655">
        <v>1346</v>
      </c>
      <c r="N655">
        <v>1009</v>
      </c>
      <c r="O655" t="s">
        <v>657</v>
      </c>
      <c r="P655" t="s">
        <v>657</v>
      </c>
      <c r="Q655">
        <v>1</v>
      </c>
      <c r="X655">
        <v>0.06</v>
      </c>
      <c r="Y655">
        <v>375.16</v>
      </c>
      <c r="Z655">
        <v>0</v>
      </c>
      <c r="AA655">
        <v>0</v>
      </c>
      <c r="AB655">
        <v>0</v>
      </c>
      <c r="AC655">
        <v>0</v>
      </c>
      <c r="AD655">
        <v>1</v>
      </c>
      <c r="AE655">
        <v>0</v>
      </c>
      <c r="AF655" t="s">
        <v>3</v>
      </c>
      <c r="AG655">
        <v>0.06</v>
      </c>
      <c r="AH655">
        <v>3</v>
      </c>
      <c r="AI655">
        <v>-1</v>
      </c>
      <c r="AJ655" t="s">
        <v>3</v>
      </c>
      <c r="AK655">
        <v>0</v>
      </c>
      <c r="AL655">
        <v>0</v>
      </c>
      <c r="AM655">
        <v>0</v>
      </c>
      <c r="AN655">
        <v>0</v>
      </c>
      <c r="AO655">
        <v>0</v>
      </c>
      <c r="AP655">
        <v>0</v>
      </c>
      <c r="AQ655">
        <v>0</v>
      </c>
      <c r="AR655">
        <v>0</v>
      </c>
    </row>
    <row r="656" spans="1:44" x14ac:dyDescent="0.2">
      <c r="A656">
        <f>ROW(Source!A859)</f>
        <v>859</v>
      </c>
      <c r="B656">
        <v>1474097203</v>
      </c>
      <c r="C656">
        <v>1472041454</v>
      </c>
      <c r="D656">
        <v>1441819193</v>
      </c>
      <c r="E656">
        <v>15514512</v>
      </c>
      <c r="F656">
        <v>1</v>
      </c>
      <c r="G656">
        <v>15514512</v>
      </c>
      <c r="H656">
        <v>1</v>
      </c>
      <c r="I656" t="s">
        <v>648</v>
      </c>
      <c r="J656" t="s">
        <v>3</v>
      </c>
      <c r="K656" t="s">
        <v>649</v>
      </c>
      <c r="L656">
        <v>1191</v>
      </c>
      <c r="N656">
        <v>1013</v>
      </c>
      <c r="O656" t="s">
        <v>650</v>
      </c>
      <c r="P656" t="s">
        <v>650</v>
      </c>
      <c r="Q656">
        <v>1</v>
      </c>
      <c r="X656">
        <v>0.24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1</v>
      </c>
      <c r="AE656">
        <v>1</v>
      </c>
      <c r="AF656" t="s">
        <v>3</v>
      </c>
      <c r="AG656">
        <v>0.24</v>
      </c>
      <c r="AH656">
        <v>3</v>
      </c>
      <c r="AI656">
        <v>-1</v>
      </c>
      <c r="AJ656" t="s">
        <v>3</v>
      </c>
      <c r="AK656">
        <v>0</v>
      </c>
      <c r="AL656">
        <v>0</v>
      </c>
      <c r="AM656">
        <v>0</v>
      </c>
      <c r="AN656">
        <v>0</v>
      </c>
      <c r="AO656">
        <v>0</v>
      </c>
      <c r="AP656">
        <v>0</v>
      </c>
      <c r="AQ656">
        <v>0</v>
      </c>
      <c r="AR656">
        <v>0</v>
      </c>
    </row>
    <row r="657" spans="1:44" x14ac:dyDescent="0.2">
      <c r="A657">
        <f>ROW(Source!A860)</f>
        <v>860</v>
      </c>
      <c r="B657">
        <v>1474097204</v>
      </c>
      <c r="C657">
        <v>1472041458</v>
      </c>
      <c r="D657">
        <v>1441819193</v>
      </c>
      <c r="E657">
        <v>15514512</v>
      </c>
      <c r="F657">
        <v>1</v>
      </c>
      <c r="G657">
        <v>15514512</v>
      </c>
      <c r="H657">
        <v>1</v>
      </c>
      <c r="I657" t="s">
        <v>648</v>
      </c>
      <c r="J657" t="s">
        <v>3</v>
      </c>
      <c r="K657" t="s">
        <v>649</v>
      </c>
      <c r="L657">
        <v>1191</v>
      </c>
      <c r="N657">
        <v>1013</v>
      </c>
      <c r="O657" t="s">
        <v>650</v>
      </c>
      <c r="P657" t="s">
        <v>650</v>
      </c>
      <c r="Q657">
        <v>1</v>
      </c>
      <c r="X657">
        <v>10</v>
      </c>
      <c r="Y657">
        <v>0</v>
      </c>
      <c r="Z657">
        <v>0</v>
      </c>
      <c r="AA657">
        <v>0</v>
      </c>
      <c r="AB657">
        <v>0</v>
      </c>
      <c r="AC657">
        <v>0</v>
      </c>
      <c r="AD657">
        <v>1</v>
      </c>
      <c r="AE657">
        <v>1</v>
      </c>
      <c r="AF657" t="s">
        <v>3</v>
      </c>
      <c r="AG657">
        <v>10</v>
      </c>
      <c r="AH657">
        <v>3</v>
      </c>
      <c r="AI657">
        <v>-1</v>
      </c>
      <c r="AJ657" t="s">
        <v>3</v>
      </c>
      <c r="AK657">
        <v>0</v>
      </c>
      <c r="AL657">
        <v>0</v>
      </c>
      <c r="AM657">
        <v>0</v>
      </c>
      <c r="AN657">
        <v>0</v>
      </c>
      <c r="AO657">
        <v>0</v>
      </c>
      <c r="AP657">
        <v>0</v>
      </c>
      <c r="AQ657">
        <v>0</v>
      </c>
      <c r="AR657">
        <v>0</v>
      </c>
    </row>
    <row r="658" spans="1:44" x14ac:dyDescent="0.2">
      <c r="A658">
        <f>ROW(Source!A860)</f>
        <v>860</v>
      </c>
      <c r="B658">
        <v>1474097205</v>
      </c>
      <c r="C658">
        <v>1472041458</v>
      </c>
      <c r="D658">
        <v>1441836237</v>
      </c>
      <c r="E658">
        <v>1</v>
      </c>
      <c r="F658">
        <v>1</v>
      </c>
      <c r="G658">
        <v>15514512</v>
      </c>
      <c r="H658">
        <v>3</v>
      </c>
      <c r="I658" t="s">
        <v>784</v>
      </c>
      <c r="J658" t="s">
        <v>785</v>
      </c>
      <c r="K658" t="s">
        <v>786</v>
      </c>
      <c r="L658">
        <v>1346</v>
      </c>
      <c r="N658">
        <v>1009</v>
      </c>
      <c r="O658" t="s">
        <v>657</v>
      </c>
      <c r="P658" t="s">
        <v>657</v>
      </c>
      <c r="Q658">
        <v>1</v>
      </c>
      <c r="X658">
        <v>0.06</v>
      </c>
      <c r="Y658">
        <v>375.16</v>
      </c>
      <c r="Z658">
        <v>0</v>
      </c>
      <c r="AA658">
        <v>0</v>
      </c>
      <c r="AB658">
        <v>0</v>
      </c>
      <c r="AC658">
        <v>0</v>
      </c>
      <c r="AD658">
        <v>1</v>
      </c>
      <c r="AE658">
        <v>0</v>
      </c>
      <c r="AF658" t="s">
        <v>3</v>
      </c>
      <c r="AG658">
        <v>0.06</v>
      </c>
      <c r="AH658">
        <v>3</v>
      </c>
      <c r="AI658">
        <v>-1</v>
      </c>
      <c r="AJ658" t="s">
        <v>3</v>
      </c>
      <c r="AK658">
        <v>0</v>
      </c>
      <c r="AL658">
        <v>0</v>
      </c>
      <c r="AM658">
        <v>0</v>
      </c>
      <c r="AN658">
        <v>0</v>
      </c>
      <c r="AO658">
        <v>0</v>
      </c>
      <c r="AP658">
        <v>0</v>
      </c>
      <c r="AQ658">
        <v>0</v>
      </c>
      <c r="AR658">
        <v>0</v>
      </c>
    </row>
    <row r="659" spans="1:44" x14ac:dyDescent="0.2">
      <c r="A659">
        <f>ROW(Source!A861)</f>
        <v>861</v>
      </c>
      <c r="B659">
        <v>1474097206</v>
      </c>
      <c r="C659">
        <v>1472041465</v>
      </c>
      <c r="D659">
        <v>1441819193</v>
      </c>
      <c r="E659">
        <v>15514512</v>
      </c>
      <c r="F659">
        <v>1</v>
      </c>
      <c r="G659">
        <v>15514512</v>
      </c>
      <c r="H659">
        <v>1</v>
      </c>
      <c r="I659" t="s">
        <v>648</v>
      </c>
      <c r="J659" t="s">
        <v>3</v>
      </c>
      <c r="K659" t="s">
        <v>649</v>
      </c>
      <c r="L659">
        <v>1191</v>
      </c>
      <c r="N659">
        <v>1013</v>
      </c>
      <c r="O659" t="s">
        <v>650</v>
      </c>
      <c r="P659" t="s">
        <v>650</v>
      </c>
      <c r="Q659">
        <v>1</v>
      </c>
      <c r="X659">
        <v>0.33</v>
      </c>
      <c r="Y659">
        <v>0</v>
      </c>
      <c r="Z659">
        <v>0</v>
      </c>
      <c r="AA659">
        <v>0</v>
      </c>
      <c r="AB659">
        <v>0</v>
      </c>
      <c r="AC659">
        <v>0</v>
      </c>
      <c r="AD659">
        <v>1</v>
      </c>
      <c r="AE659">
        <v>1</v>
      </c>
      <c r="AF659" t="s">
        <v>3</v>
      </c>
      <c r="AG659">
        <v>0.33</v>
      </c>
      <c r="AH659">
        <v>3</v>
      </c>
      <c r="AI659">
        <v>-1</v>
      </c>
      <c r="AJ659" t="s">
        <v>3</v>
      </c>
      <c r="AK659">
        <v>0</v>
      </c>
      <c r="AL659">
        <v>0</v>
      </c>
      <c r="AM659">
        <v>0</v>
      </c>
      <c r="AN659">
        <v>0</v>
      </c>
      <c r="AO659">
        <v>0</v>
      </c>
      <c r="AP659">
        <v>0</v>
      </c>
      <c r="AQ659">
        <v>0</v>
      </c>
      <c r="AR659">
        <v>0</v>
      </c>
    </row>
    <row r="660" spans="1:44" x14ac:dyDescent="0.2">
      <c r="A660">
        <f>ROW(Source!A862)</f>
        <v>862</v>
      </c>
      <c r="B660">
        <v>1474097207</v>
      </c>
      <c r="C660">
        <v>1472041469</v>
      </c>
      <c r="D660">
        <v>1441819193</v>
      </c>
      <c r="E660">
        <v>15514512</v>
      </c>
      <c r="F660">
        <v>1</v>
      </c>
      <c r="G660">
        <v>15514512</v>
      </c>
      <c r="H660">
        <v>1</v>
      </c>
      <c r="I660" t="s">
        <v>648</v>
      </c>
      <c r="J660" t="s">
        <v>3</v>
      </c>
      <c r="K660" t="s">
        <v>649</v>
      </c>
      <c r="L660">
        <v>1191</v>
      </c>
      <c r="N660">
        <v>1013</v>
      </c>
      <c r="O660" t="s">
        <v>650</v>
      </c>
      <c r="P660" t="s">
        <v>650</v>
      </c>
      <c r="Q660">
        <v>1</v>
      </c>
      <c r="X660">
        <v>11.22</v>
      </c>
      <c r="Y660">
        <v>0</v>
      </c>
      <c r="Z660">
        <v>0</v>
      </c>
      <c r="AA660">
        <v>0</v>
      </c>
      <c r="AB660">
        <v>0</v>
      </c>
      <c r="AC660">
        <v>0</v>
      </c>
      <c r="AD660">
        <v>1</v>
      </c>
      <c r="AE660">
        <v>1</v>
      </c>
      <c r="AF660" t="s">
        <v>3</v>
      </c>
      <c r="AG660">
        <v>11.22</v>
      </c>
      <c r="AH660">
        <v>3</v>
      </c>
      <c r="AI660">
        <v>-1</v>
      </c>
      <c r="AJ660" t="s">
        <v>3</v>
      </c>
      <c r="AK660">
        <v>0</v>
      </c>
      <c r="AL660">
        <v>0</v>
      </c>
      <c r="AM660">
        <v>0</v>
      </c>
      <c r="AN660">
        <v>0</v>
      </c>
      <c r="AO660">
        <v>0</v>
      </c>
      <c r="AP660">
        <v>0</v>
      </c>
      <c r="AQ660">
        <v>0</v>
      </c>
      <c r="AR660">
        <v>0</v>
      </c>
    </row>
    <row r="661" spans="1:44" x14ac:dyDescent="0.2">
      <c r="A661">
        <f>ROW(Source!A862)</f>
        <v>862</v>
      </c>
      <c r="B661">
        <v>1474097208</v>
      </c>
      <c r="C661">
        <v>1472041469</v>
      </c>
      <c r="D661">
        <v>1441836237</v>
      </c>
      <c r="E661">
        <v>1</v>
      </c>
      <c r="F661">
        <v>1</v>
      </c>
      <c r="G661">
        <v>15514512</v>
      </c>
      <c r="H661">
        <v>3</v>
      </c>
      <c r="I661" t="s">
        <v>784</v>
      </c>
      <c r="J661" t="s">
        <v>785</v>
      </c>
      <c r="K661" t="s">
        <v>786</v>
      </c>
      <c r="L661">
        <v>1346</v>
      </c>
      <c r="N661">
        <v>1009</v>
      </c>
      <c r="O661" t="s">
        <v>657</v>
      </c>
      <c r="P661" t="s">
        <v>657</v>
      </c>
      <c r="Q661">
        <v>1</v>
      </c>
      <c r="X661">
        <v>3.9E-2</v>
      </c>
      <c r="Y661">
        <v>375.16</v>
      </c>
      <c r="Z661">
        <v>0</v>
      </c>
      <c r="AA661">
        <v>0</v>
      </c>
      <c r="AB661">
        <v>0</v>
      </c>
      <c r="AC661">
        <v>0</v>
      </c>
      <c r="AD661">
        <v>1</v>
      </c>
      <c r="AE661">
        <v>0</v>
      </c>
      <c r="AF661" t="s">
        <v>3</v>
      </c>
      <c r="AG661">
        <v>3.9E-2</v>
      </c>
      <c r="AH661">
        <v>3</v>
      </c>
      <c r="AI661">
        <v>-1</v>
      </c>
      <c r="AJ661" t="s">
        <v>3</v>
      </c>
      <c r="AK661">
        <v>0</v>
      </c>
      <c r="AL661">
        <v>0</v>
      </c>
      <c r="AM661">
        <v>0</v>
      </c>
      <c r="AN661">
        <v>0</v>
      </c>
      <c r="AO661">
        <v>0</v>
      </c>
      <c r="AP661">
        <v>0</v>
      </c>
      <c r="AQ661">
        <v>0</v>
      </c>
      <c r="AR661">
        <v>0</v>
      </c>
    </row>
    <row r="662" spans="1:44" x14ac:dyDescent="0.2">
      <c r="A662">
        <f>ROW(Source!A863)</f>
        <v>863</v>
      </c>
      <c r="B662">
        <v>1474097209</v>
      </c>
      <c r="C662">
        <v>1472041476</v>
      </c>
      <c r="D662">
        <v>1441819193</v>
      </c>
      <c r="E662">
        <v>15514512</v>
      </c>
      <c r="F662">
        <v>1</v>
      </c>
      <c r="G662">
        <v>15514512</v>
      </c>
      <c r="H662">
        <v>1</v>
      </c>
      <c r="I662" t="s">
        <v>648</v>
      </c>
      <c r="J662" t="s">
        <v>3</v>
      </c>
      <c r="K662" t="s">
        <v>649</v>
      </c>
      <c r="L662">
        <v>1191</v>
      </c>
      <c r="N662">
        <v>1013</v>
      </c>
      <c r="O662" t="s">
        <v>650</v>
      </c>
      <c r="P662" t="s">
        <v>650</v>
      </c>
      <c r="Q662">
        <v>1</v>
      </c>
      <c r="X662">
        <v>0.38</v>
      </c>
      <c r="Y662">
        <v>0</v>
      </c>
      <c r="Z662">
        <v>0</v>
      </c>
      <c r="AA662">
        <v>0</v>
      </c>
      <c r="AB662">
        <v>0</v>
      </c>
      <c r="AC662">
        <v>0</v>
      </c>
      <c r="AD662">
        <v>1</v>
      </c>
      <c r="AE662">
        <v>1</v>
      </c>
      <c r="AF662" t="s">
        <v>3</v>
      </c>
      <c r="AG662">
        <v>0.38</v>
      </c>
      <c r="AH662">
        <v>3</v>
      </c>
      <c r="AI662">
        <v>-1</v>
      </c>
      <c r="AJ662" t="s">
        <v>3</v>
      </c>
      <c r="AK662">
        <v>0</v>
      </c>
      <c r="AL662">
        <v>0</v>
      </c>
      <c r="AM662">
        <v>0</v>
      </c>
      <c r="AN662">
        <v>0</v>
      </c>
      <c r="AO662">
        <v>0</v>
      </c>
      <c r="AP662">
        <v>0</v>
      </c>
      <c r="AQ662">
        <v>0</v>
      </c>
      <c r="AR662">
        <v>0</v>
      </c>
    </row>
    <row r="663" spans="1:44" x14ac:dyDescent="0.2">
      <c r="A663">
        <f>ROW(Source!A863)</f>
        <v>863</v>
      </c>
      <c r="B663">
        <v>1474097210</v>
      </c>
      <c r="C663">
        <v>1472041476</v>
      </c>
      <c r="D663">
        <v>1441836237</v>
      </c>
      <c r="E663">
        <v>1</v>
      </c>
      <c r="F663">
        <v>1</v>
      </c>
      <c r="G663">
        <v>15514512</v>
      </c>
      <c r="H663">
        <v>3</v>
      </c>
      <c r="I663" t="s">
        <v>784</v>
      </c>
      <c r="J663" t="s">
        <v>785</v>
      </c>
      <c r="K663" t="s">
        <v>786</v>
      </c>
      <c r="L663">
        <v>1346</v>
      </c>
      <c r="N663">
        <v>1009</v>
      </c>
      <c r="O663" t="s">
        <v>657</v>
      </c>
      <c r="P663" t="s">
        <v>657</v>
      </c>
      <c r="Q663">
        <v>1</v>
      </c>
      <c r="X663">
        <v>1E-3</v>
      </c>
      <c r="Y663">
        <v>375.16</v>
      </c>
      <c r="Z663">
        <v>0</v>
      </c>
      <c r="AA663">
        <v>0</v>
      </c>
      <c r="AB663">
        <v>0</v>
      </c>
      <c r="AC663">
        <v>0</v>
      </c>
      <c r="AD663">
        <v>1</v>
      </c>
      <c r="AE663">
        <v>0</v>
      </c>
      <c r="AF663" t="s">
        <v>3</v>
      </c>
      <c r="AG663">
        <v>1E-3</v>
      </c>
      <c r="AH663">
        <v>3</v>
      </c>
      <c r="AI663">
        <v>-1</v>
      </c>
      <c r="AJ663" t="s">
        <v>3</v>
      </c>
      <c r="AK663">
        <v>0</v>
      </c>
      <c r="AL663">
        <v>0</v>
      </c>
      <c r="AM663">
        <v>0</v>
      </c>
      <c r="AN663">
        <v>0</v>
      </c>
      <c r="AO663">
        <v>0</v>
      </c>
      <c r="AP663">
        <v>0</v>
      </c>
      <c r="AQ663">
        <v>0</v>
      </c>
      <c r="AR663">
        <v>0</v>
      </c>
    </row>
    <row r="664" spans="1:44" x14ac:dyDescent="0.2">
      <c r="A664">
        <f>ROW(Source!A864)</f>
        <v>864</v>
      </c>
      <c r="B664">
        <v>1474097211</v>
      </c>
      <c r="C664">
        <v>1472041483</v>
      </c>
      <c r="D664">
        <v>1441819193</v>
      </c>
      <c r="E664">
        <v>15514512</v>
      </c>
      <c r="F664">
        <v>1</v>
      </c>
      <c r="G664">
        <v>15514512</v>
      </c>
      <c r="H664">
        <v>1</v>
      </c>
      <c r="I664" t="s">
        <v>648</v>
      </c>
      <c r="J664" t="s">
        <v>3</v>
      </c>
      <c r="K664" t="s">
        <v>649</v>
      </c>
      <c r="L664">
        <v>1191</v>
      </c>
      <c r="N664">
        <v>1013</v>
      </c>
      <c r="O664" t="s">
        <v>650</v>
      </c>
      <c r="P664" t="s">
        <v>650</v>
      </c>
      <c r="Q664">
        <v>1</v>
      </c>
      <c r="X664">
        <v>11.1</v>
      </c>
      <c r="Y664">
        <v>0</v>
      </c>
      <c r="Z664">
        <v>0</v>
      </c>
      <c r="AA664">
        <v>0</v>
      </c>
      <c r="AB664">
        <v>0</v>
      </c>
      <c r="AC664">
        <v>0</v>
      </c>
      <c r="AD664">
        <v>1</v>
      </c>
      <c r="AE664">
        <v>1</v>
      </c>
      <c r="AF664" t="s">
        <v>3</v>
      </c>
      <c r="AG664">
        <v>11.1</v>
      </c>
      <c r="AH664">
        <v>3</v>
      </c>
      <c r="AI664">
        <v>-1</v>
      </c>
      <c r="AJ664" t="s">
        <v>3</v>
      </c>
      <c r="AK664">
        <v>0</v>
      </c>
      <c r="AL664">
        <v>0</v>
      </c>
      <c r="AM664">
        <v>0</v>
      </c>
      <c r="AN664">
        <v>0</v>
      </c>
      <c r="AO664">
        <v>0</v>
      </c>
      <c r="AP664">
        <v>0</v>
      </c>
      <c r="AQ664">
        <v>0</v>
      </c>
      <c r="AR664">
        <v>0</v>
      </c>
    </row>
    <row r="665" spans="1:44" x14ac:dyDescent="0.2">
      <c r="A665">
        <f>ROW(Source!A864)</f>
        <v>864</v>
      </c>
      <c r="B665">
        <v>1474097212</v>
      </c>
      <c r="C665">
        <v>1472041483</v>
      </c>
      <c r="D665">
        <v>1441836237</v>
      </c>
      <c r="E665">
        <v>1</v>
      </c>
      <c r="F665">
        <v>1</v>
      </c>
      <c r="G665">
        <v>15514512</v>
      </c>
      <c r="H665">
        <v>3</v>
      </c>
      <c r="I665" t="s">
        <v>784</v>
      </c>
      <c r="J665" t="s">
        <v>785</v>
      </c>
      <c r="K665" t="s">
        <v>786</v>
      </c>
      <c r="L665">
        <v>1346</v>
      </c>
      <c r="N665">
        <v>1009</v>
      </c>
      <c r="O665" t="s">
        <v>657</v>
      </c>
      <c r="P665" t="s">
        <v>657</v>
      </c>
      <c r="Q665">
        <v>1</v>
      </c>
      <c r="X665">
        <v>0.06</v>
      </c>
      <c r="Y665">
        <v>375.16</v>
      </c>
      <c r="Z665">
        <v>0</v>
      </c>
      <c r="AA665">
        <v>0</v>
      </c>
      <c r="AB665">
        <v>0</v>
      </c>
      <c r="AC665">
        <v>0</v>
      </c>
      <c r="AD665">
        <v>1</v>
      </c>
      <c r="AE665">
        <v>0</v>
      </c>
      <c r="AF665" t="s">
        <v>3</v>
      </c>
      <c r="AG665">
        <v>0.06</v>
      </c>
      <c r="AH665">
        <v>3</v>
      </c>
      <c r="AI665">
        <v>-1</v>
      </c>
      <c r="AJ665" t="s">
        <v>3</v>
      </c>
      <c r="AK665">
        <v>0</v>
      </c>
      <c r="AL665">
        <v>0</v>
      </c>
      <c r="AM665">
        <v>0</v>
      </c>
      <c r="AN665">
        <v>0</v>
      </c>
      <c r="AO665">
        <v>0</v>
      </c>
      <c r="AP665">
        <v>0</v>
      </c>
      <c r="AQ665">
        <v>0</v>
      </c>
      <c r="AR665">
        <v>0</v>
      </c>
    </row>
    <row r="666" spans="1:44" x14ac:dyDescent="0.2">
      <c r="A666">
        <f>ROW(Source!A865)</f>
        <v>865</v>
      </c>
      <c r="B666">
        <v>1474097213</v>
      </c>
      <c r="C666">
        <v>1472041490</v>
      </c>
      <c r="D666">
        <v>1441819193</v>
      </c>
      <c r="E666">
        <v>15514512</v>
      </c>
      <c r="F666">
        <v>1</v>
      </c>
      <c r="G666">
        <v>15514512</v>
      </c>
      <c r="H666">
        <v>1</v>
      </c>
      <c r="I666" t="s">
        <v>648</v>
      </c>
      <c r="J666" t="s">
        <v>3</v>
      </c>
      <c r="K666" t="s">
        <v>649</v>
      </c>
      <c r="L666">
        <v>1191</v>
      </c>
      <c r="N666">
        <v>1013</v>
      </c>
      <c r="O666" t="s">
        <v>650</v>
      </c>
      <c r="P666" t="s">
        <v>650</v>
      </c>
      <c r="Q666">
        <v>1</v>
      </c>
      <c r="X666">
        <v>0.38</v>
      </c>
      <c r="Y666">
        <v>0</v>
      </c>
      <c r="Z666">
        <v>0</v>
      </c>
      <c r="AA666">
        <v>0</v>
      </c>
      <c r="AB666">
        <v>0</v>
      </c>
      <c r="AC666">
        <v>0</v>
      </c>
      <c r="AD666">
        <v>1</v>
      </c>
      <c r="AE666">
        <v>1</v>
      </c>
      <c r="AF666" t="s">
        <v>3</v>
      </c>
      <c r="AG666">
        <v>0.38</v>
      </c>
      <c r="AH666">
        <v>3</v>
      </c>
      <c r="AI666">
        <v>-1</v>
      </c>
      <c r="AJ666" t="s">
        <v>3</v>
      </c>
      <c r="AK666">
        <v>0</v>
      </c>
      <c r="AL666">
        <v>0</v>
      </c>
      <c r="AM666">
        <v>0</v>
      </c>
      <c r="AN666">
        <v>0</v>
      </c>
      <c r="AO666">
        <v>0</v>
      </c>
      <c r="AP666">
        <v>0</v>
      </c>
      <c r="AQ666">
        <v>0</v>
      </c>
      <c r="AR666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>Новый объект_(Копия)_(Копия)</v>
      </c>
      <c r="G12" t="str">
        <f>Source!G12</f>
        <v>СН_7.2_на 4 мес. (10%) испр.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СН-2012 по гл. 1-5</vt:lpstr>
      <vt:lpstr>Акт КС-2 СН-2012 по гл. 1-</vt:lpstr>
      <vt:lpstr>Source</vt:lpstr>
      <vt:lpstr>SourceObSm</vt:lpstr>
      <vt:lpstr>SmtRes</vt:lpstr>
      <vt:lpstr>EtalonRes</vt:lpstr>
      <vt:lpstr>SrcPoprs</vt:lpstr>
      <vt:lpstr>SrcKA</vt:lpstr>
      <vt:lpstr>'Акт КС-2 СН-2012 по гл. 1-'!Заголовки_для_печати</vt:lpstr>
      <vt:lpstr>'Смета СН-2012 по гл. 1-5'!Заголовки_для_печати</vt:lpstr>
      <vt:lpstr>'Акт КС-2 СН-2012 по гл. 1-'!Область_печати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</cp:lastModifiedBy>
  <dcterms:created xsi:type="dcterms:W3CDTF">2025-12-10T16:15:01Z</dcterms:created>
  <dcterms:modified xsi:type="dcterms:W3CDTF">2025-12-11T12:50:20Z</dcterms:modified>
</cp:coreProperties>
</file>